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CER\anaconda3\envs\project_pjkgm016\"/>
    </mc:Choice>
  </mc:AlternateContent>
  <xr:revisionPtr revIDLastSave="0" documentId="13_ncr:1_{C747C932-C36E-4939-B160-53DA1548EB84}" xr6:coauthVersionLast="47" xr6:coauthVersionMax="47" xr10:uidLastSave="{00000000-0000-0000-0000-000000000000}"/>
  <bookViews>
    <workbookView xWindow="-108" yWindow="-108" windowWidth="23256" windowHeight="12456" tabRatio="596" firstSheet="1" activeTab="1" xr2:uid="{00000000-000D-0000-FFFF-FFFF00000000}"/>
  </bookViews>
  <sheets>
    <sheet name="REKAP POSISI 2024 (2)" sheetId="7" state="hidden" r:id="rId1"/>
    <sheet name="BFTP" sheetId="9" r:id="rId2"/>
    <sheet name="rekap posisi 2021-2023" sheetId="1" state="hidden" r:id="rId3"/>
    <sheet name="RK Granulasi" sheetId="2" state="hidden" r:id="rId4"/>
    <sheet name="Kerusakan Mesin (Trouble)" sheetId="4" state="hidden" r:id="rId5"/>
  </sheets>
  <definedNames>
    <definedName name="_xlnm._FilterDatabase" localSheetId="4" hidden="1">'Kerusakan Mesin (Trouble)'!$B$1:$G$472</definedName>
    <definedName name="_xlnm._FilterDatabase" localSheetId="2" hidden="1">'rekap posisi 2021-2023'!$B$4:$AM$3082</definedName>
    <definedName name="_xlnm._FilterDatabase" localSheetId="0" hidden="1">'REKAP POSISI 2024 (2)'!$B$4:$AO$931</definedName>
    <definedName name="_xlnm.Print_Area" localSheetId="2">'rekap posisi 2021-2023'!$D$864:$E$873</definedName>
    <definedName name="_xlnm.Print_Area" localSheetId="0">'REKAP POSISI 2024 (2)'!#REF!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X47" i="9" l="1"/>
  <c r="FV47" i="9"/>
  <c r="FT47" i="9"/>
  <c r="FR47" i="9"/>
  <c r="DU47" i="9"/>
  <c r="DM47" i="9"/>
  <c r="DP47" i="9"/>
  <c r="DD47" i="9"/>
  <c r="CT47" i="9"/>
  <c r="CG47" i="9"/>
  <c r="CF47" i="9"/>
  <c r="CE47" i="9"/>
  <c r="CD47" i="9"/>
  <c r="AS47" i="9"/>
  <c r="AK47" i="9"/>
  <c r="AN47" i="9"/>
  <c r="S47" i="9"/>
  <c r="CT46" i="9"/>
  <c r="CG46" i="9"/>
  <c r="CF46" i="9"/>
  <c r="CE46" i="9"/>
  <c r="CD46" i="9"/>
  <c r="AS46" i="9"/>
  <c r="AK46" i="9"/>
  <c r="AN46" i="9"/>
  <c r="S46" i="9"/>
  <c r="FX45" i="9"/>
  <c r="FV45" i="9"/>
  <c r="FT45" i="9"/>
  <c r="FR45" i="9"/>
  <c r="DU45" i="9"/>
  <c r="DM45" i="9"/>
  <c r="DP45" i="9"/>
  <c r="DD45" i="9"/>
  <c r="CT45" i="9"/>
  <c r="CG45" i="9"/>
  <c r="CF45" i="9"/>
  <c r="CE45" i="9"/>
  <c r="CD45" i="9"/>
  <c r="AO45" i="9"/>
  <c r="AS45" i="9"/>
  <c r="AK45" i="9"/>
  <c r="AN45" i="9"/>
  <c r="S45" i="9"/>
  <c r="FX44" i="9"/>
  <c r="FV44" i="9"/>
  <c r="FT44" i="9"/>
  <c r="FR44" i="9"/>
  <c r="DU44" i="9"/>
  <c r="DP44" i="9"/>
  <c r="DD44" i="9"/>
  <c r="CT44" i="9"/>
  <c r="CG44" i="9"/>
  <c r="CF44" i="9"/>
  <c r="CE44" i="9"/>
  <c r="CD44" i="9"/>
  <c r="AS44" i="9"/>
  <c r="AK44" i="9"/>
  <c r="AN44" i="9"/>
  <c r="S44" i="9"/>
  <c r="FX43" i="9"/>
  <c r="FV43" i="9"/>
  <c r="FT43" i="9"/>
  <c r="FR43" i="9"/>
  <c r="DU43" i="9"/>
  <c r="DM43" i="9"/>
  <c r="DP43" i="9"/>
  <c r="DD43" i="9"/>
  <c r="CT43" i="9"/>
  <c r="CG43" i="9"/>
  <c r="CF43" i="9"/>
  <c r="CE43" i="9"/>
  <c r="CD43" i="9"/>
  <c r="AS43" i="9"/>
  <c r="AK43" i="9"/>
  <c r="AN43" i="9"/>
  <c r="S43" i="9"/>
  <c r="FX42" i="9"/>
  <c r="FV42" i="9"/>
  <c r="FT42" i="9"/>
  <c r="FR42" i="9"/>
  <c r="DU42" i="9"/>
  <c r="DP42" i="9"/>
  <c r="DD42" i="9"/>
  <c r="CT42" i="9"/>
  <c r="CG42" i="9"/>
  <c r="CF42" i="9"/>
  <c r="CE42" i="9"/>
  <c r="CD42" i="9"/>
  <c r="AS42" i="9"/>
  <c r="AK42" i="9"/>
  <c r="AN42" i="9"/>
  <c r="S42" i="9"/>
  <c r="FX41" i="9"/>
  <c r="FV41" i="9"/>
  <c r="FT41" i="9"/>
  <c r="FR41" i="9"/>
  <c r="DU41" i="9"/>
  <c r="DM41" i="9"/>
  <c r="DP41" i="9"/>
  <c r="DD41" i="9"/>
  <c r="CT41" i="9"/>
  <c r="CG41" i="9"/>
  <c r="CF41" i="9"/>
  <c r="CE41" i="9"/>
  <c r="CD41" i="9"/>
  <c r="AS41" i="9"/>
  <c r="AK41" i="9"/>
  <c r="AN41" i="9"/>
  <c r="S41" i="9"/>
  <c r="FX40" i="9"/>
  <c r="FV40" i="9"/>
  <c r="FT40" i="9"/>
  <c r="FR40" i="9"/>
  <c r="DU40" i="9"/>
  <c r="DM40" i="9"/>
  <c r="DP40" i="9"/>
  <c r="DD40" i="9"/>
  <c r="CT40" i="9"/>
  <c r="CG40" i="9"/>
  <c r="CF40" i="9"/>
  <c r="CE40" i="9"/>
  <c r="CD40" i="9"/>
  <c r="AS40" i="9"/>
  <c r="AK40" i="9"/>
  <c r="AN40" i="9"/>
  <c r="S40" i="9"/>
  <c r="FX39" i="9"/>
  <c r="FV39" i="9"/>
  <c r="FT39" i="9"/>
  <c r="FR39" i="9"/>
  <c r="DU39" i="9"/>
  <c r="DP39" i="9"/>
  <c r="DD39" i="9"/>
  <c r="CT39" i="9"/>
  <c r="CG39" i="9"/>
  <c r="CF39" i="9"/>
  <c r="CE39" i="9"/>
  <c r="CD39" i="9"/>
  <c r="AS39" i="9"/>
  <c r="AK39" i="9"/>
  <c r="AN39" i="9"/>
  <c r="S39" i="9"/>
  <c r="FX38" i="9"/>
  <c r="FV38" i="9"/>
  <c r="FT38" i="9"/>
  <c r="FR38" i="9"/>
  <c r="DU38" i="9"/>
  <c r="DM38" i="9"/>
  <c r="DP38" i="9"/>
  <c r="DD38" i="9"/>
  <c r="CT38" i="9"/>
  <c r="CG38" i="9"/>
  <c r="CF38" i="9"/>
  <c r="CE38" i="9"/>
  <c r="CD38" i="9"/>
  <c r="AS38" i="9"/>
  <c r="AK38" i="9"/>
  <c r="AN38" i="9"/>
  <c r="S38" i="9"/>
  <c r="FX37" i="9"/>
  <c r="FV37" i="9"/>
  <c r="FT37" i="9"/>
  <c r="FR37" i="9"/>
  <c r="DU37" i="9"/>
  <c r="DM37" i="9"/>
  <c r="DP37" i="9"/>
  <c r="DD37" i="9"/>
  <c r="CT37" i="9"/>
  <c r="CG37" i="9"/>
  <c r="CF37" i="9"/>
  <c r="CE37" i="9"/>
  <c r="CD37" i="9"/>
  <c r="AS37" i="9"/>
  <c r="AK37" i="9"/>
  <c r="AN37" i="9"/>
  <c r="S37" i="9"/>
  <c r="FX36" i="9"/>
  <c r="FV36" i="9"/>
  <c r="FT36" i="9"/>
  <c r="FR36" i="9"/>
  <c r="DU36" i="9"/>
  <c r="DM36" i="9"/>
  <c r="DP36" i="9"/>
  <c r="DD36" i="9"/>
  <c r="CT36" i="9"/>
  <c r="CG36" i="9"/>
  <c r="CF36" i="9"/>
  <c r="CE36" i="9"/>
  <c r="CD36" i="9"/>
  <c r="AS36" i="9"/>
  <c r="AK36" i="9"/>
  <c r="AN36" i="9"/>
  <c r="S36" i="9"/>
  <c r="FX35" i="9"/>
  <c r="FV35" i="9"/>
  <c r="FT35" i="9"/>
  <c r="FR35" i="9"/>
  <c r="DU35" i="9"/>
  <c r="DM35" i="9"/>
  <c r="DP35" i="9"/>
  <c r="DD35" i="9"/>
  <c r="CT35" i="9"/>
  <c r="CG35" i="9"/>
  <c r="CF35" i="9"/>
  <c r="CE35" i="9"/>
  <c r="CD35" i="9"/>
  <c r="AS35" i="9"/>
  <c r="AK35" i="9"/>
  <c r="AN35" i="9"/>
  <c r="S35" i="9"/>
  <c r="FX34" i="9"/>
  <c r="FV34" i="9"/>
  <c r="FT34" i="9"/>
  <c r="FR34" i="9"/>
  <c r="DU34" i="9"/>
  <c r="DM34" i="9"/>
  <c r="DP34" i="9"/>
  <c r="DD34" i="9"/>
  <c r="CT34" i="9"/>
  <c r="CG34" i="9"/>
  <c r="CF34" i="9"/>
  <c r="CE34" i="9"/>
  <c r="CD34" i="9"/>
  <c r="AS34" i="9"/>
  <c r="AK34" i="9"/>
  <c r="AN34" i="9"/>
  <c r="S34" i="9"/>
  <c r="FX33" i="9"/>
  <c r="FV33" i="9"/>
  <c r="FT33" i="9"/>
  <c r="FR33" i="9"/>
  <c r="DU33" i="9"/>
  <c r="DP33" i="9"/>
  <c r="DD33" i="9"/>
  <c r="CT33" i="9"/>
  <c r="CG33" i="9"/>
  <c r="CF33" i="9"/>
  <c r="CE33" i="9"/>
  <c r="CD33" i="9"/>
  <c r="AS33" i="9"/>
  <c r="AK33" i="9"/>
  <c r="AN33" i="9"/>
  <c r="S33" i="9"/>
  <c r="FX32" i="9"/>
  <c r="FV32" i="9"/>
  <c r="FT32" i="9"/>
  <c r="FR32" i="9"/>
  <c r="DU32" i="9"/>
  <c r="DM32" i="9"/>
  <c r="DP32" i="9"/>
  <c r="DD32" i="9"/>
  <c r="CT32" i="9"/>
  <c r="CG32" i="9"/>
  <c r="CF32" i="9"/>
  <c r="CE32" i="9"/>
  <c r="CD32" i="9"/>
  <c r="AS32" i="9"/>
  <c r="AK32" i="9"/>
  <c r="AN32" i="9"/>
  <c r="S32" i="9"/>
  <c r="FX31" i="9"/>
  <c r="FV31" i="9"/>
  <c r="FT31" i="9"/>
  <c r="FR31" i="9"/>
  <c r="DU31" i="9"/>
  <c r="DP31" i="9"/>
  <c r="DD31" i="9"/>
  <c r="CT31" i="9"/>
  <c r="CG31" i="9"/>
  <c r="CF31" i="9"/>
  <c r="CE31" i="9"/>
  <c r="CD31" i="9"/>
  <c r="AS31" i="9"/>
  <c r="AN31" i="9"/>
  <c r="S31" i="9"/>
  <c r="FX30" i="9"/>
  <c r="FV30" i="9"/>
  <c r="FT30" i="9"/>
  <c r="FR30" i="9"/>
  <c r="DU30" i="9"/>
  <c r="DP30" i="9"/>
  <c r="DD30" i="9"/>
  <c r="CT30" i="9"/>
  <c r="CG30" i="9"/>
  <c r="CF30" i="9"/>
  <c r="CE30" i="9"/>
  <c r="CD30" i="9"/>
  <c r="AS30" i="9"/>
  <c r="AK30" i="9"/>
  <c r="AN30" i="9"/>
  <c r="S30" i="9"/>
  <c r="FX29" i="9"/>
  <c r="FV29" i="9"/>
  <c r="FT29" i="9"/>
  <c r="FR29" i="9"/>
  <c r="DU29" i="9"/>
  <c r="DP29" i="9"/>
  <c r="DD29" i="9"/>
  <c r="CT29" i="9"/>
  <c r="CG29" i="9"/>
  <c r="CF29" i="9"/>
  <c r="CE29" i="9"/>
  <c r="CD29" i="9"/>
  <c r="AS29" i="9"/>
  <c r="AK29" i="9"/>
  <c r="AN29" i="9"/>
  <c r="S29" i="9"/>
  <c r="FX28" i="9"/>
  <c r="FV28" i="9"/>
  <c r="FT28" i="9"/>
  <c r="FR28" i="9"/>
  <c r="DU28" i="9"/>
  <c r="DM28" i="9"/>
  <c r="DP28" i="9"/>
  <c r="DD28" i="9"/>
  <c r="CT28" i="9"/>
  <c r="CG28" i="9"/>
  <c r="CF28" i="9"/>
  <c r="CE28" i="9"/>
  <c r="CD28" i="9"/>
  <c r="AS28" i="9"/>
  <c r="AK28" i="9"/>
  <c r="AN28" i="9"/>
  <c r="S28" i="9"/>
  <c r="FX27" i="9"/>
  <c r="FV27" i="9"/>
  <c r="FT27" i="9"/>
  <c r="FR27" i="9"/>
  <c r="DU27" i="9"/>
  <c r="DM27" i="9"/>
  <c r="DP27" i="9"/>
  <c r="DD27" i="9"/>
  <c r="CT27" i="9"/>
  <c r="CG27" i="9"/>
  <c r="CF27" i="9"/>
  <c r="CE27" i="9"/>
  <c r="CD27" i="9"/>
  <c r="AS27" i="9"/>
  <c r="AK27" i="9"/>
  <c r="AN27" i="9"/>
  <c r="S27" i="9"/>
  <c r="FX26" i="9"/>
  <c r="FV26" i="9"/>
  <c r="FT26" i="9"/>
  <c r="FR26" i="9"/>
  <c r="DU26" i="9"/>
  <c r="DM26" i="9"/>
  <c r="DP26" i="9"/>
  <c r="DD26" i="9"/>
  <c r="CT26" i="9"/>
  <c r="CG26" i="9"/>
  <c r="CF26" i="9"/>
  <c r="CE26" i="9"/>
  <c r="CD26" i="9"/>
  <c r="AS26" i="9"/>
  <c r="AK26" i="9"/>
  <c r="AN26" i="9"/>
  <c r="S26" i="9"/>
  <c r="FX25" i="9"/>
  <c r="FV25" i="9"/>
  <c r="FT25" i="9"/>
  <c r="FR25" i="9"/>
  <c r="DU25" i="9"/>
  <c r="DP25" i="9"/>
  <c r="DD25" i="9"/>
  <c r="CT25" i="9"/>
  <c r="CG25" i="9"/>
  <c r="CF25" i="9"/>
  <c r="CE25" i="9"/>
  <c r="CD25" i="9"/>
  <c r="AS25" i="9"/>
  <c r="AK25" i="9"/>
  <c r="AN25" i="9"/>
  <c r="S25" i="9"/>
  <c r="FX24" i="9"/>
  <c r="FV24" i="9"/>
  <c r="FT24" i="9"/>
  <c r="FR24" i="9"/>
  <c r="DU24" i="9"/>
  <c r="DM24" i="9"/>
  <c r="DP24" i="9"/>
  <c r="DD24" i="9"/>
  <c r="CT24" i="9"/>
  <c r="CG24" i="9"/>
  <c r="CF24" i="9"/>
  <c r="CE24" i="9"/>
  <c r="CD24" i="9"/>
  <c r="AS24" i="9"/>
  <c r="AK24" i="9"/>
  <c r="AN24" i="9"/>
  <c r="S24" i="9"/>
  <c r="FX23" i="9"/>
  <c r="FV23" i="9"/>
  <c r="FT23" i="9"/>
  <c r="FR23" i="9"/>
  <c r="DU23" i="9"/>
  <c r="DM23" i="9"/>
  <c r="DP23" i="9"/>
  <c r="DD23" i="9"/>
  <c r="CT23" i="9"/>
  <c r="CG23" i="9"/>
  <c r="CF23" i="9"/>
  <c r="CE23" i="9"/>
  <c r="CD23" i="9"/>
  <c r="AS23" i="9"/>
  <c r="AN23" i="9"/>
  <c r="S23" i="9"/>
  <c r="FX22" i="9"/>
  <c r="FV22" i="9"/>
  <c r="FT22" i="9"/>
  <c r="FR22" i="9"/>
  <c r="DU22" i="9"/>
  <c r="DM22" i="9"/>
  <c r="DP22" i="9"/>
  <c r="DD22" i="9"/>
  <c r="CT22" i="9"/>
  <c r="CG22" i="9"/>
  <c r="CF22" i="9"/>
  <c r="CE22" i="9"/>
  <c r="CD22" i="9"/>
  <c r="AS22" i="9"/>
  <c r="AN22" i="9"/>
  <c r="S22" i="9"/>
  <c r="FX21" i="9"/>
  <c r="FV21" i="9"/>
  <c r="FT21" i="9"/>
  <c r="FR21" i="9"/>
  <c r="DU21" i="9"/>
  <c r="DM21" i="9"/>
  <c r="DP21" i="9"/>
  <c r="DD21" i="9"/>
  <c r="CT21" i="9"/>
  <c r="CG21" i="9"/>
  <c r="CF21" i="9"/>
  <c r="CE21" i="9"/>
  <c r="CD21" i="9"/>
  <c r="AS21" i="9"/>
  <c r="AK21" i="9"/>
  <c r="AN21" i="9"/>
  <c r="S21" i="9"/>
  <c r="FX20" i="9"/>
  <c r="FV20" i="9"/>
  <c r="FT20" i="9"/>
  <c r="FR20" i="9"/>
  <c r="DU20" i="9"/>
  <c r="DP20" i="9"/>
  <c r="CG20" i="9"/>
  <c r="CF20" i="9"/>
  <c r="CE20" i="9"/>
  <c r="CD20" i="9"/>
  <c r="AS20" i="9"/>
  <c r="AK20" i="9"/>
  <c r="AN20" i="9"/>
  <c r="S20" i="9"/>
  <c r="FX19" i="9"/>
  <c r="FV19" i="9"/>
  <c r="FT19" i="9"/>
  <c r="FR19" i="9"/>
  <c r="DU19" i="9"/>
  <c r="DM19" i="9"/>
  <c r="DP19" i="9"/>
  <c r="DD19" i="9"/>
  <c r="CT19" i="9"/>
  <c r="CG19" i="9"/>
  <c r="CF19" i="9"/>
  <c r="CE19" i="9"/>
  <c r="CD19" i="9"/>
  <c r="AS19" i="9"/>
  <c r="AK19" i="9"/>
  <c r="AN19" i="9"/>
  <c r="S19" i="9"/>
  <c r="FX18" i="9"/>
  <c r="FV18" i="9"/>
  <c r="FT18" i="9"/>
  <c r="FR18" i="9"/>
  <c r="DU18" i="9"/>
  <c r="DM18" i="9"/>
  <c r="DP18" i="9"/>
  <c r="DD18" i="9"/>
  <c r="CT18" i="9"/>
  <c r="CG18" i="9"/>
  <c r="CF18" i="9"/>
  <c r="CE18" i="9"/>
  <c r="CD18" i="9"/>
  <c r="AS18" i="9"/>
  <c r="AK18" i="9"/>
  <c r="AN18" i="9"/>
  <c r="S18" i="9"/>
  <c r="CG17" i="9"/>
  <c r="CF17" i="9"/>
  <c r="CE17" i="9"/>
  <c r="CD17" i="9"/>
  <c r="AS17" i="9"/>
  <c r="AN17" i="9"/>
  <c r="S17" i="9"/>
  <c r="FX16" i="9"/>
  <c r="FV16" i="9"/>
  <c r="FT16" i="9"/>
  <c r="FR16" i="9"/>
  <c r="DU16" i="9"/>
  <c r="DM16" i="9"/>
  <c r="DP16" i="9"/>
  <c r="DD16" i="9"/>
  <c r="CT16" i="9"/>
  <c r="CG16" i="9"/>
  <c r="CF16" i="9"/>
  <c r="CE16" i="9"/>
  <c r="CD16" i="9"/>
  <c r="AS16" i="9"/>
  <c r="AK16" i="9"/>
  <c r="AN16" i="9"/>
  <c r="S16" i="9"/>
  <c r="CG15" i="9"/>
  <c r="CF15" i="9"/>
  <c r="CE15" i="9"/>
  <c r="CD15" i="9"/>
  <c r="AS15" i="9"/>
  <c r="AN15" i="9"/>
  <c r="S15" i="9"/>
  <c r="FX14" i="9"/>
  <c r="FV14" i="9"/>
  <c r="FT14" i="9"/>
  <c r="FR14" i="9"/>
  <c r="DU14" i="9"/>
  <c r="DM14" i="9"/>
  <c r="DP14" i="9"/>
  <c r="DD14" i="9"/>
  <c r="CT14" i="9"/>
  <c r="CG14" i="9"/>
  <c r="CF14" i="9"/>
  <c r="CE14" i="9"/>
  <c r="CD14" i="9"/>
  <c r="AS14" i="9"/>
  <c r="AN14" i="9"/>
  <c r="S14" i="9"/>
  <c r="CG13" i="9"/>
  <c r="CF13" i="9"/>
  <c r="CE13" i="9"/>
  <c r="CD13" i="9"/>
  <c r="AS13" i="9"/>
  <c r="AN13" i="9"/>
  <c r="S13" i="9"/>
  <c r="FX12" i="9"/>
  <c r="FV12" i="9"/>
  <c r="FT12" i="9"/>
  <c r="FR12" i="9"/>
  <c r="DU12" i="9"/>
  <c r="DP12" i="9"/>
  <c r="DD12" i="9"/>
  <c r="CT12" i="9"/>
  <c r="CG12" i="9"/>
  <c r="CF12" i="9"/>
  <c r="CE12" i="9"/>
  <c r="CD12" i="9"/>
  <c r="AS12" i="9"/>
  <c r="AK12" i="9"/>
  <c r="AN12" i="9"/>
  <c r="S12" i="9"/>
  <c r="FX11" i="9"/>
  <c r="FV11" i="9"/>
  <c r="FT11" i="9"/>
  <c r="FR11" i="9"/>
  <c r="DU11" i="9"/>
  <c r="DP11" i="9"/>
  <c r="DD11" i="9"/>
  <c r="CT11" i="9"/>
  <c r="CG11" i="9"/>
  <c r="CF11" i="9"/>
  <c r="CE11" i="9"/>
  <c r="CD11" i="9"/>
  <c r="AS11" i="9"/>
  <c r="AN11" i="9"/>
  <c r="S11" i="9"/>
  <c r="FX10" i="9"/>
  <c r="FV10" i="9"/>
  <c r="FT10" i="9"/>
  <c r="FR10" i="9"/>
  <c r="DU10" i="9"/>
  <c r="DP10" i="9"/>
  <c r="DD10" i="9"/>
  <c r="CT10" i="9"/>
  <c r="CG10" i="9"/>
  <c r="CF10" i="9"/>
  <c r="CE10" i="9"/>
  <c r="CD10" i="9"/>
  <c r="AS10" i="9"/>
  <c r="AK10" i="9"/>
  <c r="AN10" i="9"/>
  <c r="S10" i="9"/>
  <c r="FX9" i="9"/>
  <c r="FV9" i="9"/>
  <c r="FT9" i="9"/>
  <c r="FR9" i="9"/>
  <c r="DU9" i="9"/>
  <c r="DP9" i="9"/>
  <c r="DD9" i="9"/>
  <c r="CT9" i="9"/>
  <c r="CG9" i="9"/>
  <c r="CF9" i="9"/>
  <c r="CE9" i="9"/>
  <c r="CD9" i="9"/>
  <c r="AS9" i="9"/>
  <c r="AK9" i="9"/>
  <c r="AN9" i="9"/>
  <c r="S9" i="9"/>
  <c r="FX8" i="9"/>
  <c r="FV8" i="9"/>
  <c r="FT8" i="9"/>
  <c r="FR8" i="9"/>
  <c r="DU8" i="9"/>
  <c r="DM8" i="9"/>
  <c r="DP8" i="9"/>
  <c r="DD8" i="9"/>
  <c r="CT8" i="9"/>
  <c r="CG8" i="9"/>
  <c r="CF8" i="9"/>
  <c r="CE8" i="9"/>
  <c r="CD8" i="9"/>
  <c r="AS8" i="9"/>
  <c r="AK8" i="9"/>
  <c r="AN8" i="9"/>
  <c r="S8" i="9"/>
  <c r="CT7" i="9"/>
  <c r="CG7" i="9"/>
  <c r="CF7" i="9"/>
  <c r="CE7" i="9"/>
  <c r="CD7" i="9"/>
  <c r="AS7" i="9"/>
  <c r="AN7" i="9"/>
  <c r="S7" i="9"/>
  <c r="FX6" i="9"/>
  <c r="FV6" i="9"/>
  <c r="FT6" i="9"/>
  <c r="FR6" i="9"/>
  <c r="DU6" i="9"/>
  <c r="DP6" i="9"/>
  <c r="DD6" i="9"/>
  <c r="CT6" i="9"/>
  <c r="CG6" i="9"/>
  <c r="CF6" i="9"/>
  <c r="CE6" i="9"/>
  <c r="CD6" i="9"/>
  <c r="AS6" i="9"/>
  <c r="AN6" i="9"/>
  <c r="S6" i="9"/>
  <c r="CT5" i="9"/>
  <c r="CG5" i="9"/>
  <c r="CF5" i="9"/>
  <c r="CE5" i="9"/>
  <c r="CD5" i="9"/>
  <c r="AS5" i="9"/>
  <c r="AN5" i="9"/>
  <c r="S5" i="9"/>
  <c r="FX4" i="9"/>
  <c r="FV4" i="9"/>
  <c r="FT4" i="9"/>
  <c r="FR4" i="9"/>
  <c r="DP4" i="9"/>
  <c r="DD4" i="9"/>
  <c r="CT4" i="9"/>
  <c r="CG4" i="9"/>
  <c r="CF4" i="9"/>
  <c r="CE4" i="9"/>
  <c r="CD4" i="9"/>
  <c r="AS4" i="9"/>
  <c r="AK4" i="9"/>
  <c r="AN4" i="9"/>
  <c r="S4" i="9"/>
  <c r="M3082" i="1"/>
  <c r="K3082" i="1"/>
  <c r="I3082" i="1"/>
  <c r="M3081" i="1"/>
  <c r="K3081" i="1"/>
  <c r="I3081" i="1"/>
  <c r="M3080" i="1"/>
  <c r="K3080" i="1"/>
  <c r="J3048" i="1"/>
  <c r="I3048" i="1"/>
  <c r="J3047" i="1"/>
  <c r="I3047" i="1"/>
  <c r="J3046" i="1"/>
  <c r="I3046" i="1"/>
  <c r="I3043" i="1"/>
  <c r="I3019" i="1"/>
  <c r="I3016" i="1"/>
  <c r="I3015" i="1"/>
  <c r="I3014" i="1"/>
  <c r="F3002" i="1"/>
  <c r="F3003" i="1"/>
  <c r="F3004" i="1"/>
  <c r="F3005" i="1"/>
  <c r="F3006" i="1"/>
  <c r="F3007" i="1"/>
  <c r="F3008" i="1"/>
  <c r="F3009" i="1"/>
  <c r="F3010" i="1"/>
  <c r="F3011" i="1"/>
  <c r="F3012" i="1"/>
  <c r="I300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2" i="1"/>
  <c r="V2941" i="1"/>
  <c r="V2940" i="1"/>
  <c r="V2939" i="1"/>
  <c r="V2938" i="1"/>
  <c r="V2937" i="1"/>
  <c r="V2936" i="1"/>
  <c r="V2935" i="1"/>
  <c r="V2933" i="1"/>
  <c r="V2932" i="1"/>
  <c r="V2931" i="1"/>
  <c r="V2930" i="1"/>
  <c r="V2929" i="1"/>
  <c r="V2928" i="1"/>
  <c r="V2927" i="1"/>
  <c r="V2926" i="1"/>
  <c r="V2925" i="1"/>
  <c r="V2924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I2868" i="1"/>
  <c r="X2850" i="1"/>
  <c r="V2850" i="1"/>
  <c r="M2850" i="1"/>
  <c r="K2850" i="1"/>
  <c r="X2849" i="1"/>
  <c r="V2849" i="1"/>
  <c r="M2849" i="1"/>
  <c r="K2849" i="1"/>
  <c r="X2848" i="1"/>
  <c r="V2848" i="1"/>
  <c r="M2848" i="1"/>
  <c r="K2848" i="1"/>
  <c r="K2846" i="1"/>
  <c r="J2811" i="1"/>
  <c r="I2806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J2777" i="1"/>
  <c r="J2775" i="1"/>
  <c r="J2770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J2711" i="1"/>
  <c r="J2664" i="1"/>
  <c r="J2663" i="1"/>
  <c r="I2620" i="1"/>
  <c r="J2491" i="1"/>
  <c r="J2490" i="1"/>
  <c r="Q2451" i="1"/>
  <c r="J2449" i="1"/>
  <c r="J2447" i="1"/>
  <c r="Q2445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87" i="1"/>
  <c r="M2286" i="1"/>
  <c r="M2285" i="1"/>
  <c r="M2284" i="1"/>
  <c r="M2283" i="1"/>
  <c r="M2281" i="1"/>
  <c r="M2280" i="1"/>
  <c r="M2279" i="1"/>
  <c r="M2278" i="1"/>
  <c r="M2277" i="1"/>
  <c r="M2276" i="1"/>
  <c r="M2275" i="1"/>
  <c r="M2274" i="1"/>
  <c r="M2273" i="1"/>
  <c r="M2272" i="1"/>
  <c r="M2271" i="1"/>
  <c r="M2267" i="1"/>
  <c r="M2266" i="1"/>
  <c r="M2265" i="1"/>
  <c r="M2264" i="1"/>
  <c r="M2263" i="1"/>
  <c r="M2262" i="1"/>
  <c r="M2261" i="1"/>
  <c r="M2260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I2178" i="1"/>
  <c r="I2175" i="1"/>
  <c r="I2174" i="1"/>
  <c r="I2172" i="1"/>
  <c r="I2171" i="1"/>
  <c r="I2170" i="1"/>
  <c r="I2169" i="1"/>
  <c r="I2151" i="1"/>
  <c r="I2150" i="1"/>
  <c r="V2147" i="1"/>
  <c r="M2147" i="1"/>
  <c r="V2146" i="1"/>
  <c r="M2146" i="1"/>
  <c r="V2145" i="1"/>
  <c r="M2145" i="1"/>
  <c r="V2144" i="1"/>
  <c r="M2144" i="1"/>
  <c r="V2143" i="1"/>
  <c r="M2143" i="1"/>
  <c r="V2142" i="1"/>
  <c r="M2142" i="1"/>
  <c r="V2141" i="1"/>
  <c r="M2141" i="1"/>
  <c r="V2140" i="1"/>
  <c r="M2140" i="1"/>
  <c r="V2139" i="1"/>
  <c r="M2139" i="1"/>
  <c r="V2138" i="1"/>
  <c r="M2138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U2113" i="1"/>
  <c r="J2113" i="1"/>
  <c r="J2102" i="1"/>
  <c r="I2100" i="1"/>
  <c r="F2075" i="1"/>
  <c r="V2035" i="1"/>
  <c r="K2035" i="1"/>
  <c r="V2033" i="1"/>
  <c r="M2033" i="1"/>
  <c r="K2033" i="1"/>
  <c r="V2032" i="1"/>
  <c r="M2032" i="1"/>
  <c r="K2032" i="1"/>
  <c r="V2031" i="1"/>
  <c r="M2031" i="1"/>
  <c r="K2031" i="1"/>
  <c r="V2030" i="1"/>
  <c r="M2030" i="1"/>
  <c r="K2030" i="1"/>
  <c r="V2029" i="1"/>
  <c r="M2029" i="1"/>
  <c r="K2029" i="1"/>
  <c r="V2028" i="1"/>
  <c r="M2028" i="1"/>
  <c r="K2028" i="1"/>
  <c r="M2017" i="1"/>
  <c r="M2016" i="1"/>
  <c r="M2015" i="1"/>
  <c r="M2014" i="1"/>
  <c r="M2013" i="1"/>
  <c r="M2012" i="1"/>
  <c r="M2011" i="1"/>
  <c r="M2010" i="1"/>
  <c r="M2009" i="1"/>
  <c r="M2008" i="1"/>
  <c r="I1973" i="1"/>
  <c r="J1971" i="1"/>
  <c r="I1968" i="1"/>
  <c r="J1966" i="1"/>
  <c r="I1966" i="1"/>
  <c r="I1965" i="1"/>
  <c r="J1930" i="1"/>
  <c r="I1913" i="1"/>
  <c r="J1911" i="1"/>
  <c r="I1911" i="1"/>
  <c r="J1909" i="1"/>
  <c r="J1908" i="1"/>
  <c r="I1908" i="1"/>
  <c r="F1896" i="1"/>
  <c r="F1897" i="1"/>
  <c r="F1898" i="1"/>
  <c r="F1899" i="1"/>
  <c r="F1900" i="1"/>
  <c r="F1901" i="1"/>
  <c r="F1902" i="1"/>
  <c r="F1903" i="1"/>
  <c r="F1904" i="1"/>
  <c r="F1905" i="1"/>
  <c r="J1873" i="1"/>
  <c r="I1868" i="1"/>
  <c r="I1829" i="1"/>
  <c r="J1825" i="1"/>
  <c r="I1823" i="1"/>
  <c r="U1813" i="1"/>
  <c r="J1804" i="1"/>
  <c r="J1803" i="1"/>
  <c r="J1802" i="1"/>
  <c r="J1799" i="1"/>
  <c r="J1756" i="1"/>
  <c r="J1753" i="1"/>
  <c r="J1752" i="1"/>
  <c r="U1751" i="1"/>
  <c r="U1750" i="1"/>
  <c r="J1725" i="1"/>
  <c r="I1718" i="1"/>
  <c r="K1658" i="1"/>
  <c r="K1657" i="1"/>
  <c r="K1656" i="1"/>
  <c r="K1655" i="1"/>
  <c r="M1654" i="1"/>
  <c r="K1654" i="1"/>
  <c r="M1653" i="1"/>
  <c r="K1653" i="1"/>
  <c r="X1629" i="1"/>
  <c r="K1629" i="1"/>
  <c r="X1628" i="1"/>
  <c r="K1628" i="1"/>
  <c r="X1627" i="1"/>
  <c r="K1627" i="1"/>
  <c r="X1626" i="1"/>
  <c r="K1626" i="1"/>
  <c r="X1625" i="1"/>
  <c r="K1625" i="1"/>
  <c r="X1624" i="1"/>
  <c r="K1624" i="1"/>
  <c r="X1623" i="1"/>
  <c r="K1623" i="1"/>
  <c r="X1622" i="1"/>
  <c r="K1622" i="1"/>
  <c r="X1621" i="1"/>
  <c r="K1621" i="1"/>
  <c r="X1620" i="1"/>
  <c r="K1620" i="1"/>
  <c r="X1619" i="1"/>
  <c r="K1619" i="1"/>
  <c r="X1618" i="1"/>
  <c r="K1618" i="1"/>
  <c r="X1617" i="1"/>
  <c r="K1617" i="1"/>
  <c r="X1616" i="1"/>
  <c r="K1616" i="1"/>
  <c r="X1615" i="1"/>
  <c r="K1615" i="1"/>
  <c r="X1614" i="1"/>
  <c r="K1614" i="1"/>
  <c r="X1613" i="1"/>
  <c r="K1613" i="1"/>
  <c r="X1612" i="1"/>
  <c r="K1612" i="1"/>
  <c r="X1611" i="1"/>
  <c r="K1611" i="1"/>
  <c r="X1610" i="1"/>
  <c r="K1610" i="1"/>
  <c r="X1609" i="1"/>
  <c r="K1609" i="1"/>
  <c r="X1608" i="1"/>
  <c r="K1608" i="1"/>
  <c r="X1606" i="1"/>
  <c r="M1606" i="1"/>
  <c r="K1606" i="1"/>
  <c r="X1605" i="1"/>
  <c r="M1605" i="1"/>
  <c r="K1605" i="1"/>
  <c r="X1604" i="1"/>
  <c r="M1604" i="1"/>
  <c r="K1604" i="1"/>
  <c r="X1603" i="1"/>
  <c r="M1603" i="1"/>
  <c r="K1603" i="1"/>
  <c r="X1602" i="1"/>
  <c r="M1602" i="1"/>
  <c r="K1602" i="1"/>
  <c r="J1602" i="1"/>
  <c r="X1601" i="1"/>
  <c r="M1601" i="1"/>
  <c r="K1601" i="1"/>
  <c r="X1600" i="1"/>
  <c r="M1600" i="1"/>
  <c r="K1600" i="1"/>
  <c r="X1599" i="1"/>
  <c r="M1599" i="1"/>
  <c r="K1599" i="1"/>
  <c r="X1598" i="1"/>
  <c r="M1598" i="1"/>
  <c r="K1598" i="1"/>
  <c r="X1597" i="1"/>
  <c r="M1597" i="1"/>
  <c r="K1597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X1573" i="1"/>
  <c r="K1573" i="1"/>
  <c r="X1572" i="1"/>
  <c r="K1572" i="1"/>
  <c r="X1571" i="1"/>
  <c r="K1571" i="1"/>
  <c r="X1570" i="1"/>
  <c r="K1570" i="1"/>
  <c r="J1570" i="1"/>
  <c r="X1569" i="1"/>
  <c r="K1569" i="1"/>
  <c r="X1568" i="1"/>
  <c r="K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J1546" i="1"/>
  <c r="J1544" i="1"/>
  <c r="I1544" i="1"/>
  <c r="J1543" i="1"/>
  <c r="J1517" i="1"/>
  <c r="F1486" i="1"/>
  <c r="F1487" i="1"/>
  <c r="F1488" i="1"/>
  <c r="F1489" i="1"/>
  <c r="F1490" i="1"/>
  <c r="F1491" i="1"/>
  <c r="F1492" i="1"/>
  <c r="F1493" i="1"/>
  <c r="F1494" i="1"/>
  <c r="F1495" i="1"/>
  <c r="J1487" i="1"/>
  <c r="J1483" i="1"/>
  <c r="I1482" i="1"/>
  <c r="J1460" i="1"/>
  <c r="J1459" i="1"/>
  <c r="F1437" i="1"/>
  <c r="F1438" i="1"/>
  <c r="F1439" i="1"/>
  <c r="F1440" i="1"/>
  <c r="F1441" i="1"/>
  <c r="F1442" i="1"/>
  <c r="F1443" i="1"/>
  <c r="F1444" i="1"/>
  <c r="I1437" i="1"/>
  <c r="J1434" i="1"/>
  <c r="J1433" i="1"/>
  <c r="J1384" i="1"/>
  <c r="I1383" i="1"/>
  <c r="J137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U1358" i="1"/>
  <c r="U1356" i="1"/>
  <c r="U1355" i="1"/>
  <c r="U1353" i="1"/>
  <c r="I1352" i="1"/>
  <c r="U1348" i="1"/>
  <c r="U1345" i="1"/>
  <c r="I1316" i="1"/>
  <c r="I1315" i="1"/>
  <c r="I1314" i="1"/>
  <c r="J1313" i="1"/>
  <c r="X1274" i="1"/>
  <c r="X1272" i="1"/>
  <c r="X1271" i="1"/>
  <c r="X1270" i="1"/>
  <c r="X1229" i="1"/>
  <c r="M1229" i="1"/>
  <c r="K1229" i="1"/>
  <c r="X1228" i="1"/>
  <c r="M1228" i="1"/>
  <c r="K1228" i="1"/>
  <c r="X1227" i="1"/>
  <c r="M1227" i="1"/>
  <c r="K1227" i="1"/>
  <c r="X1226" i="1"/>
  <c r="M1226" i="1"/>
  <c r="K1226" i="1"/>
  <c r="X1225" i="1"/>
  <c r="M1225" i="1"/>
  <c r="K1225" i="1"/>
  <c r="X1224" i="1"/>
  <c r="M1224" i="1"/>
  <c r="K1224" i="1"/>
  <c r="X1223" i="1"/>
  <c r="M1223" i="1"/>
  <c r="K1223" i="1"/>
  <c r="X1222" i="1"/>
  <c r="M1222" i="1"/>
  <c r="K1222" i="1"/>
  <c r="X1221" i="1"/>
  <c r="M1221" i="1"/>
  <c r="K1221" i="1"/>
  <c r="X1220" i="1"/>
  <c r="M1220" i="1"/>
  <c r="K1220" i="1"/>
  <c r="X1219" i="1"/>
  <c r="M1219" i="1"/>
  <c r="K1219" i="1"/>
  <c r="X1218" i="1"/>
  <c r="M1218" i="1"/>
  <c r="K1218" i="1"/>
  <c r="X1217" i="1"/>
  <c r="M1217" i="1"/>
  <c r="K1217" i="1"/>
  <c r="X1216" i="1"/>
  <c r="M1216" i="1"/>
  <c r="K1216" i="1"/>
  <c r="X1215" i="1"/>
  <c r="M1215" i="1"/>
  <c r="K1215" i="1"/>
  <c r="X1214" i="1"/>
  <c r="M1214" i="1"/>
  <c r="K1214" i="1"/>
  <c r="X1213" i="1"/>
  <c r="M1213" i="1"/>
  <c r="K1213" i="1"/>
  <c r="X1211" i="1"/>
  <c r="K1211" i="1"/>
  <c r="X1210" i="1"/>
  <c r="K1210" i="1"/>
  <c r="X1209" i="1"/>
  <c r="K1209" i="1"/>
  <c r="X1208" i="1"/>
  <c r="K1208" i="1"/>
  <c r="X1207" i="1"/>
  <c r="K1207" i="1"/>
  <c r="X1206" i="1"/>
  <c r="K1206" i="1"/>
  <c r="X1205" i="1"/>
  <c r="K1205" i="1"/>
  <c r="X1204" i="1"/>
  <c r="K1204" i="1"/>
  <c r="X1203" i="1"/>
  <c r="K1203" i="1"/>
  <c r="X1202" i="1"/>
  <c r="K1202" i="1"/>
  <c r="X1201" i="1"/>
  <c r="K1201" i="1"/>
  <c r="X1200" i="1"/>
  <c r="K1200" i="1"/>
  <c r="X1199" i="1"/>
  <c r="K1199" i="1"/>
  <c r="X1198" i="1"/>
  <c r="K1198" i="1"/>
  <c r="X1197" i="1"/>
  <c r="K1197" i="1"/>
  <c r="X1196" i="1"/>
  <c r="K1196" i="1"/>
  <c r="X1195" i="1"/>
  <c r="K1195" i="1"/>
  <c r="X1194" i="1"/>
  <c r="K1194" i="1"/>
  <c r="X1193" i="1"/>
  <c r="K1193" i="1"/>
  <c r="X1192" i="1"/>
  <c r="K1192" i="1"/>
  <c r="X1191" i="1"/>
  <c r="X1189" i="1"/>
  <c r="X1188" i="1"/>
  <c r="X1187" i="1"/>
  <c r="J1187" i="1"/>
  <c r="I1187" i="1"/>
  <c r="X1186" i="1"/>
  <c r="X1185" i="1"/>
  <c r="X1184" i="1"/>
  <c r="X1183" i="1"/>
  <c r="X1182" i="1"/>
  <c r="X1181" i="1"/>
  <c r="X1180" i="1"/>
  <c r="X1179" i="1"/>
  <c r="X1162" i="1"/>
  <c r="J1098" i="1"/>
  <c r="J1095" i="1"/>
  <c r="I1092" i="1"/>
  <c r="J1053" i="1"/>
  <c r="J1048" i="1"/>
  <c r="J1047" i="1"/>
  <c r="K1040" i="1"/>
  <c r="K1037" i="1"/>
  <c r="K1035" i="1"/>
  <c r="X1034" i="1"/>
  <c r="M1027" i="1"/>
  <c r="X1026" i="1"/>
  <c r="V1026" i="1"/>
  <c r="M1026" i="1"/>
  <c r="X1025" i="1"/>
  <c r="V1025" i="1"/>
  <c r="X1024" i="1"/>
  <c r="X1019" i="1"/>
  <c r="V1019" i="1"/>
  <c r="M1018" i="1"/>
  <c r="V1017" i="1"/>
  <c r="I979" i="1"/>
  <c r="I978" i="1"/>
  <c r="I977" i="1"/>
  <c r="I976" i="1"/>
  <c r="I975" i="1"/>
  <c r="I974" i="1"/>
  <c r="I973" i="1"/>
  <c r="I972" i="1"/>
  <c r="I971" i="1"/>
  <c r="I970" i="1"/>
  <c r="I969" i="1"/>
  <c r="I967" i="1"/>
  <c r="I966" i="1"/>
  <c r="I965" i="1"/>
  <c r="I964" i="1"/>
  <c r="I963" i="1"/>
  <c r="I962" i="1"/>
  <c r="I961" i="1"/>
  <c r="I943" i="1"/>
  <c r="I942" i="1"/>
  <c r="I941" i="1"/>
  <c r="I940" i="1"/>
  <c r="I939" i="1"/>
  <c r="I938" i="1"/>
  <c r="I937" i="1"/>
  <c r="I936" i="1"/>
  <c r="I935" i="1"/>
  <c r="I934" i="1"/>
  <c r="I932" i="1"/>
  <c r="I931" i="1"/>
  <c r="I928" i="1"/>
  <c r="U926" i="1"/>
  <c r="I926" i="1"/>
  <c r="I924" i="1"/>
  <c r="I923" i="1"/>
  <c r="I913" i="1"/>
  <c r="I912" i="1"/>
  <c r="I911" i="1"/>
  <c r="I910" i="1"/>
  <c r="I909" i="1"/>
  <c r="I901" i="1"/>
  <c r="I891" i="1"/>
  <c r="U882" i="1"/>
  <c r="I882" i="1"/>
  <c r="I881" i="1"/>
  <c r="I880" i="1"/>
  <c r="U879" i="1"/>
  <c r="I879" i="1"/>
  <c r="U878" i="1"/>
  <c r="I878" i="1"/>
  <c r="I856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39" i="1"/>
  <c r="I832" i="1"/>
  <c r="I831" i="1"/>
  <c r="I830" i="1"/>
  <c r="I829" i="1"/>
  <c r="I828" i="1"/>
  <c r="I801" i="1"/>
  <c r="I799" i="1"/>
  <c r="I798" i="1"/>
  <c r="I797" i="1"/>
  <c r="I794" i="1"/>
  <c r="I793" i="1"/>
  <c r="I790" i="1"/>
  <c r="I789" i="1"/>
  <c r="I788" i="1"/>
  <c r="I783" i="1"/>
  <c r="I782" i="1"/>
  <c r="I780" i="1"/>
  <c r="I779" i="1"/>
  <c r="I778" i="1"/>
  <c r="I773" i="1"/>
  <c r="I772" i="1"/>
  <c r="I771" i="1"/>
  <c r="I770" i="1"/>
  <c r="I767" i="1"/>
  <c r="I766" i="1"/>
  <c r="I765" i="1"/>
  <c r="I759" i="1"/>
  <c r="I758" i="1"/>
  <c r="I757" i="1"/>
  <c r="I756" i="1"/>
  <c r="I755" i="1"/>
  <c r="I754" i="1"/>
  <c r="I753" i="1"/>
  <c r="I752" i="1"/>
  <c r="I720" i="1"/>
  <c r="I718" i="1"/>
  <c r="I716" i="1"/>
  <c r="I711" i="1"/>
  <c r="I672" i="1"/>
  <c r="I626" i="1"/>
  <c r="I622" i="1"/>
  <c r="I576" i="1"/>
  <c r="I574" i="1"/>
  <c r="I573" i="1"/>
  <c r="I570" i="1"/>
  <c r="I567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U539" i="1"/>
  <c r="U533" i="1"/>
  <c r="U520" i="1"/>
  <c r="U504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I450" i="1"/>
  <c r="I448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X359" i="1"/>
  <c r="K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I300" i="1"/>
  <c r="X299" i="1"/>
  <c r="I299" i="1"/>
  <c r="X298" i="1"/>
  <c r="I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I239" i="1"/>
  <c r="X238" i="1"/>
  <c r="I238" i="1"/>
  <c r="X237" i="1"/>
  <c r="X236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3" i="1"/>
  <c r="X202" i="1"/>
  <c r="X201" i="1"/>
  <c r="X200" i="1"/>
  <c r="X199" i="1"/>
  <c r="X198" i="1"/>
  <c r="X197" i="1"/>
  <c r="X196" i="1"/>
  <c r="X195" i="1"/>
  <c r="X194" i="1"/>
  <c r="X192" i="1"/>
  <c r="I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I172" i="1"/>
  <c r="X171" i="1"/>
  <c r="X170" i="1"/>
  <c r="X169" i="1"/>
  <c r="X168" i="1"/>
  <c r="X167" i="1"/>
  <c r="X166" i="1"/>
  <c r="I166" i="1"/>
  <c r="I139" i="1"/>
  <c r="I111" i="1"/>
  <c r="I110" i="1"/>
  <c r="I81" i="1"/>
  <c r="I49" i="1"/>
  <c r="I45" i="1"/>
  <c r="I43" i="1"/>
  <c r="I19" i="1"/>
  <c r="I16" i="1"/>
  <c r="AK759" i="7"/>
  <c r="AL759" i="7"/>
  <c r="AD759" i="7"/>
  <c r="AE759" i="7"/>
  <c r="M759" i="7"/>
  <c r="AK758" i="7"/>
  <c r="AL758" i="7"/>
  <c r="AD758" i="7"/>
  <c r="AE758" i="7"/>
  <c r="M758" i="7"/>
  <c r="AK757" i="7"/>
  <c r="AL757" i="7"/>
  <c r="AD757" i="7"/>
  <c r="AE757" i="7"/>
  <c r="M757" i="7"/>
  <c r="AK756" i="7"/>
  <c r="AL756" i="7"/>
  <c r="AD756" i="7"/>
  <c r="AE756" i="7"/>
  <c r="M756" i="7"/>
  <c r="AK755" i="7"/>
  <c r="AL755" i="7"/>
  <c r="AD755" i="7"/>
  <c r="AE755" i="7"/>
  <c r="M755" i="7"/>
  <c r="AK754" i="7"/>
  <c r="AL754" i="7"/>
  <c r="AD754" i="7"/>
  <c r="AE754" i="7"/>
  <c r="M754" i="7"/>
  <c r="AK753" i="7"/>
  <c r="AL753" i="7"/>
  <c r="AD753" i="7"/>
  <c r="AE753" i="7"/>
  <c r="AK752" i="7"/>
  <c r="AL752" i="7"/>
  <c r="AD752" i="7"/>
  <c r="AE752" i="7"/>
  <c r="AK751" i="7"/>
  <c r="AL751" i="7"/>
  <c r="AD751" i="7"/>
  <c r="AE751" i="7"/>
  <c r="AK750" i="7"/>
  <c r="AL750" i="7"/>
  <c r="AD750" i="7"/>
  <c r="AE750" i="7"/>
  <c r="AK749" i="7"/>
  <c r="AL749" i="7"/>
  <c r="AD749" i="7"/>
  <c r="AE749" i="7"/>
  <c r="AK748" i="7"/>
  <c r="AL748" i="7"/>
  <c r="AD748" i="7"/>
  <c r="AE748" i="7"/>
  <c r="AK747" i="7"/>
  <c r="AL747" i="7"/>
  <c r="AD747" i="7"/>
  <c r="AE747" i="7"/>
  <c r="AK745" i="7"/>
  <c r="AL745" i="7"/>
  <c r="AD745" i="7"/>
  <c r="AE745" i="7"/>
  <c r="AK744" i="7"/>
  <c r="AL744" i="7"/>
  <c r="AD744" i="7"/>
  <c r="AE744" i="7"/>
  <c r="AK743" i="7"/>
  <c r="AL743" i="7"/>
  <c r="AD743" i="7"/>
  <c r="AE743" i="7"/>
  <c r="AK742" i="7"/>
  <c r="AL742" i="7"/>
  <c r="AD742" i="7"/>
  <c r="AE742" i="7"/>
  <c r="AK740" i="7"/>
  <c r="AL740" i="7"/>
  <c r="AD740" i="7"/>
  <c r="AE740" i="7"/>
  <c r="AK739" i="7"/>
  <c r="AL739" i="7"/>
  <c r="AD739" i="7"/>
  <c r="AE739" i="7"/>
  <c r="AK738" i="7"/>
  <c r="AL738" i="7"/>
  <c r="AD738" i="7"/>
  <c r="AE738" i="7"/>
  <c r="AK737" i="7"/>
  <c r="AL737" i="7"/>
  <c r="AD737" i="7"/>
  <c r="AE737" i="7"/>
  <c r="AK736" i="7"/>
  <c r="AL736" i="7"/>
  <c r="AD736" i="7"/>
  <c r="AE736" i="7"/>
  <c r="AK735" i="7"/>
  <c r="AL735" i="7"/>
  <c r="AD735" i="7"/>
  <c r="AE735" i="7"/>
  <c r="AK734" i="7"/>
  <c r="AL734" i="7"/>
  <c r="AD734" i="7"/>
  <c r="AE734" i="7"/>
  <c r="AK732" i="7"/>
  <c r="AL732" i="7"/>
  <c r="AD732" i="7"/>
  <c r="AE732" i="7"/>
  <c r="AK731" i="7"/>
  <c r="AL731" i="7"/>
  <c r="AD731" i="7"/>
  <c r="AE731" i="7"/>
  <c r="AL730" i="7"/>
  <c r="AD730" i="7"/>
  <c r="AE730" i="7"/>
  <c r="AK728" i="7"/>
  <c r="AL728" i="7"/>
  <c r="AD728" i="7"/>
  <c r="AE728" i="7"/>
  <c r="AK726" i="7"/>
  <c r="AL726" i="7"/>
  <c r="AN726" i="7"/>
  <c r="AD726" i="7"/>
  <c r="AE726" i="7"/>
  <c r="AK724" i="7"/>
  <c r="AL724" i="7"/>
  <c r="AE724" i="7"/>
  <c r="AK722" i="7"/>
  <c r="AL722" i="7"/>
  <c r="AD722" i="7"/>
  <c r="AK721" i="7"/>
  <c r="AL721" i="7"/>
  <c r="AD721" i="7"/>
  <c r="AK720" i="7"/>
  <c r="AL720" i="7"/>
  <c r="AD720" i="7"/>
  <c r="AK719" i="7"/>
  <c r="AL719" i="7"/>
  <c r="AD719" i="7"/>
  <c r="AK718" i="7"/>
  <c r="AL718" i="7"/>
  <c r="AD718" i="7"/>
  <c r="AK717" i="7"/>
  <c r="AL717" i="7"/>
  <c r="AD717" i="7"/>
  <c r="AK716" i="7"/>
  <c r="AL716" i="7"/>
  <c r="AD716" i="7"/>
  <c r="AK715" i="7"/>
  <c r="AL715" i="7"/>
  <c r="AD715" i="7"/>
  <c r="AK714" i="7"/>
  <c r="AL714" i="7"/>
  <c r="AD714" i="7"/>
  <c r="AK713" i="7"/>
  <c r="AL713" i="7"/>
  <c r="AD713" i="7"/>
  <c r="AK712" i="7"/>
  <c r="AL712" i="7"/>
  <c r="AD712" i="7"/>
  <c r="AK711" i="7"/>
  <c r="AL711" i="7"/>
  <c r="AD711" i="7"/>
  <c r="AK710" i="7"/>
  <c r="AL710" i="7"/>
  <c r="AD710" i="7"/>
  <c r="AK709" i="7"/>
  <c r="AL709" i="7"/>
  <c r="AD709" i="7"/>
  <c r="AK708" i="7"/>
  <c r="AL708" i="7"/>
  <c r="AD708" i="7"/>
  <c r="AK707" i="7"/>
  <c r="AL707" i="7"/>
  <c r="AD707" i="7"/>
  <c r="AK706" i="7"/>
  <c r="AL706" i="7"/>
  <c r="AD706" i="7"/>
  <c r="AK705" i="7"/>
  <c r="AL705" i="7"/>
  <c r="AD705" i="7"/>
  <c r="AK704" i="7"/>
  <c r="AL704" i="7"/>
  <c r="AD704" i="7"/>
  <c r="AK703" i="7"/>
  <c r="AL703" i="7"/>
  <c r="AD703" i="7"/>
  <c r="AK702" i="7"/>
  <c r="AL702" i="7"/>
  <c r="AD702" i="7"/>
  <c r="AK701" i="7"/>
  <c r="AL701" i="7"/>
  <c r="AD701" i="7"/>
  <c r="AK699" i="7"/>
  <c r="AL699" i="7"/>
  <c r="AD699" i="7"/>
  <c r="AK698" i="7"/>
  <c r="AL698" i="7"/>
  <c r="AD698" i="7"/>
  <c r="AK697" i="7"/>
  <c r="AL697" i="7"/>
  <c r="AD697" i="7"/>
  <c r="AK696" i="7"/>
  <c r="AL696" i="7"/>
  <c r="AD696" i="7"/>
  <c r="AK695" i="7"/>
  <c r="AL695" i="7"/>
  <c r="AD695" i="7"/>
  <c r="AK694" i="7"/>
  <c r="AL694" i="7"/>
  <c r="AD694" i="7"/>
  <c r="AK693" i="7"/>
  <c r="AL693" i="7"/>
  <c r="AD693" i="7"/>
  <c r="AK692" i="7"/>
  <c r="AL692" i="7"/>
  <c r="AD692" i="7"/>
  <c r="AK691" i="7"/>
  <c r="AL691" i="7"/>
  <c r="AD691" i="7"/>
  <c r="AK690" i="7"/>
  <c r="AL690" i="7"/>
  <c r="AD690" i="7"/>
  <c r="AK689" i="7"/>
  <c r="AL689" i="7"/>
  <c r="AD689" i="7"/>
  <c r="AK688" i="7"/>
  <c r="AL688" i="7"/>
  <c r="AD688" i="7"/>
  <c r="AK687" i="7"/>
  <c r="AL687" i="7"/>
  <c r="AD687" i="7"/>
  <c r="AK686" i="7"/>
  <c r="AL686" i="7"/>
  <c r="AD686" i="7"/>
  <c r="AK685" i="7"/>
  <c r="AL685" i="7"/>
  <c r="AD685" i="7"/>
  <c r="AK684" i="7"/>
  <c r="AL684" i="7"/>
  <c r="AD684" i="7"/>
  <c r="AK683" i="7"/>
  <c r="AL683" i="7"/>
  <c r="AD683" i="7"/>
  <c r="AK682" i="7"/>
  <c r="AL682" i="7"/>
  <c r="AD682" i="7"/>
  <c r="AK681" i="7"/>
  <c r="AL681" i="7"/>
  <c r="AD681" i="7"/>
  <c r="AK680" i="7"/>
  <c r="AL680" i="7"/>
  <c r="AD680" i="7"/>
  <c r="AK679" i="7"/>
  <c r="AL679" i="7"/>
  <c r="AD679" i="7"/>
  <c r="AK678" i="7"/>
  <c r="AL678" i="7"/>
  <c r="AD678" i="7"/>
  <c r="AK677" i="7"/>
  <c r="AL677" i="7"/>
  <c r="AD677" i="7"/>
  <c r="AK676" i="7"/>
  <c r="AL676" i="7"/>
  <c r="AD676" i="7"/>
  <c r="AK675" i="7"/>
  <c r="AL675" i="7"/>
  <c r="AD675" i="7"/>
  <c r="AK674" i="7"/>
  <c r="AL674" i="7"/>
  <c r="AD674" i="7"/>
  <c r="AK673" i="7"/>
  <c r="AL673" i="7"/>
  <c r="AD673" i="7"/>
  <c r="AK672" i="7"/>
  <c r="AL672" i="7"/>
  <c r="AD672" i="7"/>
  <c r="AK671" i="7"/>
  <c r="AL671" i="7"/>
  <c r="AD671" i="7"/>
  <c r="AK670" i="7"/>
  <c r="AL670" i="7"/>
  <c r="AD670" i="7"/>
  <c r="AK669" i="7"/>
  <c r="AL669" i="7"/>
  <c r="AD669" i="7"/>
  <c r="AK668" i="7"/>
  <c r="AL668" i="7"/>
  <c r="AD668" i="7"/>
  <c r="AK667" i="7"/>
  <c r="AL667" i="7"/>
  <c r="AD667" i="7"/>
  <c r="AK666" i="7"/>
  <c r="AL666" i="7"/>
  <c r="AD666" i="7"/>
  <c r="AK664" i="7"/>
  <c r="AL664" i="7"/>
  <c r="AD664" i="7"/>
  <c r="AK663" i="7"/>
  <c r="AL663" i="7"/>
  <c r="AD663" i="7"/>
  <c r="AK662" i="7"/>
  <c r="AL662" i="7"/>
  <c r="AD662" i="7"/>
  <c r="AK661" i="7"/>
  <c r="AL661" i="7"/>
  <c r="AD661" i="7"/>
  <c r="AK660" i="7"/>
  <c r="AL660" i="7"/>
  <c r="AD660" i="7"/>
  <c r="AK659" i="7"/>
  <c r="AL659" i="7"/>
  <c r="AD659" i="7"/>
  <c r="AK658" i="7"/>
  <c r="AL658" i="7"/>
  <c r="AD658" i="7"/>
  <c r="AK657" i="7"/>
  <c r="AL657" i="7"/>
  <c r="AD657" i="7"/>
  <c r="AK656" i="7"/>
  <c r="AL656" i="7"/>
  <c r="AD656" i="7"/>
  <c r="M656" i="7"/>
  <c r="AK655" i="7"/>
  <c r="AL655" i="7"/>
  <c r="AN655" i="7"/>
  <c r="AD655" i="7"/>
  <c r="AK654" i="7"/>
  <c r="AL654" i="7"/>
  <c r="AD654" i="7"/>
  <c r="AK653" i="7"/>
  <c r="AL653" i="7"/>
  <c r="AD653" i="7"/>
  <c r="AK652" i="7"/>
  <c r="AL652" i="7"/>
  <c r="AD652" i="7"/>
  <c r="AK651" i="7"/>
  <c r="AL651" i="7"/>
  <c r="AD651" i="7"/>
  <c r="AK650" i="7"/>
  <c r="AL650" i="7"/>
  <c r="AD650" i="7"/>
  <c r="AK649" i="7"/>
  <c r="AL649" i="7"/>
  <c r="AD649" i="7"/>
  <c r="AK648" i="7"/>
  <c r="AL648" i="7"/>
  <c r="AD648" i="7"/>
  <c r="AK647" i="7"/>
  <c r="AL647" i="7"/>
  <c r="AD647" i="7"/>
  <c r="AK646" i="7"/>
  <c r="AL646" i="7"/>
  <c r="AD646" i="7"/>
  <c r="AK645" i="7"/>
  <c r="AL645" i="7"/>
  <c r="AD645" i="7"/>
  <c r="AK644" i="7"/>
  <c r="AL644" i="7"/>
  <c r="AD644" i="7"/>
  <c r="AK643" i="7"/>
  <c r="AL643" i="7"/>
  <c r="AD643" i="7"/>
  <c r="AK642" i="7"/>
  <c r="AL642" i="7"/>
  <c r="AD642" i="7"/>
  <c r="AK641" i="7"/>
  <c r="AL641" i="7"/>
  <c r="AD641" i="7"/>
  <c r="AK640" i="7"/>
  <c r="AL640" i="7"/>
  <c r="AD640" i="7"/>
  <c r="AK639" i="7"/>
  <c r="AL639" i="7"/>
  <c r="AD639" i="7"/>
  <c r="AK638" i="7"/>
  <c r="AL638" i="7"/>
  <c r="AD638" i="7"/>
  <c r="AK637" i="7"/>
  <c r="AL637" i="7"/>
  <c r="AD637" i="7"/>
  <c r="AK636" i="7"/>
  <c r="AL636" i="7"/>
  <c r="AD636" i="7"/>
  <c r="AK635" i="7"/>
  <c r="AL635" i="7"/>
  <c r="AD635" i="7"/>
  <c r="AK634" i="7"/>
  <c r="AL634" i="7"/>
  <c r="AD634" i="7"/>
  <c r="AK633" i="7"/>
  <c r="AL633" i="7"/>
  <c r="AD633" i="7"/>
  <c r="AK632" i="7"/>
  <c r="AL632" i="7"/>
  <c r="AD632" i="7"/>
  <c r="AK631" i="7"/>
  <c r="AL631" i="7"/>
  <c r="AD631" i="7"/>
  <c r="AK630" i="7"/>
  <c r="AL630" i="7"/>
  <c r="AD630" i="7"/>
  <c r="AK629" i="7"/>
  <c r="AL629" i="7"/>
  <c r="AD629" i="7"/>
  <c r="AK628" i="7"/>
  <c r="AL628" i="7"/>
  <c r="AD628" i="7"/>
  <c r="AK627" i="7"/>
  <c r="AL627" i="7"/>
  <c r="AD627" i="7"/>
  <c r="AK625" i="7"/>
  <c r="AL625" i="7"/>
  <c r="AD625" i="7"/>
  <c r="AK624" i="7"/>
  <c r="AL624" i="7"/>
  <c r="AD624" i="7"/>
  <c r="AK623" i="7"/>
  <c r="AL623" i="7"/>
  <c r="AD623" i="7"/>
  <c r="AK622" i="7"/>
  <c r="AL622" i="7"/>
  <c r="AN622" i="7"/>
  <c r="AD622" i="7"/>
  <c r="AK621" i="7"/>
  <c r="AL621" i="7"/>
  <c r="AD621" i="7"/>
  <c r="AK620" i="7"/>
  <c r="AL620" i="7"/>
  <c r="AD620" i="7"/>
  <c r="AK619" i="7"/>
  <c r="AL619" i="7"/>
  <c r="AD619" i="7"/>
  <c r="AK618" i="7"/>
  <c r="AL618" i="7"/>
  <c r="AD618" i="7"/>
  <c r="AK617" i="7"/>
  <c r="AL617" i="7"/>
  <c r="AD617" i="7"/>
  <c r="AK616" i="7"/>
  <c r="AL616" i="7"/>
  <c r="AD616" i="7"/>
  <c r="AK615" i="7"/>
  <c r="AL615" i="7"/>
  <c r="AD615" i="7"/>
  <c r="AK614" i="7"/>
  <c r="AL614" i="7"/>
  <c r="AD614" i="7"/>
  <c r="AK613" i="7"/>
  <c r="AL613" i="7"/>
  <c r="AD613" i="7"/>
  <c r="AK612" i="7"/>
  <c r="AL612" i="7"/>
  <c r="AD612" i="7"/>
  <c r="AK611" i="7"/>
  <c r="AL611" i="7"/>
  <c r="AD611" i="7"/>
  <c r="AK610" i="7"/>
  <c r="AL610" i="7"/>
  <c r="AD610" i="7"/>
  <c r="AK609" i="7"/>
  <c r="AL609" i="7"/>
  <c r="AD609" i="7"/>
  <c r="AK608" i="7"/>
  <c r="AL608" i="7"/>
  <c r="AD608" i="7"/>
  <c r="AK607" i="7"/>
  <c r="AL607" i="7"/>
  <c r="AD607" i="7"/>
  <c r="AK606" i="7"/>
  <c r="AL606" i="7"/>
  <c r="AD606" i="7"/>
  <c r="AK605" i="7"/>
  <c r="AL605" i="7"/>
  <c r="AD605" i="7"/>
  <c r="AK604" i="7"/>
  <c r="AL604" i="7"/>
  <c r="AD604" i="7"/>
  <c r="AK603" i="7"/>
  <c r="AL603" i="7"/>
  <c r="AD603" i="7"/>
  <c r="AK602" i="7"/>
  <c r="AL602" i="7"/>
  <c r="AD602" i="7"/>
  <c r="AK601" i="7"/>
  <c r="AL601" i="7"/>
  <c r="AD601" i="7"/>
  <c r="AK600" i="7"/>
  <c r="AL600" i="7"/>
  <c r="AD600" i="7"/>
  <c r="AK599" i="7"/>
  <c r="AL599" i="7"/>
  <c r="AD599" i="7"/>
  <c r="AK598" i="7"/>
  <c r="AL598" i="7"/>
  <c r="AD598" i="7"/>
  <c r="AK597" i="7"/>
  <c r="AL597" i="7"/>
  <c r="AD597" i="7"/>
  <c r="AK596" i="7"/>
  <c r="AL596" i="7"/>
  <c r="AD596" i="7"/>
  <c r="AK595" i="7"/>
  <c r="AL595" i="7"/>
  <c r="AD595" i="7"/>
  <c r="AK594" i="7"/>
  <c r="AL594" i="7"/>
  <c r="AD594" i="7"/>
  <c r="AK593" i="7"/>
  <c r="AL593" i="7"/>
  <c r="AD593" i="7"/>
  <c r="AK592" i="7"/>
  <c r="AL592" i="7"/>
  <c r="AD592" i="7"/>
  <c r="AK591" i="7"/>
  <c r="AL591" i="7"/>
  <c r="AD591" i="7"/>
  <c r="AK590" i="7"/>
  <c r="AL590" i="7"/>
  <c r="AD590" i="7"/>
  <c r="AK589" i="7"/>
  <c r="AL589" i="7"/>
  <c r="AD589" i="7"/>
  <c r="AK588" i="7"/>
  <c r="AL588" i="7"/>
  <c r="AD588" i="7"/>
  <c r="AK587" i="7"/>
  <c r="AL587" i="7"/>
  <c r="AD587" i="7"/>
  <c r="AK586" i="7"/>
  <c r="AL586" i="7"/>
  <c r="AD586" i="7"/>
  <c r="AK585" i="7"/>
  <c r="AL585" i="7"/>
  <c r="AD585" i="7"/>
  <c r="AK584" i="7"/>
  <c r="AL584" i="7"/>
  <c r="AD584" i="7"/>
  <c r="AK583" i="7"/>
  <c r="AL583" i="7"/>
  <c r="AD583" i="7"/>
  <c r="AK582" i="7"/>
  <c r="AL582" i="7"/>
  <c r="AD582" i="7"/>
  <c r="AK581" i="7"/>
  <c r="AL581" i="7"/>
  <c r="AD581" i="7"/>
  <c r="AK579" i="7"/>
  <c r="AL579" i="7"/>
  <c r="AD579" i="7"/>
  <c r="AK578" i="7"/>
  <c r="AL578" i="7"/>
  <c r="AD578" i="7"/>
  <c r="AK577" i="7"/>
  <c r="AL577" i="7"/>
  <c r="AD577" i="7"/>
  <c r="AK576" i="7"/>
  <c r="AL576" i="7"/>
  <c r="AD576" i="7"/>
  <c r="AK575" i="7"/>
  <c r="AL575" i="7"/>
  <c r="AD575" i="7"/>
  <c r="AK574" i="7"/>
  <c r="AL574" i="7"/>
  <c r="AD574" i="7"/>
  <c r="AK573" i="7"/>
  <c r="AL573" i="7"/>
  <c r="AD573" i="7"/>
  <c r="AK572" i="7"/>
  <c r="AL572" i="7"/>
  <c r="AD572" i="7"/>
  <c r="AK571" i="7"/>
  <c r="AL571" i="7"/>
  <c r="AD571" i="7"/>
  <c r="AK569" i="7"/>
  <c r="AL569" i="7"/>
  <c r="AD569" i="7"/>
  <c r="AK568" i="7"/>
  <c r="AL568" i="7"/>
  <c r="AD568" i="7"/>
  <c r="AK567" i="7"/>
  <c r="AL567" i="7"/>
  <c r="AD567" i="7"/>
  <c r="AK566" i="7"/>
  <c r="AL566" i="7"/>
  <c r="AD566" i="7"/>
  <c r="AK565" i="7"/>
  <c r="AL565" i="7"/>
  <c r="AD565" i="7"/>
  <c r="AK564" i="7"/>
  <c r="AL564" i="7"/>
  <c r="AD564" i="7"/>
  <c r="AK563" i="7"/>
  <c r="AL563" i="7"/>
  <c r="AD563" i="7"/>
  <c r="AK562" i="7"/>
  <c r="AL562" i="7"/>
  <c r="AD562" i="7"/>
  <c r="AK561" i="7"/>
  <c r="AL561" i="7"/>
  <c r="AD561" i="7"/>
  <c r="AK560" i="7"/>
  <c r="AL560" i="7"/>
  <c r="AD560" i="7"/>
  <c r="AK558" i="7"/>
  <c r="AL558" i="7"/>
  <c r="AD558" i="7"/>
  <c r="AE558" i="7"/>
  <c r="AK557" i="7"/>
  <c r="AL557" i="7"/>
  <c r="AD557" i="7"/>
  <c r="AE557" i="7"/>
  <c r="AK556" i="7"/>
  <c r="AL556" i="7"/>
  <c r="AD556" i="7"/>
  <c r="AE556" i="7"/>
  <c r="AK555" i="7"/>
  <c r="AL555" i="7"/>
  <c r="AD555" i="7"/>
  <c r="AE555" i="7"/>
  <c r="AK553" i="7"/>
  <c r="AL553" i="7"/>
  <c r="AD553" i="7"/>
  <c r="AE553" i="7"/>
  <c r="AK552" i="7"/>
  <c r="AL552" i="7"/>
  <c r="AE552" i="7"/>
  <c r="AO550" i="7"/>
  <c r="AK550" i="7"/>
  <c r="AL550" i="7"/>
  <c r="AD550" i="7"/>
  <c r="AE550" i="7"/>
  <c r="AK549" i="7"/>
  <c r="AL549" i="7"/>
  <c r="AD549" i="7"/>
  <c r="AE549" i="7"/>
  <c r="AK548" i="7"/>
  <c r="AL548" i="7"/>
  <c r="AD548" i="7"/>
  <c r="AE548" i="7"/>
  <c r="AK547" i="7"/>
  <c r="AL547" i="7"/>
  <c r="AD547" i="7"/>
  <c r="AE547" i="7"/>
  <c r="AK546" i="7"/>
  <c r="AL546" i="7"/>
  <c r="AD546" i="7"/>
  <c r="AE546" i="7"/>
  <c r="AK545" i="7"/>
  <c r="AL545" i="7"/>
  <c r="AD545" i="7"/>
  <c r="AE545" i="7"/>
  <c r="AK544" i="7"/>
  <c r="AL544" i="7"/>
  <c r="AD544" i="7"/>
  <c r="AE544" i="7"/>
  <c r="AK543" i="7"/>
  <c r="AL543" i="7"/>
  <c r="AD543" i="7"/>
  <c r="AE543" i="7"/>
  <c r="AK542" i="7"/>
  <c r="AL542" i="7"/>
  <c r="AD542" i="7"/>
  <c r="AE542" i="7"/>
  <c r="AK541" i="7"/>
  <c r="AL541" i="7"/>
  <c r="AD541" i="7"/>
  <c r="AE541" i="7"/>
  <c r="AK540" i="7"/>
  <c r="AL540" i="7"/>
  <c r="AD540" i="7"/>
  <c r="AE540" i="7"/>
  <c r="AK539" i="7"/>
  <c r="AL539" i="7"/>
  <c r="AD539" i="7"/>
  <c r="AE539" i="7"/>
  <c r="AK538" i="7"/>
  <c r="AL538" i="7"/>
  <c r="AD538" i="7"/>
  <c r="AE538" i="7"/>
  <c r="AK537" i="7"/>
  <c r="AL537" i="7"/>
  <c r="AD537" i="7"/>
  <c r="AE537" i="7"/>
  <c r="AK536" i="7"/>
  <c r="AL536" i="7"/>
  <c r="AD536" i="7"/>
  <c r="AE536" i="7"/>
  <c r="AK535" i="7"/>
  <c r="AL535" i="7"/>
  <c r="AD535" i="7"/>
  <c r="AE535" i="7"/>
  <c r="AK534" i="7"/>
  <c r="AL534" i="7"/>
  <c r="AD534" i="7"/>
  <c r="AE534" i="7"/>
  <c r="AK533" i="7"/>
  <c r="AL533" i="7"/>
  <c r="AD533" i="7"/>
  <c r="AE533" i="7"/>
  <c r="AK532" i="7"/>
  <c r="AL532" i="7"/>
  <c r="AD532" i="7"/>
  <c r="AE532" i="7"/>
  <c r="AO531" i="7"/>
  <c r="AK531" i="7"/>
  <c r="AL531" i="7"/>
  <c r="AD531" i="7"/>
  <c r="AE531" i="7"/>
  <c r="AK530" i="7"/>
  <c r="AL530" i="7"/>
  <c r="AD530" i="7"/>
  <c r="AE530" i="7"/>
  <c r="AE529" i="7"/>
  <c r="AE528" i="7"/>
  <c r="AE527" i="7"/>
  <c r="AE526" i="7"/>
  <c r="AE525" i="7"/>
  <c r="AE524" i="7"/>
  <c r="AE523" i="7"/>
  <c r="AE522" i="7"/>
  <c r="AG522" i="7"/>
  <c r="AD521" i="7"/>
  <c r="AE521" i="7"/>
  <c r="AE520" i="7"/>
  <c r="AL519" i="7"/>
  <c r="AN519" i="7"/>
  <c r="AW518" i="7"/>
  <c r="AK518" i="7"/>
  <c r="AL518" i="7"/>
  <c r="AD518" i="7"/>
  <c r="AE518" i="7"/>
  <c r="M518" i="7"/>
  <c r="AK517" i="7"/>
  <c r="AL517" i="7"/>
  <c r="AD517" i="7"/>
  <c r="AE517" i="7"/>
  <c r="N517" i="7"/>
  <c r="M517" i="7"/>
  <c r="AT516" i="7"/>
  <c r="AK516" i="7"/>
  <c r="AL516" i="7"/>
  <c r="AE516" i="7"/>
  <c r="N516" i="7"/>
  <c r="M516" i="7"/>
  <c r="AT515" i="7"/>
  <c r="AK515" i="7"/>
  <c r="AL515" i="7"/>
  <c r="AE515" i="7"/>
  <c r="AK514" i="7"/>
  <c r="AL514" i="7"/>
  <c r="AD514" i="7"/>
  <c r="AE514" i="7"/>
  <c r="AK513" i="7"/>
  <c r="AL513" i="7"/>
  <c r="AD513" i="7"/>
  <c r="AE513" i="7"/>
  <c r="AT512" i="7"/>
  <c r="AK512" i="7"/>
  <c r="AL512" i="7"/>
  <c r="AD512" i="7"/>
  <c r="AE512" i="7"/>
  <c r="AK511" i="7"/>
  <c r="AL511" i="7"/>
  <c r="AD511" i="7"/>
  <c r="AE511" i="7"/>
  <c r="AK510" i="7"/>
  <c r="AL510" i="7"/>
  <c r="AD510" i="7"/>
  <c r="AE510" i="7"/>
  <c r="AT509" i="7"/>
  <c r="AK509" i="7"/>
  <c r="AL509" i="7"/>
  <c r="AD509" i="7"/>
  <c r="AE509" i="7"/>
  <c r="AK508" i="7"/>
  <c r="AL508" i="7"/>
  <c r="AD508" i="7"/>
  <c r="AE508" i="7"/>
  <c r="AK507" i="7"/>
  <c r="AL507" i="7"/>
  <c r="AD507" i="7"/>
  <c r="AE507" i="7"/>
  <c r="AK506" i="7"/>
  <c r="AL506" i="7"/>
  <c r="AD506" i="7"/>
  <c r="AE506" i="7"/>
  <c r="AO505" i="7"/>
  <c r="AK505" i="7"/>
  <c r="AL505" i="7"/>
  <c r="AD505" i="7"/>
  <c r="AE505" i="7"/>
  <c r="AK504" i="7"/>
  <c r="AL504" i="7"/>
  <c r="AD504" i="7"/>
  <c r="AE504" i="7"/>
  <c r="AK503" i="7"/>
  <c r="AL503" i="7"/>
  <c r="AD503" i="7"/>
  <c r="AE503" i="7"/>
  <c r="AK502" i="7"/>
  <c r="AL502" i="7"/>
  <c r="AD502" i="7"/>
  <c r="AE502" i="7"/>
  <c r="AK500" i="7"/>
  <c r="AL500" i="7"/>
  <c r="AD500" i="7"/>
  <c r="AE500" i="7"/>
  <c r="AK499" i="7"/>
  <c r="AL499" i="7"/>
  <c r="AD499" i="7"/>
  <c r="AE499" i="7"/>
  <c r="AK498" i="7"/>
  <c r="AL498" i="7"/>
  <c r="AD498" i="7"/>
  <c r="AE498" i="7"/>
  <c r="AK497" i="7"/>
  <c r="AL497" i="7"/>
  <c r="AD497" i="7"/>
  <c r="AE497" i="7"/>
  <c r="AK496" i="7"/>
  <c r="AL496" i="7"/>
  <c r="AD496" i="7"/>
  <c r="AE496" i="7"/>
  <c r="AK495" i="7"/>
  <c r="AL495" i="7"/>
  <c r="AD495" i="7"/>
  <c r="AE495" i="7"/>
  <c r="AK494" i="7"/>
  <c r="AL494" i="7"/>
  <c r="AD494" i="7"/>
  <c r="AE494" i="7"/>
  <c r="AK493" i="7"/>
  <c r="AL493" i="7"/>
  <c r="AD493" i="7"/>
  <c r="AE493" i="7"/>
  <c r="AK492" i="7"/>
  <c r="AL492" i="7"/>
  <c r="AD492" i="7"/>
  <c r="AE492" i="7"/>
  <c r="AK491" i="7"/>
  <c r="AL491" i="7"/>
  <c r="AD491" i="7"/>
  <c r="AE491" i="7"/>
  <c r="AK490" i="7"/>
  <c r="AL490" i="7"/>
  <c r="AD490" i="7"/>
  <c r="AE490" i="7"/>
  <c r="AK489" i="7"/>
  <c r="AL489" i="7"/>
  <c r="AD489" i="7"/>
  <c r="AE489" i="7"/>
  <c r="AK488" i="7"/>
  <c r="AL488" i="7"/>
  <c r="AD488" i="7"/>
  <c r="AE488" i="7"/>
  <c r="AK487" i="7"/>
  <c r="AL487" i="7"/>
  <c r="AD487" i="7"/>
  <c r="AE487" i="7"/>
  <c r="AK486" i="7"/>
  <c r="AL486" i="7"/>
  <c r="AD486" i="7"/>
  <c r="AE486" i="7"/>
  <c r="AK485" i="7"/>
  <c r="AL485" i="7"/>
  <c r="AD485" i="7"/>
  <c r="AE485" i="7"/>
  <c r="AK484" i="7"/>
  <c r="AL484" i="7"/>
  <c r="AD484" i="7"/>
  <c r="AE484" i="7"/>
  <c r="AK482" i="7"/>
  <c r="AL482" i="7"/>
  <c r="AD482" i="7"/>
  <c r="AE482" i="7"/>
  <c r="AK481" i="7"/>
  <c r="AL481" i="7"/>
  <c r="AD481" i="7"/>
  <c r="AE481" i="7"/>
  <c r="AK480" i="7"/>
  <c r="AL480" i="7"/>
  <c r="AD480" i="7"/>
  <c r="AE480" i="7"/>
  <c r="AK479" i="7"/>
  <c r="AL479" i="7"/>
  <c r="AD479" i="7"/>
  <c r="AE479" i="7"/>
  <c r="AK478" i="7"/>
  <c r="AL478" i="7"/>
  <c r="AD478" i="7"/>
  <c r="AE478" i="7"/>
  <c r="AK477" i="7"/>
  <c r="AL477" i="7"/>
  <c r="AD477" i="7"/>
  <c r="AE477" i="7"/>
  <c r="AK476" i="7"/>
  <c r="AL476" i="7"/>
  <c r="AD476" i="7"/>
  <c r="AE476" i="7"/>
  <c r="AK475" i="7"/>
  <c r="AL475" i="7"/>
  <c r="AD475" i="7"/>
  <c r="AE475" i="7"/>
  <c r="AK474" i="7"/>
  <c r="AL474" i="7"/>
  <c r="AD474" i="7"/>
  <c r="AE474" i="7"/>
  <c r="AK473" i="7"/>
  <c r="AL473" i="7"/>
  <c r="AD473" i="7"/>
  <c r="AE473" i="7"/>
  <c r="AK472" i="7"/>
  <c r="AL472" i="7"/>
  <c r="AD472" i="7"/>
  <c r="AE472" i="7"/>
  <c r="AK471" i="7"/>
  <c r="AL471" i="7"/>
  <c r="AD471" i="7"/>
  <c r="AE471" i="7"/>
  <c r="AK469" i="7"/>
  <c r="AL469" i="7"/>
  <c r="AD469" i="7"/>
  <c r="AE469" i="7"/>
  <c r="AK468" i="7"/>
  <c r="AL468" i="7"/>
  <c r="AD468" i="7"/>
  <c r="AE468" i="7"/>
  <c r="AK467" i="7"/>
  <c r="AL467" i="7"/>
  <c r="AD467" i="7"/>
  <c r="AE467" i="7"/>
  <c r="AK466" i="7"/>
  <c r="AL466" i="7"/>
  <c r="AD466" i="7"/>
  <c r="AE466" i="7"/>
  <c r="AK465" i="7"/>
  <c r="AL465" i="7"/>
  <c r="AD465" i="7"/>
  <c r="AE465" i="7"/>
  <c r="AK464" i="7"/>
  <c r="AL464" i="7"/>
  <c r="AD464" i="7"/>
  <c r="AE464" i="7"/>
  <c r="AK463" i="7"/>
  <c r="AL463" i="7"/>
  <c r="AD463" i="7"/>
  <c r="AE463" i="7"/>
  <c r="AK462" i="7"/>
  <c r="AL462" i="7"/>
  <c r="AD462" i="7"/>
  <c r="AE462" i="7"/>
  <c r="AK461" i="7"/>
  <c r="AL461" i="7"/>
  <c r="AD461" i="7"/>
  <c r="AE461" i="7"/>
  <c r="AK460" i="7"/>
  <c r="AL460" i="7"/>
  <c r="AD460" i="7"/>
  <c r="AE460" i="7"/>
  <c r="AK459" i="7"/>
  <c r="AL459" i="7"/>
  <c r="AD459" i="7"/>
  <c r="AE459" i="7"/>
  <c r="AK458" i="7"/>
  <c r="AL458" i="7"/>
  <c r="AD458" i="7"/>
  <c r="AE458" i="7"/>
  <c r="AK457" i="7"/>
  <c r="AL457" i="7"/>
  <c r="AD457" i="7"/>
  <c r="AE457" i="7"/>
  <c r="AK455" i="7"/>
  <c r="AL455" i="7"/>
  <c r="AD455" i="7"/>
  <c r="AE455" i="7"/>
  <c r="AK454" i="7"/>
  <c r="AL454" i="7"/>
  <c r="AD454" i="7"/>
  <c r="AE454" i="7"/>
  <c r="AK453" i="7"/>
  <c r="AL453" i="7"/>
  <c r="AD453" i="7"/>
  <c r="AE453" i="7"/>
  <c r="AK452" i="7"/>
  <c r="AL452" i="7"/>
  <c r="AD452" i="7"/>
  <c r="AE452" i="7"/>
  <c r="AK451" i="7"/>
  <c r="AL451" i="7"/>
  <c r="AD451" i="7"/>
  <c r="AE451" i="7"/>
  <c r="AK450" i="7"/>
  <c r="AL450" i="7"/>
  <c r="AD450" i="7"/>
  <c r="AE450" i="7"/>
  <c r="AK449" i="7"/>
  <c r="AL449" i="7"/>
  <c r="AD449" i="7"/>
  <c r="AE449" i="7"/>
  <c r="AK448" i="7"/>
  <c r="AL448" i="7"/>
  <c r="AD448" i="7"/>
  <c r="AE448" i="7"/>
  <c r="AK447" i="7"/>
  <c r="AL447" i="7"/>
  <c r="AD447" i="7"/>
  <c r="AE447" i="7"/>
  <c r="AK446" i="7"/>
  <c r="AL446" i="7"/>
  <c r="AD446" i="7"/>
  <c r="AE446" i="7"/>
  <c r="AK445" i="7"/>
  <c r="AL445" i="7"/>
  <c r="AD445" i="7"/>
  <c r="AE445" i="7"/>
  <c r="AK443" i="7"/>
  <c r="AL443" i="7"/>
  <c r="AD443" i="7"/>
  <c r="AE443" i="7"/>
  <c r="AK442" i="7"/>
  <c r="AL442" i="7"/>
  <c r="AD442" i="7"/>
  <c r="AE442" i="7"/>
  <c r="AK441" i="7"/>
  <c r="AL441" i="7"/>
  <c r="AD441" i="7"/>
  <c r="AE441" i="7"/>
  <c r="AK440" i="7"/>
  <c r="AL440" i="7"/>
  <c r="AD440" i="7"/>
  <c r="AE440" i="7"/>
  <c r="AK439" i="7"/>
  <c r="AL439" i="7"/>
  <c r="AE439" i="7"/>
  <c r="AK438" i="7"/>
  <c r="AL438" i="7"/>
  <c r="AD438" i="7"/>
  <c r="AE438" i="7"/>
  <c r="AK437" i="7"/>
  <c r="AL437" i="7"/>
  <c r="AE437" i="7"/>
  <c r="AK436" i="7"/>
  <c r="AL436" i="7"/>
  <c r="AD436" i="7"/>
  <c r="AE436" i="7"/>
  <c r="AK435" i="7"/>
  <c r="AL435" i="7"/>
  <c r="AK433" i="7"/>
  <c r="AL433" i="7"/>
  <c r="AD433" i="7"/>
  <c r="AE433" i="7"/>
  <c r="AK432" i="7"/>
  <c r="AL432" i="7"/>
  <c r="AD432" i="7"/>
  <c r="AE432" i="7"/>
  <c r="AK431" i="7"/>
  <c r="AL431" i="7"/>
  <c r="AD431" i="7"/>
  <c r="AE431" i="7"/>
  <c r="AK430" i="7"/>
  <c r="AL430" i="7"/>
  <c r="AD430" i="7"/>
  <c r="AE430" i="7"/>
  <c r="AK429" i="7"/>
  <c r="AL429" i="7"/>
  <c r="AD429" i="7"/>
  <c r="AE429" i="7"/>
  <c r="AK428" i="7"/>
  <c r="AL428" i="7"/>
  <c r="AD428" i="7"/>
  <c r="AE428" i="7"/>
  <c r="AK427" i="7"/>
  <c r="AL427" i="7"/>
  <c r="AD427" i="7"/>
  <c r="AE427" i="7"/>
  <c r="AK426" i="7"/>
  <c r="AL426" i="7"/>
  <c r="AD426" i="7"/>
  <c r="AE426" i="7"/>
  <c r="AK425" i="7"/>
  <c r="AL425" i="7"/>
  <c r="AD425" i="7"/>
  <c r="AE425" i="7"/>
  <c r="AK424" i="7"/>
  <c r="AL424" i="7"/>
  <c r="AD424" i="7"/>
  <c r="AE424" i="7"/>
  <c r="AK423" i="7"/>
  <c r="AL423" i="7"/>
  <c r="AD423" i="7"/>
  <c r="AE423" i="7"/>
  <c r="AK422" i="7"/>
  <c r="AL422" i="7"/>
  <c r="AD422" i="7"/>
  <c r="AE422" i="7"/>
  <c r="AK420" i="7"/>
  <c r="AL420" i="7"/>
  <c r="AD420" i="7"/>
  <c r="AE420" i="7"/>
  <c r="AK419" i="7"/>
  <c r="AL419" i="7"/>
  <c r="AD419" i="7"/>
  <c r="AE419" i="7"/>
  <c r="AK418" i="7"/>
  <c r="AL418" i="7"/>
  <c r="AD418" i="7"/>
  <c r="AE418" i="7"/>
  <c r="AK417" i="7"/>
  <c r="AL417" i="7"/>
  <c r="AD417" i="7"/>
  <c r="AE417" i="7"/>
  <c r="AK416" i="7"/>
  <c r="AL416" i="7"/>
  <c r="AD416" i="7"/>
  <c r="AE416" i="7"/>
  <c r="AK415" i="7"/>
  <c r="AL415" i="7"/>
  <c r="AD415" i="7"/>
  <c r="AE415" i="7"/>
  <c r="AK414" i="7"/>
  <c r="AL414" i="7"/>
  <c r="AD414" i="7"/>
  <c r="AE414" i="7"/>
  <c r="AK412" i="7"/>
  <c r="AK410" i="7"/>
  <c r="AT408" i="7"/>
  <c r="AK408" i="7"/>
  <c r="AL408" i="7"/>
  <c r="AD408" i="7"/>
  <c r="AE408" i="7"/>
  <c r="AT407" i="7"/>
  <c r="AK407" i="7"/>
  <c r="AL407" i="7"/>
  <c r="AD407" i="7"/>
  <c r="AE407" i="7"/>
  <c r="AK405" i="7"/>
  <c r="AL405" i="7"/>
  <c r="AD405" i="7"/>
  <c r="AE405" i="7"/>
  <c r="AK403" i="7"/>
  <c r="AL403" i="7"/>
  <c r="AD403" i="7"/>
  <c r="AE403" i="7"/>
  <c r="AK394" i="7"/>
  <c r="AL394" i="7"/>
  <c r="AD394" i="7"/>
  <c r="AE394" i="7"/>
  <c r="N394" i="7"/>
  <c r="AK393" i="7"/>
  <c r="AL393" i="7"/>
  <c r="AD393" i="7"/>
  <c r="AE393" i="7"/>
  <c r="AK389" i="7"/>
  <c r="AL389" i="7"/>
  <c r="AD389" i="7"/>
  <c r="AE389" i="7"/>
  <c r="N389" i="7"/>
  <c r="M389" i="7"/>
  <c r="AK388" i="7"/>
  <c r="AL388" i="7"/>
  <c r="AD388" i="7"/>
  <c r="AE388" i="7"/>
  <c r="AK385" i="7"/>
  <c r="AL385" i="7"/>
  <c r="AD385" i="7"/>
  <c r="AE385" i="7"/>
  <c r="AK379" i="7"/>
  <c r="AL379" i="7"/>
  <c r="AD379" i="7"/>
  <c r="AE379" i="7"/>
  <c r="AK378" i="7"/>
  <c r="AL378" i="7"/>
  <c r="AD378" i="7"/>
  <c r="AE378" i="7"/>
  <c r="AK377" i="7"/>
  <c r="AL377" i="7"/>
  <c r="AD377" i="7"/>
  <c r="AE377" i="7"/>
  <c r="AK376" i="7"/>
  <c r="AL376" i="7"/>
  <c r="AD376" i="7"/>
  <c r="AE376" i="7"/>
  <c r="AK371" i="7"/>
  <c r="AL371" i="7"/>
  <c r="AD371" i="7"/>
  <c r="AE371" i="7"/>
  <c r="AK370" i="7"/>
  <c r="AL370" i="7"/>
  <c r="AD370" i="7"/>
  <c r="AE370" i="7"/>
  <c r="AK364" i="7"/>
  <c r="AL364" i="7"/>
  <c r="AD364" i="7"/>
  <c r="AE364" i="7"/>
  <c r="AK363" i="7"/>
  <c r="AL363" i="7"/>
  <c r="AD363" i="7"/>
  <c r="AE363" i="7"/>
  <c r="AK362" i="7"/>
  <c r="AL362" i="7"/>
  <c r="AD362" i="7"/>
  <c r="AE362" i="7"/>
  <c r="AL360" i="7"/>
  <c r="AD360" i="7"/>
  <c r="AE360" i="7"/>
  <c r="AL359" i="7"/>
  <c r="AE359" i="7"/>
  <c r="AL358" i="7"/>
  <c r="AE358" i="7"/>
  <c r="AL357" i="7"/>
  <c r="AE357" i="7"/>
  <c r="AL356" i="7"/>
  <c r="AD356" i="7"/>
  <c r="AE356" i="7"/>
  <c r="AK355" i="7"/>
  <c r="AL355" i="7"/>
  <c r="AN355" i="7"/>
  <c r="AD355" i="7"/>
  <c r="AE355" i="7"/>
  <c r="AV354" i="7"/>
  <c r="AT354" i="7"/>
  <c r="AK354" i="7"/>
  <c r="AL354" i="7"/>
  <c r="AD354" i="7"/>
  <c r="AE354" i="7"/>
  <c r="AT352" i="7"/>
  <c r="AK352" i="7"/>
  <c r="AL352" i="7"/>
  <c r="AD352" i="7"/>
  <c r="AE352" i="7"/>
  <c r="AT351" i="7"/>
  <c r="AK351" i="7"/>
  <c r="AL351" i="7"/>
  <c r="AD351" i="7"/>
  <c r="AE351" i="7"/>
  <c r="AK350" i="7"/>
  <c r="AL350" i="7"/>
  <c r="AD350" i="7"/>
  <c r="AE350" i="7"/>
  <c r="AK349" i="7"/>
  <c r="AL349" i="7"/>
  <c r="AD349" i="7"/>
  <c r="AE349" i="7"/>
  <c r="AK348" i="7"/>
  <c r="AL348" i="7"/>
  <c r="AD348" i="7"/>
  <c r="AE348" i="7"/>
  <c r="AK347" i="7"/>
  <c r="AL347" i="7"/>
  <c r="AD347" i="7"/>
  <c r="AE347" i="7"/>
  <c r="AK346" i="7"/>
  <c r="AL346" i="7"/>
  <c r="AD346" i="7"/>
  <c r="AE346" i="7"/>
  <c r="AK345" i="7"/>
  <c r="AL345" i="7"/>
  <c r="AD345" i="7"/>
  <c r="AE345" i="7"/>
  <c r="AK344" i="7"/>
  <c r="AL344" i="7"/>
  <c r="AD344" i="7"/>
  <c r="AE344" i="7"/>
  <c r="AK343" i="7"/>
  <c r="AL343" i="7"/>
  <c r="AD343" i="7"/>
  <c r="AE343" i="7"/>
  <c r="AK341" i="7"/>
  <c r="AL341" i="7"/>
  <c r="AD341" i="7"/>
  <c r="AE341" i="7"/>
  <c r="AK340" i="7"/>
  <c r="AL340" i="7"/>
  <c r="AD340" i="7"/>
  <c r="AE340" i="7"/>
  <c r="AK339" i="7"/>
  <c r="AL339" i="7"/>
  <c r="AD339" i="7"/>
  <c r="AE339" i="7"/>
  <c r="AK338" i="7"/>
  <c r="AL338" i="7"/>
  <c r="AD338" i="7"/>
  <c r="AE338" i="7"/>
  <c r="AK337" i="7"/>
  <c r="AL337" i="7"/>
  <c r="AD337" i="7"/>
  <c r="AE337" i="7"/>
  <c r="AK336" i="7"/>
  <c r="AL336" i="7"/>
  <c r="AD336" i="7"/>
  <c r="AE336" i="7"/>
  <c r="AK335" i="7"/>
  <c r="AL335" i="7"/>
  <c r="AD335" i="7"/>
  <c r="AE335" i="7"/>
  <c r="AK334" i="7"/>
  <c r="AL334" i="7"/>
  <c r="AE334" i="7"/>
  <c r="AK333" i="7"/>
  <c r="AL333" i="7"/>
  <c r="AD333" i="7"/>
  <c r="AE333" i="7"/>
  <c r="AK332" i="7"/>
  <c r="AL332" i="7"/>
  <c r="AD332" i="7"/>
  <c r="AE332" i="7"/>
  <c r="AK330" i="7"/>
  <c r="AL330" i="7"/>
  <c r="AD330" i="7"/>
  <c r="AE330" i="7"/>
  <c r="AK329" i="7"/>
  <c r="AL329" i="7"/>
  <c r="AD329" i="7"/>
  <c r="AE329" i="7"/>
  <c r="AK328" i="7"/>
  <c r="AL328" i="7"/>
  <c r="AD328" i="7"/>
  <c r="AE328" i="7"/>
  <c r="AK327" i="7"/>
  <c r="AL327" i="7"/>
  <c r="AD327" i="7"/>
  <c r="AE327" i="7"/>
  <c r="AK326" i="7"/>
  <c r="AL326" i="7"/>
  <c r="AD326" i="7"/>
  <c r="AE326" i="7"/>
  <c r="AK325" i="7"/>
  <c r="AL325" i="7"/>
  <c r="AD325" i="7"/>
  <c r="AE325" i="7"/>
  <c r="AK324" i="7"/>
  <c r="AL324" i="7"/>
  <c r="AD324" i="7"/>
  <c r="AE324" i="7"/>
  <c r="AK323" i="7"/>
  <c r="AL323" i="7"/>
  <c r="AD323" i="7"/>
  <c r="AE323" i="7"/>
  <c r="AK322" i="7"/>
  <c r="AL322" i="7"/>
  <c r="AD322" i="7"/>
  <c r="AE322" i="7"/>
  <c r="AK321" i="7"/>
  <c r="AL321" i="7"/>
  <c r="AD321" i="7"/>
  <c r="AE321" i="7"/>
  <c r="AK319" i="7"/>
  <c r="AL319" i="7"/>
  <c r="AD319" i="7"/>
  <c r="AE319" i="7"/>
  <c r="AK318" i="7"/>
  <c r="AL318" i="7"/>
  <c r="AD318" i="7"/>
  <c r="AE318" i="7"/>
  <c r="AK317" i="7"/>
  <c r="AL317" i="7"/>
  <c r="AD317" i="7"/>
  <c r="AE317" i="7"/>
  <c r="AK316" i="7"/>
  <c r="AL316" i="7"/>
  <c r="AD316" i="7"/>
  <c r="AE316" i="7"/>
  <c r="AK315" i="7"/>
  <c r="AL315" i="7"/>
  <c r="AD315" i="7"/>
  <c r="AE315" i="7"/>
  <c r="AK314" i="7"/>
  <c r="AL314" i="7"/>
  <c r="AD314" i="7"/>
  <c r="AE314" i="7"/>
  <c r="AK313" i="7"/>
  <c r="AL313" i="7"/>
  <c r="AD313" i="7"/>
  <c r="AE313" i="7"/>
  <c r="AK312" i="7"/>
  <c r="AL312" i="7"/>
  <c r="AD312" i="7"/>
  <c r="AE312" i="7"/>
  <c r="AK311" i="7"/>
  <c r="AL311" i="7"/>
  <c r="AD311" i="7"/>
  <c r="AE311" i="7"/>
  <c r="AK310" i="7"/>
  <c r="AL310" i="7"/>
  <c r="AD310" i="7"/>
  <c r="AE310" i="7"/>
  <c r="AK308" i="7"/>
  <c r="AL308" i="7"/>
  <c r="AD308" i="7"/>
  <c r="AE308" i="7"/>
  <c r="AK307" i="7"/>
  <c r="AL307" i="7"/>
  <c r="AD307" i="7"/>
  <c r="AE307" i="7"/>
  <c r="AK306" i="7"/>
  <c r="AL306" i="7"/>
  <c r="AD306" i="7"/>
  <c r="AE306" i="7"/>
  <c r="AK305" i="7"/>
  <c r="AL305" i="7"/>
  <c r="AD305" i="7"/>
  <c r="AE305" i="7"/>
  <c r="AK304" i="7"/>
  <c r="AL304" i="7"/>
  <c r="AD304" i="7"/>
  <c r="AE304" i="7"/>
  <c r="AK303" i="7"/>
  <c r="AL303" i="7"/>
  <c r="AD303" i="7"/>
  <c r="AE303" i="7"/>
  <c r="AK302" i="7"/>
  <c r="AL302" i="7"/>
  <c r="AD302" i="7"/>
  <c r="AE302" i="7"/>
  <c r="AK301" i="7"/>
  <c r="AL301" i="7"/>
  <c r="AD301" i="7"/>
  <c r="AE301" i="7"/>
  <c r="AK300" i="7"/>
  <c r="AL300" i="7"/>
  <c r="AN300" i="7"/>
  <c r="AD300" i="7"/>
  <c r="AE300" i="7"/>
  <c r="AK299" i="7"/>
  <c r="AL299" i="7"/>
  <c r="AD299" i="7"/>
  <c r="AE299" i="7"/>
  <c r="AK298" i="7"/>
  <c r="AL298" i="7"/>
  <c r="AD298" i="7"/>
  <c r="AE298" i="7"/>
  <c r="AK296" i="7"/>
  <c r="AL296" i="7"/>
  <c r="AD296" i="7"/>
  <c r="AE296" i="7"/>
  <c r="AK295" i="7"/>
  <c r="AL295" i="7"/>
  <c r="AD295" i="7"/>
  <c r="AE295" i="7"/>
  <c r="AK294" i="7"/>
  <c r="AL294" i="7"/>
  <c r="AD294" i="7"/>
  <c r="AE294" i="7"/>
  <c r="AK293" i="7"/>
  <c r="AL293" i="7"/>
  <c r="AD293" i="7"/>
  <c r="AE293" i="7"/>
  <c r="AK292" i="7"/>
  <c r="AL292" i="7"/>
  <c r="AD292" i="7"/>
  <c r="AE292" i="7"/>
  <c r="AK291" i="7"/>
  <c r="AL291" i="7"/>
  <c r="AD291" i="7"/>
  <c r="AE291" i="7"/>
  <c r="AK290" i="7"/>
  <c r="AL290" i="7"/>
  <c r="AD290" i="7"/>
  <c r="AE290" i="7"/>
  <c r="AK289" i="7"/>
  <c r="AL289" i="7"/>
  <c r="AD289" i="7"/>
  <c r="AE289" i="7"/>
  <c r="AK288" i="7"/>
  <c r="AL288" i="7"/>
  <c r="AD288" i="7"/>
  <c r="AE288" i="7"/>
  <c r="AK287" i="7"/>
  <c r="AL287" i="7"/>
  <c r="AD287" i="7"/>
  <c r="AE287" i="7"/>
  <c r="AK285" i="7"/>
  <c r="AL285" i="7"/>
  <c r="AD285" i="7"/>
  <c r="AE285" i="7"/>
  <c r="AK284" i="7"/>
  <c r="AL284" i="7"/>
  <c r="AD284" i="7"/>
  <c r="AE284" i="7"/>
  <c r="AK283" i="7"/>
  <c r="AL283" i="7"/>
  <c r="AD283" i="7"/>
  <c r="AE283" i="7"/>
  <c r="AK282" i="7"/>
  <c r="AL282" i="7"/>
  <c r="AD282" i="7"/>
  <c r="AE282" i="7"/>
  <c r="AK281" i="7"/>
  <c r="AL281" i="7"/>
  <c r="AD281" i="7"/>
  <c r="AE281" i="7"/>
  <c r="AK280" i="7"/>
  <c r="AL280" i="7"/>
  <c r="AD280" i="7"/>
  <c r="AE280" i="7"/>
  <c r="AK279" i="7"/>
  <c r="AL279" i="7"/>
  <c r="AD279" i="7"/>
  <c r="AE279" i="7"/>
  <c r="AK278" i="7"/>
  <c r="AL278" i="7"/>
  <c r="AD278" i="7"/>
  <c r="AE278" i="7"/>
  <c r="AK277" i="7"/>
  <c r="AL277" i="7"/>
  <c r="AD277" i="7"/>
  <c r="AE277" i="7"/>
  <c r="AK276" i="7"/>
  <c r="AL276" i="7"/>
  <c r="AD276" i="7"/>
  <c r="AE276" i="7"/>
  <c r="AK274" i="7"/>
  <c r="AL274" i="7"/>
  <c r="AD274" i="7"/>
  <c r="AE274" i="7"/>
  <c r="AK273" i="7"/>
  <c r="AL273" i="7"/>
  <c r="AD273" i="7"/>
  <c r="AE273" i="7"/>
  <c r="AK272" i="7"/>
  <c r="AL272" i="7"/>
  <c r="AD272" i="7"/>
  <c r="AE272" i="7"/>
  <c r="AK271" i="7"/>
  <c r="AL271" i="7"/>
  <c r="AD271" i="7"/>
  <c r="AE271" i="7"/>
  <c r="AK270" i="7"/>
  <c r="AL270" i="7"/>
  <c r="AD270" i="7"/>
  <c r="AE270" i="7"/>
  <c r="AK269" i="7"/>
  <c r="AL269" i="7"/>
  <c r="AD269" i="7"/>
  <c r="AE269" i="7"/>
  <c r="AK268" i="7"/>
  <c r="AL268" i="7"/>
  <c r="AD268" i="7"/>
  <c r="AE268" i="7"/>
  <c r="AK267" i="7"/>
  <c r="AL267" i="7"/>
  <c r="AD267" i="7"/>
  <c r="AE267" i="7"/>
  <c r="AK266" i="7"/>
  <c r="AL266" i="7"/>
  <c r="AD266" i="7"/>
  <c r="AE266" i="7"/>
  <c r="AK265" i="7"/>
  <c r="AL265" i="7"/>
  <c r="AD265" i="7"/>
  <c r="AE265" i="7"/>
  <c r="AK264" i="7"/>
  <c r="AL264" i="7"/>
  <c r="AD264" i="7"/>
  <c r="AE264" i="7"/>
  <c r="AL254" i="7"/>
  <c r="AE254" i="7"/>
  <c r="AL253" i="7"/>
  <c r="AE253" i="7"/>
  <c r="AL252" i="7"/>
  <c r="AE252" i="7"/>
  <c r="AL251" i="7"/>
  <c r="AE251" i="7"/>
  <c r="AL250" i="7"/>
  <c r="AE250" i="7"/>
  <c r="AL249" i="7"/>
  <c r="AE249" i="7"/>
  <c r="AG249" i="7"/>
  <c r="AL248" i="7"/>
  <c r="AE248" i="7"/>
  <c r="M248" i="7"/>
  <c r="AL247" i="7"/>
  <c r="AE247" i="7"/>
  <c r="AL246" i="7"/>
  <c r="AE246" i="7"/>
  <c r="AL245" i="7"/>
  <c r="AE245" i="7"/>
  <c r="AK244" i="7"/>
  <c r="AL244" i="7"/>
  <c r="AN244" i="7"/>
  <c r="AE244" i="7"/>
  <c r="AT243" i="7"/>
  <c r="AK243" i="7"/>
  <c r="AL243" i="7"/>
  <c r="AD243" i="7"/>
  <c r="AE243" i="7"/>
  <c r="AT242" i="7"/>
  <c r="AK242" i="7"/>
  <c r="AL242" i="7"/>
  <c r="AE242" i="7"/>
  <c r="AW240" i="7"/>
  <c r="AK240" i="7"/>
  <c r="AL240" i="7"/>
  <c r="AD240" i="7"/>
  <c r="AE240" i="7"/>
  <c r="AV239" i="7"/>
  <c r="AK239" i="7"/>
  <c r="AL239" i="7"/>
  <c r="AD239" i="7"/>
  <c r="AE239" i="7"/>
  <c r="M239" i="7"/>
  <c r="AT238" i="7"/>
  <c r="AK238" i="7"/>
  <c r="AL238" i="7"/>
  <c r="AD238" i="7"/>
  <c r="AE238" i="7"/>
  <c r="AK237" i="7"/>
  <c r="AL237" i="7"/>
  <c r="AD237" i="7"/>
  <c r="AE237" i="7"/>
  <c r="AK236" i="7"/>
  <c r="AL236" i="7"/>
  <c r="AN236" i="7"/>
  <c r="AD236" i="7"/>
  <c r="AE236" i="7"/>
  <c r="AT235" i="7"/>
  <c r="AK235" i="7"/>
  <c r="AL235" i="7"/>
  <c r="AD235" i="7"/>
  <c r="AE235" i="7"/>
  <c r="AL234" i="7"/>
  <c r="AE234" i="7"/>
  <c r="AT233" i="7"/>
  <c r="AK233" i="7"/>
  <c r="AL233" i="7"/>
  <c r="AD233" i="7"/>
  <c r="AE233" i="7"/>
  <c r="AL232" i="7"/>
  <c r="AN232" i="7"/>
  <c r="AD232" i="7"/>
  <c r="AE232" i="7"/>
  <c r="AT231" i="7"/>
  <c r="AK231" i="7"/>
  <c r="AL231" i="7"/>
  <c r="AD231" i="7"/>
  <c r="AE231" i="7"/>
  <c r="AT230" i="7"/>
  <c r="AK230" i="7"/>
  <c r="AL230" i="7"/>
  <c r="AD230" i="7"/>
  <c r="AE230" i="7"/>
  <c r="AT229" i="7"/>
  <c r="AK229" i="7"/>
  <c r="AL229" i="7"/>
  <c r="AD229" i="7"/>
  <c r="AE229" i="7"/>
  <c r="AK228" i="7"/>
  <c r="AL228" i="7"/>
  <c r="AD228" i="7"/>
  <c r="AE228" i="7"/>
  <c r="AK227" i="7"/>
  <c r="AL227" i="7"/>
  <c r="AD227" i="7"/>
  <c r="AE227" i="7"/>
  <c r="AK226" i="7"/>
  <c r="AL226" i="7"/>
  <c r="AD226" i="7"/>
  <c r="AE226" i="7"/>
  <c r="AK225" i="7"/>
  <c r="AL225" i="7"/>
  <c r="AD225" i="7"/>
  <c r="AE225" i="7"/>
  <c r="AK224" i="7"/>
  <c r="AL224" i="7"/>
  <c r="AD224" i="7"/>
  <c r="AE224" i="7"/>
  <c r="AK223" i="7"/>
  <c r="AL223" i="7"/>
  <c r="AD223" i="7"/>
  <c r="AE223" i="7"/>
  <c r="AK222" i="7"/>
  <c r="AL222" i="7"/>
  <c r="AD222" i="7"/>
  <c r="AE222" i="7"/>
  <c r="AK221" i="7"/>
  <c r="AL221" i="7"/>
  <c r="AD221" i="7"/>
  <c r="AE221" i="7"/>
  <c r="AK220" i="7"/>
  <c r="AL220" i="7"/>
  <c r="AD220" i="7"/>
  <c r="AE220" i="7"/>
  <c r="AK219" i="7"/>
  <c r="AL219" i="7"/>
  <c r="AD219" i="7"/>
  <c r="AE219" i="7"/>
  <c r="AK218" i="7"/>
  <c r="AL218" i="7"/>
  <c r="AD218" i="7"/>
  <c r="AE218" i="7"/>
  <c r="AK216" i="7"/>
  <c r="AL216" i="7"/>
  <c r="AD216" i="7"/>
  <c r="AE216" i="7"/>
  <c r="AK215" i="7"/>
  <c r="AL215" i="7"/>
  <c r="AD215" i="7"/>
  <c r="AE215" i="7"/>
  <c r="AK214" i="7"/>
  <c r="AL214" i="7"/>
  <c r="AD214" i="7"/>
  <c r="AE214" i="7"/>
  <c r="AK213" i="7"/>
  <c r="AL213" i="7"/>
  <c r="AD213" i="7"/>
  <c r="AE213" i="7"/>
  <c r="AK212" i="7"/>
  <c r="AL212" i="7"/>
  <c r="AD212" i="7"/>
  <c r="AE212" i="7"/>
  <c r="AK211" i="7"/>
  <c r="AL211" i="7"/>
  <c r="AD211" i="7"/>
  <c r="AE211" i="7"/>
  <c r="AK210" i="7"/>
  <c r="AL210" i="7"/>
  <c r="AD210" i="7"/>
  <c r="AE210" i="7"/>
  <c r="AK209" i="7"/>
  <c r="AL209" i="7"/>
  <c r="AD209" i="7"/>
  <c r="AE209" i="7"/>
  <c r="AK208" i="7"/>
  <c r="AL208" i="7"/>
  <c r="AD208" i="7"/>
  <c r="AE208" i="7"/>
  <c r="AK207" i="7"/>
  <c r="AL207" i="7"/>
  <c r="AD207" i="7"/>
  <c r="AE207" i="7"/>
  <c r="AK206" i="7"/>
  <c r="AL206" i="7"/>
  <c r="AD206" i="7"/>
  <c r="AE206" i="7"/>
  <c r="AK205" i="7"/>
  <c r="AL205" i="7"/>
  <c r="AD205" i="7"/>
  <c r="AE205" i="7"/>
  <c r="AK204" i="7"/>
  <c r="AL204" i="7"/>
  <c r="AD204" i="7"/>
  <c r="AE204" i="7"/>
  <c r="AK203" i="7"/>
  <c r="AL203" i="7"/>
  <c r="AD203" i="7"/>
  <c r="AE203" i="7"/>
  <c r="AK202" i="7"/>
  <c r="AL202" i="7"/>
  <c r="AD202" i="7"/>
  <c r="AE202" i="7"/>
  <c r="AK201" i="7"/>
  <c r="AL201" i="7"/>
  <c r="AD201" i="7"/>
  <c r="AE201" i="7"/>
  <c r="AK200" i="7"/>
  <c r="AL200" i="7"/>
  <c r="AD200" i="7"/>
  <c r="AE200" i="7"/>
  <c r="AK199" i="7"/>
  <c r="AL199" i="7"/>
  <c r="AD199" i="7"/>
  <c r="AE199" i="7"/>
  <c r="AK198" i="7"/>
  <c r="AL198" i="7"/>
  <c r="AD198" i="7"/>
  <c r="AE198" i="7"/>
  <c r="AK197" i="7"/>
  <c r="AL197" i="7"/>
  <c r="AD197" i="7"/>
  <c r="AE197" i="7"/>
  <c r="AK196" i="7"/>
  <c r="AL196" i="7"/>
  <c r="AD196" i="7"/>
  <c r="AE196" i="7"/>
  <c r="AK195" i="7"/>
  <c r="AL195" i="7"/>
  <c r="AD195" i="7"/>
  <c r="AE195" i="7"/>
  <c r="AK194" i="7"/>
  <c r="AL194" i="7"/>
  <c r="AD194" i="7"/>
  <c r="AE194" i="7"/>
  <c r="AK193" i="7"/>
  <c r="AL193" i="7"/>
  <c r="AD193" i="7"/>
  <c r="AE193" i="7"/>
  <c r="AK192" i="7"/>
  <c r="AL192" i="7"/>
  <c r="AD192" i="7"/>
  <c r="AE192" i="7"/>
  <c r="AK191" i="7"/>
  <c r="AL191" i="7"/>
  <c r="AD191" i="7"/>
  <c r="AE191" i="7"/>
  <c r="AK190" i="7"/>
  <c r="AL190" i="7"/>
  <c r="AD190" i="7"/>
  <c r="AE190" i="7"/>
  <c r="AK189" i="7"/>
  <c r="AL189" i="7"/>
  <c r="AD189" i="7"/>
  <c r="AE189" i="7"/>
  <c r="AK188" i="7"/>
  <c r="AL188" i="7"/>
  <c r="AD188" i="7"/>
  <c r="AE188" i="7"/>
  <c r="AK186" i="7"/>
  <c r="AL186" i="7"/>
  <c r="AD186" i="7"/>
  <c r="AE186" i="7"/>
  <c r="AK185" i="7"/>
  <c r="AL185" i="7"/>
  <c r="AE185" i="7"/>
  <c r="AK184" i="7"/>
  <c r="AL184" i="7"/>
  <c r="AD184" i="7"/>
  <c r="AE184" i="7"/>
  <c r="AK183" i="7"/>
  <c r="AL183" i="7"/>
  <c r="AD183" i="7"/>
  <c r="AE183" i="7"/>
  <c r="AK182" i="7"/>
  <c r="AL182" i="7"/>
  <c r="AD182" i="7"/>
  <c r="AE182" i="7"/>
  <c r="AK181" i="7"/>
  <c r="AL181" i="7"/>
  <c r="AD181" i="7"/>
  <c r="AE181" i="7"/>
  <c r="AK180" i="7"/>
  <c r="AL180" i="7"/>
  <c r="AD180" i="7"/>
  <c r="AE180" i="7"/>
  <c r="AK179" i="7"/>
  <c r="AL179" i="7"/>
  <c r="AD179" i="7"/>
  <c r="AE179" i="7"/>
  <c r="AK178" i="7"/>
  <c r="AL178" i="7"/>
  <c r="AD178" i="7"/>
  <c r="AE178" i="7"/>
  <c r="AK177" i="7"/>
  <c r="AL177" i="7"/>
  <c r="AD177" i="7"/>
  <c r="AE177" i="7"/>
  <c r="AK176" i="7"/>
  <c r="AL176" i="7"/>
  <c r="AD176" i="7"/>
  <c r="AE176" i="7"/>
  <c r="AK175" i="7"/>
  <c r="AL175" i="7"/>
  <c r="AD175" i="7"/>
  <c r="AE175" i="7"/>
  <c r="AK174" i="7"/>
  <c r="AL174" i="7"/>
  <c r="AD174" i="7"/>
  <c r="AE174" i="7"/>
  <c r="AK173" i="7"/>
  <c r="AL173" i="7"/>
  <c r="AD173" i="7"/>
  <c r="AE173" i="7"/>
  <c r="AK172" i="7"/>
  <c r="AL172" i="7"/>
  <c r="AD172" i="7"/>
  <c r="AE172" i="7"/>
  <c r="AK171" i="7"/>
  <c r="AL171" i="7"/>
  <c r="AD171" i="7"/>
  <c r="AE171" i="7"/>
  <c r="AK170" i="7"/>
  <c r="AL170" i="7"/>
  <c r="AD170" i="7"/>
  <c r="AE170" i="7"/>
  <c r="AK169" i="7"/>
  <c r="AL169" i="7"/>
  <c r="AD169" i="7"/>
  <c r="AE169" i="7"/>
  <c r="AK168" i="7"/>
  <c r="AL168" i="7"/>
  <c r="AD168" i="7"/>
  <c r="AE168" i="7"/>
  <c r="AK167" i="7"/>
  <c r="AL167" i="7"/>
  <c r="AD167" i="7"/>
  <c r="AE167" i="7"/>
  <c r="AK166" i="7"/>
  <c r="AL166" i="7"/>
  <c r="AD166" i="7"/>
  <c r="AE166" i="7"/>
  <c r="AK165" i="7"/>
  <c r="AL165" i="7"/>
  <c r="AD165" i="7"/>
  <c r="AE165" i="7"/>
  <c r="AK164" i="7"/>
  <c r="AL164" i="7"/>
  <c r="AD164" i="7"/>
  <c r="AE164" i="7"/>
  <c r="AK163" i="7"/>
  <c r="AL163" i="7"/>
  <c r="AD163" i="7"/>
  <c r="AE163" i="7"/>
  <c r="AK162" i="7"/>
  <c r="AL162" i="7"/>
  <c r="AD162" i="7"/>
  <c r="AE162" i="7"/>
  <c r="AK161" i="7"/>
  <c r="AL161" i="7"/>
  <c r="AD161" i="7"/>
  <c r="AE161" i="7"/>
  <c r="AK160" i="7"/>
  <c r="AL160" i="7"/>
  <c r="AD160" i="7"/>
  <c r="AE160" i="7"/>
  <c r="AK159" i="7"/>
  <c r="AL159" i="7"/>
  <c r="AD159" i="7"/>
  <c r="AE159" i="7"/>
  <c r="AK158" i="7"/>
  <c r="AL158" i="7"/>
  <c r="AD158" i="7"/>
  <c r="AE158" i="7"/>
  <c r="AK157" i="7"/>
  <c r="AL157" i="7"/>
  <c r="AD157" i="7"/>
  <c r="AE157" i="7"/>
  <c r="AK155" i="7"/>
  <c r="AL155" i="7"/>
  <c r="AD155" i="7"/>
  <c r="AE155" i="7"/>
  <c r="AK154" i="7"/>
  <c r="AL154" i="7"/>
  <c r="AD154" i="7"/>
  <c r="AE154" i="7"/>
  <c r="AK153" i="7"/>
  <c r="AL153" i="7"/>
  <c r="AD153" i="7"/>
  <c r="AE153" i="7"/>
  <c r="AK152" i="7"/>
  <c r="AL152" i="7"/>
  <c r="AD152" i="7"/>
  <c r="AE152" i="7"/>
  <c r="AK151" i="7"/>
  <c r="AL151" i="7"/>
  <c r="AD151" i="7"/>
  <c r="AE151" i="7"/>
  <c r="AK150" i="7"/>
  <c r="AL150" i="7"/>
  <c r="AD150" i="7"/>
  <c r="AE150" i="7"/>
  <c r="AK149" i="7"/>
  <c r="AL149" i="7"/>
  <c r="AD149" i="7"/>
  <c r="AE149" i="7"/>
  <c r="AK148" i="7"/>
  <c r="AL148" i="7"/>
  <c r="AD148" i="7"/>
  <c r="AE148" i="7"/>
  <c r="AK147" i="7"/>
  <c r="AL147" i="7"/>
  <c r="AD147" i="7"/>
  <c r="AE147" i="7"/>
  <c r="AK146" i="7"/>
  <c r="AL146" i="7"/>
  <c r="AD146" i="7"/>
  <c r="AE146" i="7"/>
  <c r="AK145" i="7"/>
  <c r="AL145" i="7"/>
  <c r="AD145" i="7"/>
  <c r="AE145" i="7"/>
  <c r="AK144" i="7"/>
  <c r="AL144" i="7"/>
  <c r="AD144" i="7"/>
  <c r="AE144" i="7"/>
  <c r="AK143" i="7"/>
  <c r="AL143" i="7"/>
  <c r="AD143" i="7"/>
  <c r="AE143" i="7"/>
  <c r="AK142" i="7"/>
  <c r="AL142" i="7"/>
  <c r="AD142" i="7"/>
  <c r="AE142" i="7"/>
  <c r="AK141" i="7"/>
  <c r="AL141" i="7"/>
  <c r="AD141" i="7"/>
  <c r="AE141" i="7"/>
  <c r="AK140" i="7"/>
  <c r="AL140" i="7"/>
  <c r="AD140" i="7"/>
  <c r="AE140" i="7"/>
  <c r="AK139" i="7"/>
  <c r="AL139" i="7"/>
  <c r="AD139" i="7"/>
  <c r="AE139" i="7"/>
  <c r="AK138" i="7"/>
  <c r="AL138" i="7"/>
  <c r="AD138" i="7"/>
  <c r="AE138" i="7"/>
  <c r="AK137" i="7"/>
  <c r="AL137" i="7"/>
  <c r="AD137" i="7"/>
  <c r="AE137" i="7"/>
  <c r="AK136" i="7"/>
  <c r="AL136" i="7"/>
  <c r="AD136" i="7"/>
  <c r="AE136" i="7"/>
  <c r="AK135" i="7"/>
  <c r="AL135" i="7"/>
  <c r="AD135" i="7"/>
  <c r="AE135" i="7"/>
  <c r="AK134" i="7"/>
  <c r="AL134" i="7"/>
  <c r="AD134" i="7"/>
  <c r="AE134" i="7"/>
  <c r="AK133" i="7"/>
  <c r="AL133" i="7"/>
  <c r="AD133" i="7"/>
  <c r="AE133" i="7"/>
  <c r="AK132" i="7"/>
  <c r="AL132" i="7"/>
  <c r="AD132" i="7"/>
  <c r="AE132" i="7"/>
  <c r="AK131" i="7"/>
  <c r="AL131" i="7"/>
  <c r="AD131" i="7"/>
  <c r="AE131" i="7"/>
  <c r="AK130" i="7"/>
  <c r="AL130" i="7"/>
  <c r="AD130" i="7"/>
  <c r="AE130" i="7"/>
  <c r="AK129" i="7"/>
  <c r="AL129" i="7"/>
  <c r="AD129" i="7"/>
  <c r="AE129" i="7"/>
  <c r="AK128" i="7"/>
  <c r="AL128" i="7"/>
  <c r="AD128" i="7"/>
  <c r="AE128" i="7"/>
  <c r="AK126" i="7"/>
  <c r="AL126" i="7"/>
  <c r="AD126" i="7"/>
  <c r="AE126" i="7"/>
  <c r="AK125" i="7"/>
  <c r="AL125" i="7"/>
  <c r="AD125" i="7"/>
  <c r="AE125" i="7"/>
  <c r="AK124" i="7"/>
  <c r="AL124" i="7"/>
  <c r="AD124" i="7"/>
  <c r="AE124" i="7"/>
  <c r="AK123" i="7"/>
  <c r="AL123" i="7"/>
  <c r="AD123" i="7"/>
  <c r="AE123" i="7"/>
  <c r="AK122" i="7"/>
  <c r="AL122" i="7"/>
  <c r="AD122" i="7"/>
  <c r="AE122" i="7"/>
  <c r="AK121" i="7"/>
  <c r="AL121" i="7"/>
  <c r="AD121" i="7"/>
  <c r="AE121" i="7"/>
  <c r="AK120" i="7"/>
  <c r="AL120" i="7"/>
  <c r="AD120" i="7"/>
  <c r="AE120" i="7"/>
  <c r="AK119" i="7"/>
  <c r="AL119" i="7"/>
  <c r="AD119" i="7"/>
  <c r="AE119" i="7"/>
  <c r="AK118" i="7"/>
  <c r="AL118" i="7"/>
  <c r="AD118" i="7"/>
  <c r="AE118" i="7"/>
  <c r="AK117" i="7"/>
  <c r="AL117" i="7"/>
  <c r="AD117" i="7"/>
  <c r="AE117" i="7"/>
  <c r="AK116" i="7"/>
  <c r="AL116" i="7"/>
  <c r="AD116" i="7"/>
  <c r="AE116" i="7"/>
  <c r="AK115" i="7"/>
  <c r="AL115" i="7"/>
  <c r="AD115" i="7"/>
  <c r="AE115" i="7"/>
  <c r="AK114" i="7"/>
  <c r="AL114" i="7"/>
  <c r="AD114" i="7"/>
  <c r="AE114" i="7"/>
  <c r="AK113" i="7"/>
  <c r="AL113" i="7"/>
  <c r="AD113" i="7"/>
  <c r="AE113" i="7"/>
  <c r="AK112" i="7"/>
  <c r="AL112" i="7"/>
  <c r="AD112" i="7"/>
  <c r="AE112" i="7"/>
  <c r="AK111" i="7"/>
  <c r="AL111" i="7"/>
  <c r="AD111" i="7"/>
  <c r="AE111" i="7"/>
  <c r="AK110" i="7"/>
  <c r="AL110" i="7"/>
  <c r="AD110" i="7"/>
  <c r="AE110" i="7"/>
  <c r="AK109" i="7"/>
  <c r="AL109" i="7"/>
  <c r="AD109" i="7"/>
  <c r="AE109" i="7"/>
  <c r="AK108" i="7"/>
  <c r="AL108" i="7"/>
  <c r="AD108" i="7"/>
  <c r="AE108" i="7"/>
  <c r="AK107" i="7"/>
  <c r="AL107" i="7"/>
  <c r="AD107" i="7"/>
  <c r="AE107" i="7"/>
  <c r="AK105" i="7"/>
  <c r="AL105" i="7"/>
  <c r="AD105" i="7"/>
  <c r="AE105" i="7"/>
  <c r="AK104" i="7"/>
  <c r="AL104" i="7"/>
  <c r="AD104" i="7"/>
  <c r="AE104" i="7"/>
  <c r="AK103" i="7"/>
  <c r="AL103" i="7"/>
  <c r="AD103" i="7"/>
  <c r="AE103" i="7"/>
  <c r="AK102" i="7"/>
  <c r="AL102" i="7"/>
  <c r="AD102" i="7"/>
  <c r="AE102" i="7"/>
  <c r="AK101" i="7"/>
  <c r="AL101" i="7"/>
  <c r="AD101" i="7"/>
  <c r="AE101" i="7"/>
  <c r="AK100" i="7"/>
  <c r="AL100" i="7"/>
  <c r="AD100" i="7"/>
  <c r="AE100" i="7"/>
  <c r="AK99" i="7"/>
  <c r="AL99" i="7"/>
  <c r="AD99" i="7"/>
  <c r="AE99" i="7"/>
  <c r="AK98" i="7"/>
  <c r="AL98" i="7"/>
  <c r="AD98" i="7"/>
  <c r="AE98" i="7"/>
  <c r="AK97" i="7"/>
  <c r="AL97" i="7"/>
  <c r="AD97" i="7"/>
  <c r="AE97" i="7"/>
  <c r="AK96" i="7"/>
  <c r="AL96" i="7"/>
  <c r="AD96" i="7"/>
  <c r="AE96" i="7"/>
  <c r="AK95" i="7"/>
  <c r="AL95" i="7"/>
  <c r="AD95" i="7"/>
  <c r="AE95" i="7"/>
  <c r="AK94" i="7"/>
  <c r="AL94" i="7"/>
  <c r="AD94" i="7"/>
  <c r="AE94" i="7"/>
  <c r="AK93" i="7"/>
  <c r="AL93" i="7"/>
  <c r="AD93" i="7"/>
  <c r="AE93" i="7"/>
  <c r="AK92" i="7"/>
  <c r="AL92" i="7"/>
  <c r="AD92" i="7"/>
  <c r="AE92" i="7"/>
  <c r="AK91" i="7"/>
  <c r="AL91" i="7"/>
  <c r="AD91" i="7"/>
  <c r="AE91" i="7"/>
  <c r="AK90" i="7"/>
  <c r="AL90" i="7"/>
  <c r="AD90" i="7"/>
  <c r="AE90" i="7"/>
  <c r="AK89" i="7"/>
  <c r="AL89" i="7"/>
  <c r="AD89" i="7"/>
  <c r="AE89" i="7"/>
  <c r="AK88" i="7"/>
  <c r="AL88" i="7"/>
  <c r="AD88" i="7"/>
  <c r="AE88" i="7"/>
  <c r="AK87" i="7"/>
  <c r="AL87" i="7"/>
  <c r="AD87" i="7"/>
  <c r="AE87" i="7"/>
  <c r="AK86" i="7"/>
  <c r="AL86" i="7"/>
  <c r="AD86" i="7"/>
  <c r="AE86" i="7"/>
  <c r="AK85" i="7"/>
  <c r="AL85" i="7"/>
  <c r="AD85" i="7"/>
  <c r="AE85" i="7"/>
  <c r="AK84" i="7"/>
  <c r="AL84" i="7"/>
  <c r="AD84" i="7"/>
  <c r="AE84" i="7"/>
  <c r="AK83" i="7"/>
  <c r="AL83" i="7"/>
  <c r="AD83" i="7"/>
  <c r="AE83" i="7"/>
  <c r="AK82" i="7"/>
  <c r="AL82" i="7"/>
  <c r="AD82" i="7"/>
  <c r="AE82" i="7"/>
  <c r="AK81" i="7"/>
  <c r="AL81" i="7"/>
  <c r="AD81" i="7"/>
  <c r="AE81" i="7"/>
  <c r="AK80" i="7"/>
  <c r="AL80" i="7"/>
  <c r="AD80" i="7"/>
  <c r="AE80" i="7"/>
  <c r="AK79" i="7"/>
  <c r="AL79" i="7"/>
  <c r="AD79" i="7"/>
  <c r="AE79" i="7"/>
  <c r="AK78" i="7"/>
  <c r="AL78" i="7"/>
  <c r="AD78" i="7"/>
  <c r="AE78" i="7"/>
  <c r="AK77" i="7"/>
  <c r="AL77" i="7"/>
  <c r="AD77" i="7"/>
  <c r="AE77" i="7"/>
  <c r="AK76" i="7"/>
  <c r="AL76" i="7"/>
  <c r="AD76" i="7"/>
  <c r="AE76" i="7"/>
  <c r="AK75" i="7"/>
  <c r="AL75" i="7"/>
  <c r="AD75" i="7"/>
  <c r="AE75" i="7"/>
  <c r="AK74" i="7"/>
  <c r="AL74" i="7"/>
  <c r="AD74" i="7"/>
  <c r="AE74" i="7"/>
  <c r="AK72" i="7"/>
  <c r="AL72" i="7"/>
  <c r="AD72" i="7"/>
  <c r="AE72" i="7"/>
  <c r="AK71" i="7"/>
  <c r="AL71" i="7"/>
  <c r="AD71" i="7"/>
  <c r="AE71" i="7"/>
  <c r="AK70" i="7"/>
  <c r="AL70" i="7"/>
  <c r="AD70" i="7"/>
  <c r="AE70" i="7"/>
  <c r="AK69" i="7"/>
  <c r="AL69" i="7"/>
  <c r="AD69" i="7"/>
  <c r="AE69" i="7"/>
  <c r="AK68" i="7"/>
  <c r="AL68" i="7"/>
  <c r="AD68" i="7"/>
  <c r="AE68" i="7"/>
  <c r="AK67" i="7"/>
  <c r="AL67" i="7"/>
  <c r="AD67" i="7"/>
  <c r="AE67" i="7"/>
  <c r="AK66" i="7"/>
  <c r="AL66" i="7"/>
  <c r="AD66" i="7"/>
  <c r="AE66" i="7"/>
  <c r="AK65" i="7"/>
  <c r="AL65" i="7"/>
  <c r="AD65" i="7"/>
  <c r="AE65" i="7"/>
  <c r="AK64" i="7"/>
  <c r="AL64" i="7"/>
  <c r="AD64" i="7"/>
  <c r="AE64" i="7"/>
  <c r="AK63" i="7"/>
  <c r="AL63" i="7"/>
  <c r="AD63" i="7"/>
  <c r="AE63" i="7"/>
  <c r="AK62" i="7"/>
  <c r="AL62" i="7"/>
  <c r="AD62" i="7"/>
  <c r="AE62" i="7"/>
  <c r="AK61" i="7"/>
  <c r="AL61" i="7"/>
  <c r="AD61" i="7"/>
  <c r="AE61" i="7"/>
  <c r="AK60" i="7"/>
  <c r="AL60" i="7"/>
  <c r="AD60" i="7"/>
  <c r="AE60" i="7"/>
  <c r="AK59" i="7"/>
  <c r="AL59" i="7"/>
  <c r="AD59" i="7"/>
  <c r="AE59" i="7"/>
  <c r="AK58" i="7"/>
  <c r="AL58" i="7"/>
  <c r="AD58" i="7"/>
  <c r="AE58" i="7"/>
  <c r="AK57" i="7"/>
  <c r="AL57" i="7"/>
  <c r="AD57" i="7"/>
  <c r="AE57" i="7"/>
  <c r="AK56" i="7"/>
  <c r="AL56" i="7"/>
  <c r="AD56" i="7"/>
  <c r="AE56" i="7"/>
  <c r="AK55" i="7"/>
  <c r="AL55" i="7"/>
  <c r="AD55" i="7"/>
  <c r="AE55" i="7"/>
  <c r="AK54" i="7"/>
  <c r="AL54" i="7"/>
  <c r="AD54" i="7"/>
  <c r="AE54" i="7"/>
  <c r="AK53" i="7"/>
  <c r="AL53" i="7"/>
  <c r="AD53" i="7"/>
  <c r="AE53" i="7"/>
  <c r="AK52" i="7"/>
  <c r="AL52" i="7"/>
  <c r="AD52" i="7"/>
  <c r="AE52" i="7"/>
  <c r="AK51" i="7"/>
  <c r="AL51" i="7"/>
  <c r="AD51" i="7"/>
  <c r="AE51" i="7"/>
  <c r="AK50" i="7"/>
  <c r="AL50" i="7"/>
  <c r="AD50" i="7"/>
  <c r="AE50" i="7"/>
  <c r="AK49" i="7"/>
  <c r="AL49" i="7"/>
  <c r="AD49" i="7"/>
  <c r="AE49" i="7"/>
  <c r="AK47" i="7"/>
  <c r="AL47" i="7"/>
  <c r="AD47" i="7"/>
  <c r="AE47" i="7"/>
  <c r="AK46" i="7"/>
  <c r="AL46" i="7"/>
  <c r="AD46" i="7"/>
  <c r="AE46" i="7"/>
  <c r="AK45" i="7"/>
  <c r="AL45" i="7"/>
  <c r="AD45" i="7"/>
  <c r="AE45" i="7"/>
  <c r="AK44" i="7"/>
  <c r="AL44" i="7"/>
  <c r="AD44" i="7"/>
  <c r="AE44" i="7"/>
  <c r="AK43" i="7"/>
  <c r="AL43" i="7"/>
  <c r="AD43" i="7"/>
  <c r="AE43" i="7"/>
  <c r="AK42" i="7"/>
  <c r="AL42" i="7"/>
  <c r="AD42" i="7"/>
  <c r="AE42" i="7"/>
  <c r="AK41" i="7"/>
  <c r="AL41" i="7"/>
  <c r="AD41" i="7"/>
  <c r="AE41" i="7"/>
  <c r="AK40" i="7"/>
  <c r="AL40" i="7"/>
  <c r="AD40" i="7"/>
  <c r="AE40" i="7"/>
  <c r="AK39" i="7"/>
  <c r="AL39" i="7"/>
  <c r="AD39" i="7"/>
  <c r="AE39" i="7"/>
  <c r="AK38" i="7"/>
  <c r="AL38" i="7"/>
  <c r="AD38" i="7"/>
  <c r="AE38" i="7"/>
  <c r="AK37" i="7"/>
  <c r="AL37" i="7"/>
  <c r="AD37" i="7"/>
  <c r="AE37" i="7"/>
  <c r="AK36" i="7"/>
  <c r="AL36" i="7"/>
  <c r="AD36" i="7"/>
  <c r="AE36" i="7"/>
  <c r="AK35" i="7"/>
  <c r="AL35" i="7"/>
  <c r="AD35" i="7"/>
  <c r="AE35" i="7"/>
  <c r="AK28" i="7"/>
  <c r="AL28" i="7"/>
  <c r="AD28" i="7"/>
  <c r="AE28" i="7"/>
  <c r="AK27" i="7"/>
  <c r="AL27" i="7"/>
  <c r="AD27" i="7"/>
  <c r="AE27" i="7"/>
  <c r="AK26" i="7"/>
  <c r="AL26" i="7"/>
  <c r="AD26" i="7"/>
  <c r="AE26" i="7"/>
  <c r="AK25" i="7"/>
  <c r="AL25" i="7"/>
  <c r="AD25" i="7"/>
  <c r="AE25" i="7"/>
  <c r="AK23" i="7"/>
  <c r="AL23" i="7"/>
  <c r="AD23" i="7"/>
  <c r="AE23" i="7"/>
  <c r="AK22" i="7"/>
  <c r="AL22" i="7"/>
  <c r="AD22" i="7"/>
  <c r="AE22" i="7"/>
  <c r="AK21" i="7"/>
  <c r="AL21" i="7"/>
  <c r="AD21" i="7"/>
  <c r="AE21" i="7"/>
  <c r="AK20" i="7"/>
  <c r="AL20" i="7"/>
  <c r="AD20" i="7"/>
  <c r="AE20" i="7"/>
  <c r="AK19" i="7"/>
  <c r="AL19" i="7"/>
  <c r="AD19" i="7"/>
  <c r="AE19" i="7"/>
  <c r="M19" i="7"/>
  <c r="AK18" i="7"/>
  <c r="AL18" i="7"/>
  <c r="AD18" i="7"/>
  <c r="AE18" i="7"/>
  <c r="AK17" i="7"/>
  <c r="AL17" i="7"/>
  <c r="AD17" i="7"/>
  <c r="AE17" i="7"/>
  <c r="AK16" i="7"/>
  <c r="AL16" i="7"/>
  <c r="AD16" i="7"/>
  <c r="AE16" i="7"/>
  <c r="AK15" i="7"/>
  <c r="AL15" i="7"/>
  <c r="AD15" i="7"/>
  <c r="AE15" i="7"/>
  <c r="AK14" i="7"/>
  <c r="AL14" i="7"/>
  <c r="AD14" i="7"/>
  <c r="AE14" i="7"/>
  <c r="M14" i="7"/>
  <c r="AK13" i="7"/>
  <c r="AL13" i="7"/>
  <c r="AD13" i="7"/>
  <c r="AE13" i="7"/>
  <c r="AK12" i="7"/>
  <c r="AL12" i="7"/>
  <c r="AD12" i="7"/>
  <c r="AE12" i="7"/>
  <c r="AK10" i="7"/>
  <c r="AL10" i="7"/>
  <c r="AD10" i="7"/>
  <c r="AE10" i="7"/>
  <c r="AK9" i="7"/>
  <c r="AL9" i="7"/>
  <c r="AD9" i="7"/>
  <c r="AE9" i="7"/>
  <c r="AK8" i="7"/>
  <c r="AL8" i="7"/>
  <c r="AN8" i="7"/>
  <c r="AD8" i="7"/>
  <c r="AE8" i="7"/>
  <c r="V8" i="7"/>
  <c r="AL5" i="7"/>
  <c r="AE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Heru</author>
    <author>HP</author>
  </authors>
  <commentList>
    <comment ref="K7" authorId="0" shapeId="0" xr:uid="{00000000-0006-0000-0000-000001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HIJAU. BXMR ORANGE</t>
        </r>
      </text>
    </comment>
    <comment ref="L7" authorId="0" shapeId="0" xr:uid="{00000000-0006-0000-0000-000002000000}">
      <text>
        <r>
          <rPr>
            <b/>
            <sz val="8"/>
            <color indexed="8"/>
            <rFont val="Tahoma"/>
            <charset val="134"/>
          </rPr>
          <t xml:space="preserve">LAPIS 2 :
1. BDXT = JINGGA
2. SREX = JINGGA 
3. NRDB = KUNING
</t>
        </r>
      </text>
    </comment>
    <comment ref="M7" authorId="0" shapeId="0" xr:uid="{00000000-0006-0000-0000-000003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HIJAU. BXMR ORANGE</t>
        </r>
      </text>
    </comment>
    <comment ref="N7" authorId="0" shapeId="0" xr:uid="{00000000-0006-0000-0000-000004000000}">
      <text>
        <r>
          <rPr>
            <b/>
            <sz val="8"/>
            <color indexed="8"/>
            <rFont val="Tahoma"/>
            <charset val="134"/>
          </rPr>
          <t xml:space="preserve">LAPIS 2 :
1. BDXT = JINGGA
2. SREX = JINGGA 
3. NRDB = KUNING
</t>
        </r>
      </text>
    </comment>
    <comment ref="O7" authorId="0" shapeId="0" xr:uid="{00000000-0006-0000-0000-000005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HIJAU. BXMR ORANGE</t>
        </r>
      </text>
    </comment>
    <comment ref="P7" authorId="0" shapeId="0" xr:uid="{00000000-0006-0000-0000-000006000000}">
      <text>
        <r>
          <rPr>
            <b/>
            <sz val="8"/>
            <color indexed="8"/>
            <rFont val="Tahoma"/>
            <charset val="134"/>
          </rPr>
          <t xml:space="preserve">LAPIS 2 :
1. BDXT = JINGGA
2. SREX = JINGGA 
3. NRDB = KUNING
</t>
        </r>
      </text>
    </comment>
    <comment ref="T7" authorId="0" shapeId="0" xr:uid="{00000000-0006-0000-0000-000007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HIJAU. BXMR ORANGE
4432</t>
        </r>
      </text>
    </comment>
    <comment ref="U7" authorId="0" shapeId="0" xr:uid="{00000000-0006-0000-0000-000008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HIJAU. BXMR MERAH</t>
        </r>
      </text>
    </comment>
    <comment ref="V7" authorId="0" shapeId="0" xr:uid="{00000000-0006-0000-0000-000009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</t>
        </r>
      </text>
    </comment>
    <comment ref="W7" authorId="0" shapeId="0" xr:uid="{00000000-0006-0000-0000-00000A000000}">
      <text>
        <r>
          <rPr>
            <b/>
            <sz val="8"/>
            <color indexed="8"/>
            <rFont val="Tahoma"/>
            <charset val="134"/>
          </rPr>
          <t xml:space="preserve">LAPIS 2 :
1. BDXT = JINGGA
2. SREX = JINGGA 
3. NRDB = KUNING
</t>
        </r>
      </text>
    </comment>
    <comment ref="X7" authorId="0" shapeId="0" xr:uid="{00000000-0006-0000-0000-00000B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</t>
        </r>
      </text>
    </comment>
    <comment ref="Y7" authorId="0" shapeId="0" xr:uid="{00000000-0006-0000-0000-00000C000000}">
      <text>
        <r>
          <rPr>
            <b/>
            <sz val="8"/>
            <color indexed="8"/>
            <rFont val="Tahoma"/>
            <charset val="134"/>
          </rPr>
          <t>LAPIS 1 :
1. BDXT = PUTIH
2. SREX = PUTIH
3. NRDB = HIJAU</t>
        </r>
      </text>
    </comment>
    <comment ref="AU7" authorId="1" shapeId="0" xr:uid="{00000000-0006-0000-0000-00000D000000}">
      <text>
        <r>
          <rPr>
            <sz val="14"/>
            <rFont val="Times New Roman"/>
            <charset val="134"/>
          </rPr>
          <t xml:space="preserve">Data OEE 
</t>
        </r>
      </text>
    </comment>
    <comment ref="AV7" authorId="1" shapeId="0" xr:uid="{00000000-0006-0000-0000-00000E000000}">
      <text>
        <r>
          <rPr>
            <sz val="9"/>
            <rFont val="Times New Roman"/>
            <charset val="134"/>
          </rPr>
          <t xml:space="preserve">Data OEE </t>
        </r>
      </text>
    </comment>
    <comment ref="AW7" authorId="1" shapeId="0" xr:uid="{00000000-0006-0000-0000-00000F000000}">
      <text>
        <r>
          <rPr>
            <sz val="9"/>
            <rFont val="Times New Roman"/>
            <charset val="134"/>
          </rPr>
          <t xml:space="preserve">Data OEE </t>
        </r>
      </text>
    </comment>
    <comment ref="AX7" authorId="1" shapeId="0" xr:uid="{00000000-0006-0000-0000-000010000000}">
      <text>
        <r>
          <rPr>
            <sz val="15"/>
            <rFont val="Times New Roman"/>
            <charset val="134"/>
          </rPr>
          <t>Data input Zulfa admin waste</t>
        </r>
      </text>
    </comment>
    <comment ref="U245" authorId="2" shapeId="0" xr:uid="{00000000-0006-0000-0000-000011000000}">
      <text>
        <r>
          <rPr>
            <b/>
            <sz val="9"/>
            <rFont val="Times New Roman"/>
            <charset val="134"/>
          </rPr>
          <t xml:space="preserve">dikerjakan di granulasi lt 1 
</t>
        </r>
      </text>
    </comment>
    <comment ref="U246" authorId="2" shapeId="0" xr:uid="{00000000-0006-0000-0000-000012000000}">
      <text>
        <r>
          <rPr>
            <b/>
            <sz val="9"/>
            <rFont val="Times New Roman"/>
            <charset val="134"/>
          </rPr>
          <t xml:space="preserve">dikerjakan di granulasi lt 1 
</t>
        </r>
      </text>
    </comment>
    <comment ref="I761" authorId="2" shapeId="0" xr:uid="{00000000-0006-0000-0000-000013000000}">
      <text>
        <r>
          <rPr>
            <b/>
            <sz val="9"/>
            <rFont val="Times New Roman"/>
            <charset val="134"/>
          </rPr>
          <t>proses campur basah dikerjakan di granulasi lt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Liquid</author>
    <author>HP</author>
  </authors>
  <commentList>
    <comment ref="I5" authorId="0" shapeId="0" xr:uid="{BD168294-7446-4F75-9902-EE36FBAF34F5}">
      <text>
        <r>
          <rPr>
            <b/>
            <sz val="9"/>
            <rFont val="Times New Roman"/>
            <charset val="134"/>
          </rPr>
          <t>REWORK KARENA KAPLET BERPORI</t>
        </r>
      </text>
    </comment>
    <comment ref="I7" authorId="0" shapeId="0" xr:uid="{702DB461-5B13-46B2-A6FC-610C097E9503}">
      <text>
        <r>
          <rPr>
            <sz val="9"/>
            <rFont val="Times New Roman"/>
            <charset val="134"/>
          </rPr>
          <t xml:space="preserve">REWORK KARENA KAPLET BERPORI
</t>
        </r>
      </text>
    </comment>
    <comment ref="I13" authorId="1" shapeId="0" xr:uid="{9D9AAC1A-4AB5-416D-A25E-4BA5960EC1D2}">
      <text>
        <r>
          <rPr>
            <b/>
            <sz val="9"/>
            <rFont val="Times New Roman"/>
            <charset val="134"/>
          </rPr>
          <t xml:space="preserve">KAPLET BERPORI PADA SAAT PROSES CETAK
</t>
        </r>
      </text>
    </comment>
    <comment ref="I15" authorId="1" shapeId="0" xr:uid="{106E18C6-1C9D-4776-BE7D-5CBB8B03E2F5}">
      <text>
        <r>
          <rPr>
            <b/>
            <sz val="9"/>
            <rFont val="Times New Roman"/>
            <charset val="134"/>
          </rPr>
          <t xml:space="preserve">rework
</t>
        </r>
      </text>
    </comment>
    <comment ref="I17" authorId="1" shapeId="0" xr:uid="{4701F175-0897-4FCD-8653-2F5C0BAB3682}">
      <text>
        <r>
          <rPr>
            <b/>
            <sz val="9"/>
            <rFont val="Times New Roman"/>
            <charset val="134"/>
          </rPr>
          <t xml:space="preserve">rework
</t>
        </r>
      </text>
    </comment>
    <comment ref="I20" authorId="1" shapeId="0" xr:uid="{903F6B03-D3E1-46F7-A8D8-B212BDE35783}">
      <text>
        <r>
          <rPr>
            <b/>
            <sz val="9"/>
            <rFont val="Times New Roman"/>
            <charset val="134"/>
          </rPr>
          <t xml:space="preserve">rework
</t>
        </r>
      </text>
    </comment>
    <comment ref="I21" authorId="1" shapeId="0" xr:uid="{D16160CB-99C8-46DC-841E-42AF4DD6C4ED}">
      <text>
        <r>
          <rPr>
            <b/>
            <sz val="9"/>
            <rFont val="Times New Roman"/>
            <charset val="134"/>
          </rPr>
          <t xml:space="preserve">PROSES PENGERJAAN BFTP LAPIS ORANGE TIDAK BERURUTAN SESUAI NO BATCH KARENA MENUNGGU PROSES AYAK WARNA
</t>
        </r>
      </text>
    </comment>
    <comment ref="I46" authorId="1" shapeId="0" xr:uid="{788846DA-EA29-4A8F-8D1C-E10D8C758240}">
      <text>
        <r>
          <rPr>
            <b/>
            <sz val="9"/>
            <rFont val="Times New Roman"/>
            <charset val="134"/>
          </rPr>
          <t xml:space="preserve">dilakukan proses cb ulang karena lot 1 terkena kontaminasi, granul jatuh ke lantai pada saat bongkaran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6" authorId="0" shapeId="0" xr:uid="{00000000-0006-0000-0200-000001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BTRA = MERAH
BXMR = ORANGE
BFTP = KUNING
BFDP =HIJAU
FAIN = KUNING
SARA = KUNING
HNOF 
BFLU = HIJAU
NROF=DPH</t>
        </r>
      </text>
    </comment>
    <comment ref="H6" authorId="0" shapeId="0" xr:uid="{00000000-0006-0000-0200-000002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BXMR = MERAH
BFTP = ORANGE 
BFDP = ORANGE
FAIN = HIJAU
SARA = MERAH
BFLU = KUNING
HNOF =B 12
NROF=PE
NRDB = KUNING
</t>
        </r>
      </text>
    </comment>
    <comment ref="I6" authorId="0" shapeId="0" xr:uid="{00000000-0006-0000-0200-000003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BTRA = MERAH
BXMR = ORANGE
BFTP = KUNING
BFDP =HIJAU
FAIN = KUNING
SARA = KUNING
HNOF 
BFLU = HIJAU
NROF=DPH</t>
        </r>
      </text>
    </comment>
    <comment ref="J6" authorId="0" shapeId="0" xr:uid="{00000000-0006-0000-0200-000004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BXMR = MERAH
BFTP = ORANGE 
BFDP = ORANGE
FAIN = HIJAU
SARA = MERAH
BFLU = KUNING
HNOF =B 12
NROF=PE
NRDB = KUNING
</t>
        </r>
      </text>
    </comment>
    <comment ref="L6" authorId="0" shapeId="0" xr:uid="{00000000-0006-0000-0200-000005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BTRA = MERAH
BXMR = ORANGE
BFTP = KUNING
BFDP =HIJAU
FAIN = KUNING
SARA = KUNING
HNOF 
BFLU = HIJAU
NROF=DPH</t>
        </r>
      </text>
    </comment>
    <comment ref="N6" authorId="0" shapeId="0" xr:uid="{00000000-0006-0000-0200-000006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BXMR = MERAH
BFTP = ORANGE 
BFDP = ORANGE
FAIN = HIJAU
SARA = MERAH
BFLU = KUNING
HNOF =B 12
NROF=PE
NRDB = KUNING
</t>
        </r>
      </text>
    </comment>
    <comment ref="P6" authorId="0" shapeId="0" xr:uid="{00000000-0006-0000-0200-000007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BTRA = MERAH
BXMR = MERAH
BFTP = KUNING
BFDP = ORANGE
FAIN = KUNING
SARA = KUNING
HNOF 
NRDB= KUNING
BFLU = HIJAU
NROF=DPH</t>
        </r>
      </text>
    </comment>
    <comment ref="Q6" authorId="0" shapeId="0" xr:uid="{00000000-0006-0000-0200-000008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BXMR = ORANGE
BFTP = ORANGE 
BFDP = HIJAU
FAIN = HIJAU
SARA = MERAH
BFLU = KUNING
HNOF =B 12
NROF=PE</t>
        </r>
      </text>
    </comment>
    <comment ref="R6" authorId="0" shapeId="0" xr:uid="{00000000-0006-0000-0200-000009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BTRA = ORANGE (CK 2)
BXMR = MERAH (CK 2)
)
FAIN = KUNING (CK 2)
BFDP = ORANGE (CK 1)
SARA = KUNING (CK 1)
BFLU = HIJAU
BFTP = ORANGE</t>
        </r>
      </text>
    </comment>
    <comment ref="S6" authorId="0" shapeId="0" xr:uid="{00000000-0006-0000-0200-00000A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BFDP = HIJAU (CK 1)
FAIN = HIJAU (CK 1)
SARA = MERAH (CK 1)
BFLU = KUNING(CK1)</t>
        </r>
      </text>
    </comment>
    <comment ref="T6" authorId="0" shapeId="0" xr:uid="{00000000-0006-0000-0200-00000B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BTRA = ORANGE (CK 2)
BXMR = MERAH (CK 2)
)
FAIN = KUNING (CK 2)
BFDP = ORANGE (CK 1)
SARA = KUNING (CK 1)
BFLU = HIJAU
BFTP = ORANGE</t>
        </r>
      </text>
    </comment>
    <comment ref="U6" authorId="0" shapeId="0" xr:uid="{00000000-0006-0000-0200-00000C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BFDP = HIJAU (CK 1)
FAIN = HIJAU (CK 1)
SARA = MERAH (CK 1)
BFLU = KUNING(CK1)</t>
        </r>
      </text>
    </comment>
    <comment ref="W6" authorId="0" shapeId="0" xr:uid="{00000000-0006-0000-0200-00000D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BTRA = ORANGE (CK 2)
BXMR = MERAH (CK 2)
)
FAIN = KUNING (CK 2)
BFDP = ORANGE (CK 1)
SARA = KUNING (CK 1)
BFLU = HIJAU
BFTP = ORANGE</t>
        </r>
      </text>
    </comment>
    <comment ref="Y6" authorId="0" shapeId="0" xr:uid="{00000000-0006-0000-0200-00000E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BFDP = HIJAU (CK 1)
FAIN = HIJAU (CK 1)
SARA = MERAH (CK 1)
BFLU = KUNING(CK1)</t>
        </r>
      </text>
    </comment>
    <comment ref="L627" authorId="0" shapeId="0" xr:uid="{00000000-0006-0000-0200-00000F000000}">
      <text>
        <r>
          <rPr>
            <b/>
            <sz val="9"/>
            <rFont val="Times New Roman"/>
            <charset val="134"/>
          </rPr>
          <t xml:space="preserve">PROSES CB MERAH DI KERJAKAN DI CES
</t>
        </r>
      </text>
    </comment>
    <comment ref="E768" authorId="0" shapeId="0" xr:uid="{00000000-0006-0000-0200-000010000000}">
      <text>
        <r>
          <rPr>
            <b/>
            <sz val="9"/>
            <rFont val="Times New Roman"/>
            <charset val="134"/>
          </rPr>
          <t xml:space="preserve">PROSES CB + CK 010784 PROSES JALAN DI LT 1
 NB 010794 PROSES CB JALAN DI LT 1
</t>
        </r>
      </text>
    </comment>
    <comment ref="F922" authorId="0" shapeId="0" xr:uid="{00000000-0006-0000-0200-000011000000}">
      <text>
        <r>
          <rPr>
            <sz val="9"/>
            <rFont val="Times New Roman"/>
            <charset val="134"/>
          </rPr>
          <t>NB 070944 &amp; 070954 DI CK LT 1</t>
        </r>
      </text>
    </comment>
    <comment ref="E972" authorId="0" shapeId="0" xr:uid="{00000000-0006-0000-0200-000012000000}">
      <text>
        <r>
          <rPr>
            <b/>
            <sz val="9"/>
            <rFont val="Times New Roman"/>
            <charset val="134"/>
          </rPr>
          <t xml:space="preserve">per tgl 22 agustus proses campur kering di kerjakan di granulasi lt 1
</t>
        </r>
      </text>
    </comment>
    <comment ref="S972" authorId="0" shapeId="0" xr:uid="{00000000-0006-0000-0200-000013000000}">
      <text>
        <r>
          <rPr>
            <b/>
            <sz val="9"/>
            <rFont val="Times New Roman"/>
            <charset val="134"/>
          </rPr>
          <t xml:space="preserve">dikerjakan di granulasi lt 1 
</t>
        </r>
      </text>
    </comment>
    <comment ref="S973" authorId="0" shapeId="0" xr:uid="{00000000-0006-0000-0200-000014000000}">
      <text>
        <r>
          <rPr>
            <b/>
            <sz val="9"/>
            <rFont val="Times New Roman"/>
            <charset val="134"/>
          </rPr>
          <t xml:space="preserve">dikerjakan di granulasi lt 1 
</t>
        </r>
      </text>
    </comment>
    <comment ref="J1168" authorId="0" shapeId="0" xr:uid="{00000000-0006-0000-0200-000015000000}">
      <text>
        <r>
          <rPr>
            <sz val="9"/>
            <rFont val="Times New Roman"/>
            <charset val="134"/>
          </rPr>
          <t xml:space="preserve">rwk tgl 27/01/22 = 276,88
</t>
        </r>
      </text>
    </comment>
    <comment ref="E1864" authorId="0" shapeId="0" xr:uid="{00000000-0006-0000-0200-000016000000}">
      <text>
        <r>
          <rPr>
            <sz val="9"/>
            <rFont val="Times New Roman"/>
            <charset val="134"/>
          </rPr>
          <t>NB : 010974 &amp; 010984 PROSES JALAN DI GRANULASI LT 1</t>
        </r>
      </text>
    </comment>
    <comment ref="E1866" authorId="0" shapeId="0" xr:uid="{00000000-0006-0000-0200-000017000000}">
      <text>
        <r>
          <rPr>
            <b/>
            <sz val="9"/>
            <rFont val="Times New Roman"/>
            <charset val="134"/>
          </rPr>
          <t xml:space="preserve">LAPIS ORANGE JALAN PROSES DI GRANULASI LT 1
</t>
        </r>
      </text>
    </comment>
    <comment ref="AG2127" authorId="0" shapeId="0" xr:uid="{00000000-0006-0000-0200-000018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SARA M</t>
        </r>
      </text>
    </comment>
    <comment ref="I2132" authorId="0" shapeId="0" xr:uid="{00000000-0006-0000-0200-000019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BELUM DITIMBAN ULANG</t>
        </r>
      </text>
    </comment>
    <comment ref="J2132" authorId="0" shapeId="0" xr:uid="{00000000-0006-0000-0200-00001A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BELUM DITIMBAN ULANG</t>
        </r>
      </text>
    </comment>
    <comment ref="C2180" authorId="0" shapeId="0" xr:uid="{00000000-0006-0000-0200-00001B000000}">
      <text>
        <r>
          <rPr>
            <b/>
            <sz val="9"/>
            <rFont val="Times New Roman"/>
            <charset val="134"/>
          </rPr>
          <t>SABA NEW PRODUK</t>
        </r>
      </text>
    </comment>
    <comment ref="E2181" authorId="0" shapeId="0" xr:uid="{00000000-0006-0000-0200-00001C000000}">
      <text>
        <r>
          <rPr>
            <b/>
            <sz val="9"/>
            <rFont val="Times New Roman"/>
            <charset val="134"/>
          </rPr>
          <t>proses campur basah dikerjakan di granulasi lt 1</t>
        </r>
      </text>
    </comment>
    <comment ref="H2625" authorId="0" shapeId="0" xr:uid="{00000000-0006-0000-0200-00001D000000}">
      <text>
        <r>
          <rPr>
            <b/>
            <sz val="9"/>
            <rFont val="Times New Roman"/>
            <charset val="134"/>
          </rPr>
          <t xml:space="preserve">jalan proses di granulasi lt 1
</t>
        </r>
      </text>
    </comment>
    <comment ref="U2882" authorId="0" shapeId="0" xr:uid="{00000000-0006-0000-0200-00001E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rwk tgl 15/12/21 = 138,5
</t>
        </r>
      </text>
    </comment>
    <comment ref="E2997" authorId="0" shapeId="0" xr:uid="{00000000-0006-0000-0200-00001F000000}">
      <text>
        <r>
          <rPr>
            <b/>
            <sz val="9"/>
            <rFont val="Times New Roman"/>
            <charset val="134"/>
          </rPr>
          <t xml:space="preserve">SABA 1 PEMBESARAN BATCH
</t>
        </r>
      </text>
    </comment>
    <comment ref="L3082" authorId="0" shapeId="0" xr:uid="{00000000-0006-0000-0200-000020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SELESAI TGL 8 FEB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Y14" authorId="0" shapeId="0" xr:uid="{00000000-0006-0000-0300-000001000000}">
      <text>
        <r>
          <rPr>
            <b/>
            <sz val="9"/>
            <rFont val="Times New Roman"/>
            <charset val="134"/>
          </rPr>
          <t>HP:</t>
        </r>
        <r>
          <rPr>
            <sz val="9"/>
            <rFont val="Times New Roman"/>
            <charset val="134"/>
          </rPr>
          <t xml:space="preserve">
291 BARU SELESAI 1 LOT</t>
        </r>
      </text>
    </comment>
  </commentList>
</comments>
</file>

<file path=xl/sharedStrings.xml><?xml version="1.0" encoding="utf-8"?>
<sst xmlns="http://schemas.openxmlformats.org/spreadsheetml/2006/main" count="41974" uniqueCount="7246">
  <si>
    <t>POSISI HARIAN PRODUKSI LT 2</t>
  </si>
  <si>
    <t>Tanggal : KAMIS, 05 SEPTEMBER 2024</t>
  </si>
  <si>
    <t xml:space="preserve">Note :  </t>
  </si>
  <si>
    <t>Example untuk lokasi Granulasi CB1 - 1 (  Jalan  Di lt 01 ) - Update Per Maret 2023</t>
  </si>
  <si>
    <t xml:space="preserve">GRANULASI BASAH </t>
  </si>
  <si>
    <t>GRANULASI KERING</t>
  </si>
  <si>
    <t>CETAK</t>
  </si>
  <si>
    <t>PRIMER</t>
  </si>
  <si>
    <t>PARAMETER SUHU</t>
  </si>
  <si>
    <t>S</t>
  </si>
  <si>
    <t>Material description</t>
  </si>
  <si>
    <t>Material</t>
  </si>
  <si>
    <t xml:space="preserve">Code Material </t>
  </si>
  <si>
    <t>RK</t>
  </si>
  <si>
    <t>Tahun</t>
  </si>
  <si>
    <t>Created On SAP</t>
  </si>
  <si>
    <t>No Order</t>
  </si>
  <si>
    <t>Batch</t>
  </si>
  <si>
    <t>Batch Ke-</t>
  </si>
  <si>
    <t>Mesin/Line LAPIS 1</t>
  </si>
  <si>
    <t>Mesin/Line LAPIS 2</t>
  </si>
  <si>
    <t>Yield (kg) LAPIS 1</t>
  </si>
  <si>
    <t>Yield (kg) LAPIS 2</t>
  </si>
  <si>
    <t>Tanggal CB LAPIS 1</t>
  </si>
  <si>
    <t>Tanggal CB LAPIS 2</t>
  </si>
  <si>
    <t>KADAR AIR LAPIS 1</t>
  </si>
  <si>
    <t>KADAR AIR LAPIS 2</t>
  </si>
  <si>
    <t>KETERANGAN</t>
  </si>
  <si>
    <t>Mesin / Line LAPIS 1</t>
  </si>
  <si>
    <t>Mesin / Line LAPIS 2</t>
  </si>
  <si>
    <t>Tanggal CK LAPIS 1</t>
  </si>
  <si>
    <t>Tanggal CK LAPIS 2</t>
  </si>
  <si>
    <t>Mesin</t>
  </si>
  <si>
    <t>Tgl Mulai Cetak</t>
  </si>
  <si>
    <t>Tgl Selesai Cetak</t>
  </si>
  <si>
    <t>Yield
(Kg)</t>
  </si>
  <si>
    <t>% Terhadap teoritis</t>
  </si>
  <si>
    <t>Keterangan</t>
  </si>
  <si>
    <t>total</t>
  </si>
  <si>
    <t>Tgl Mulai Kemas</t>
  </si>
  <si>
    <t>Tgl Selesai Kemas</t>
  </si>
  <si>
    <t>Yield
(Blister)</t>
  </si>
  <si>
    <t>KEMUL / TAMBAHAN</t>
  </si>
  <si>
    <t xml:space="preserve">TGL KEMUL / TAMBAHAN </t>
  </si>
  <si>
    <t>MESIN</t>
  </si>
  <si>
    <t xml:space="preserve"> SEALING</t>
  </si>
  <si>
    <t xml:space="preserve"> FORMING</t>
  </si>
  <si>
    <t>HASIL BLISTER REJECT</t>
  </si>
  <si>
    <t>TABLET RUSAK (KG)</t>
  </si>
  <si>
    <t>SAMPAH CACAHAN ( KG )</t>
  </si>
  <si>
    <t xml:space="preserve"> BLISTER KOSONG ( KG)</t>
  </si>
  <si>
    <t>WASTE SEDOTAN (Kg)</t>
  </si>
  <si>
    <t>WASTE  SAMPLE IPC (Kg)</t>
  </si>
  <si>
    <t>s</t>
  </si>
  <si>
    <t>APC PLUS TABLET/20E NF NG</t>
  </si>
  <si>
    <t>APCP</t>
  </si>
  <si>
    <t>F1791</t>
  </si>
  <si>
    <t>05</t>
  </si>
  <si>
    <t>29.04.2024</t>
  </si>
  <si>
    <t>051364 1</t>
  </si>
  <si>
    <t>CB  2</t>
  </si>
  <si>
    <t>5,50/5,46/5,52</t>
  </si>
  <si>
    <t>SELESAI</t>
  </si>
  <si>
    <t>CK1-1</t>
  </si>
  <si>
    <t>Selesai</t>
  </si>
  <si>
    <t>MEDISEAL 1</t>
  </si>
  <si>
    <t>belum selesai, 2 TONG ( TONG 1 &amp; 2 ), tong nomor 2 ( 4.6 kg ) di hold, tablet belah</t>
  </si>
  <si>
    <t>051364 2</t>
  </si>
  <si>
    <t>5,35/5,45/5,47</t>
  </si>
  <si>
    <t>CK3-1</t>
  </si>
  <si>
    <t>051364 3</t>
  </si>
  <si>
    <t>5,39/5,60/5,56</t>
  </si>
  <si>
    <t>06</t>
  </si>
  <si>
    <t>061484 1</t>
  </si>
  <si>
    <t>5,44/5,52/5,54</t>
  </si>
  <si>
    <t>CK2-1</t>
  </si>
  <si>
    <t>MEDISEAL 2</t>
  </si>
  <si>
    <t>061484 2</t>
  </si>
  <si>
    <t>5,41/5,43/5,58</t>
  </si>
  <si>
    <t>061484 3</t>
  </si>
  <si>
    <t>5,39/5,45/5,10</t>
  </si>
  <si>
    <t>061484 4</t>
  </si>
  <si>
    <t>5,48/5,57/5,48</t>
  </si>
  <si>
    <t>061484 5</t>
  </si>
  <si>
    <t>5,40/5,49/5,59</t>
  </si>
  <si>
    <t>061484 6</t>
  </si>
  <si>
    <t>5,57/5,49/5,25</t>
  </si>
  <si>
    <t>061484 7</t>
  </si>
  <si>
    <t>5,25/5,43/5,54</t>
  </si>
  <si>
    <t>061484 8</t>
  </si>
  <si>
    <t>5,47/5,29/5,30</t>
  </si>
  <si>
    <t>061484 9</t>
  </si>
  <si>
    <t>5,40/5,59/5,43</t>
  </si>
  <si>
    <t>061894 1</t>
  </si>
  <si>
    <t>5,57/5,31/5,19</t>
  </si>
  <si>
    <t>061894 2</t>
  </si>
  <si>
    <t>5,38/5,52/5,53</t>
  </si>
  <si>
    <t>SELESAI, speed 290</t>
  </si>
  <si>
    <t>061894 3</t>
  </si>
  <si>
    <t>5,22/5,23/5,19</t>
  </si>
  <si>
    <t>08</t>
  </si>
  <si>
    <t>080674 1</t>
  </si>
  <si>
    <t>5,42/5,52/5,37</t>
  </si>
  <si>
    <t>MEDISEAL 3</t>
  </si>
  <si>
    <t>080674 2</t>
  </si>
  <si>
    <t>5,59/5,37/5,54</t>
  </si>
  <si>
    <t>080674 3</t>
  </si>
  <si>
    <t>5,17/5,27/5,50</t>
  </si>
  <si>
    <t>080674 4</t>
  </si>
  <si>
    <t>5,55/5,16/5,15</t>
  </si>
  <si>
    <t>300021740</t>
  </si>
  <si>
    <t>091914 1</t>
  </si>
  <si>
    <t>5,80/5,57/5,44</t>
  </si>
  <si>
    <t>300021741</t>
  </si>
  <si>
    <t>091914 2</t>
  </si>
  <si>
    <t>5,37/5,57/5,53</t>
  </si>
  <si>
    <t>300021742</t>
  </si>
  <si>
    <t>091914 3</t>
  </si>
  <si>
    <t>5,54/5,44/5,55</t>
  </si>
  <si>
    <t>300021743</t>
  </si>
  <si>
    <t>091914 4</t>
  </si>
  <si>
    <t>5,44/5,39/5,56</t>
  </si>
  <si>
    <t>BODREX EXTRA KAPLET/4'S</t>
  </si>
  <si>
    <t>BTRA</t>
  </si>
  <si>
    <t>001-09-01</t>
  </si>
  <si>
    <t>01</t>
  </si>
  <si>
    <t>20,11,2023</t>
  </si>
  <si>
    <t>010244</t>
  </si>
  <si>
    <t>CB  1</t>
  </si>
  <si>
    <t>4,76/4,65/4,56</t>
  </si>
  <si>
    <t>CK  2</t>
  </si>
  <si>
    <t xml:space="preserve">Selesai </t>
  </si>
  <si>
    <t>BP 20</t>
  </si>
  <si>
    <t>'010254</t>
  </si>
  <si>
    <t>4,68/4,58/4,44</t>
  </si>
  <si>
    <t>010264</t>
  </si>
  <si>
    <t>4,80/4,44/4,60</t>
  </si>
  <si>
    <t>010274</t>
  </si>
  <si>
    <t>4,77/4,77/4,51</t>
  </si>
  <si>
    <t>010284</t>
  </si>
  <si>
    <t>4,47/4,65/4,56</t>
  </si>
  <si>
    <t>010294</t>
  </si>
  <si>
    <t>4,42/4,62/4,78</t>
  </si>
  <si>
    <t>010784</t>
  </si>
  <si>
    <t>CB1-1</t>
  </si>
  <si>
    <t>010794</t>
  </si>
  <si>
    <t>200104540</t>
  </si>
  <si>
    <t>010804</t>
  </si>
  <si>
    <t>4,78/4,42/4,79</t>
  </si>
  <si>
    <t>200104541</t>
  </si>
  <si>
    <t>010814</t>
  </si>
  <si>
    <t>4,54/4,69/4,53</t>
  </si>
  <si>
    <t>15.12.2023</t>
  </si>
  <si>
    <t>200104542</t>
  </si>
  <si>
    <t>010824</t>
  </si>
  <si>
    <t>4,71/4,59/4,64</t>
  </si>
  <si>
    <t>03.01.2024</t>
  </si>
  <si>
    <t>011124</t>
  </si>
  <si>
    <t>4,54/4,57/4,66</t>
  </si>
  <si>
    <t>011134</t>
  </si>
  <si>
    <t>4,74/H4,67/4,50</t>
  </si>
  <si>
    <t>SELESAI ( JALAN TANPA TITIK )</t>
  </si>
  <si>
    <t>MTX 514</t>
  </si>
  <si>
    <t>02</t>
  </si>
  <si>
    <t>17.01.2024</t>
  </si>
  <si>
    <t>020184</t>
  </si>
  <si>
    <t>4,77/4,54/4,48</t>
  </si>
  <si>
    <t>020194</t>
  </si>
  <si>
    <t>4,70/4,73/4,57</t>
  </si>
  <si>
    <t>020204</t>
  </si>
  <si>
    <t>4,74/4,55/4,47</t>
  </si>
  <si>
    <t>020214</t>
  </si>
  <si>
    <t>4,66/4,64/4,52</t>
  </si>
  <si>
    <t>020224</t>
  </si>
  <si>
    <t>4,62/4,77/4,52</t>
  </si>
  <si>
    <t>020234</t>
  </si>
  <si>
    <t>4,59/4,57/4,55</t>
  </si>
  <si>
    <t>020244</t>
  </si>
  <si>
    <t>4,71/4,51/4,56</t>
  </si>
  <si>
    <t>020254</t>
  </si>
  <si>
    <t>4,79/4,79/4,69</t>
  </si>
  <si>
    <t>020264</t>
  </si>
  <si>
    <t>4,57/4,63/4,57</t>
  </si>
  <si>
    <t>020724</t>
  </si>
  <si>
    <t>4,56/4,64/4,77</t>
  </si>
  <si>
    <t>020734</t>
  </si>
  <si>
    <t>4,80/4,54/4,42</t>
  </si>
  <si>
    <t>020744</t>
  </si>
  <si>
    <t>4,72/4,59/4,46</t>
  </si>
  <si>
    <t>020754</t>
  </si>
  <si>
    <t>4,77/4,57/4,70</t>
  </si>
  <si>
    <t>020764</t>
  </si>
  <si>
    <t>4,53/4,76/4,40</t>
  </si>
  <si>
    <t>021404</t>
  </si>
  <si>
    <t>4,50/4,72/4,71</t>
  </si>
  <si>
    <t>021414</t>
  </si>
  <si>
    <t>4,65/4,60/4,64</t>
  </si>
  <si>
    <t>021424</t>
  </si>
  <si>
    <t>4,69/4,59/4,72</t>
  </si>
  <si>
    <t>021434</t>
  </si>
  <si>
    <t>4,47/4,59/4,49</t>
  </si>
  <si>
    <t>021444</t>
  </si>
  <si>
    <t>4,54/4,64/4,69</t>
  </si>
  <si>
    <t>022204</t>
  </si>
  <si>
    <t>4,72/4,74/4,56</t>
  </si>
  <si>
    <t>022214</t>
  </si>
  <si>
    <t>4,59/4,42/4,57</t>
  </si>
  <si>
    <t>022224</t>
  </si>
  <si>
    <t>4,42/4,42/4,57</t>
  </si>
  <si>
    <t>022234</t>
  </si>
  <si>
    <t>4,79/4,47/4,47</t>
  </si>
  <si>
    <t>022244</t>
  </si>
  <si>
    <t>4,57/4,52/4,72</t>
  </si>
  <si>
    <t>03</t>
  </si>
  <si>
    <t>030024</t>
  </si>
  <si>
    <t>4,67/4,42/4,77</t>
  </si>
  <si>
    <t>030034</t>
  </si>
  <si>
    <t>4,51/4,67/4,65</t>
  </si>
  <si>
    <t>030044</t>
  </si>
  <si>
    <t>4,67/4,62/4,48</t>
  </si>
  <si>
    <t>030054</t>
  </si>
  <si>
    <t>4,76/4,74/4,44</t>
  </si>
  <si>
    <t>030064</t>
  </si>
  <si>
    <t>4,51/4,47/4,65</t>
  </si>
  <si>
    <t>030334</t>
  </si>
  <si>
    <t>4,42/4,50/4,69</t>
  </si>
  <si>
    <t>030344</t>
  </si>
  <si>
    <t>4,74/4,52/4,59</t>
  </si>
  <si>
    <t>030354</t>
  </si>
  <si>
    <t>4,52/4,67/4,42</t>
  </si>
  <si>
    <t>030364</t>
  </si>
  <si>
    <t>4,51/4,68/4,77</t>
  </si>
  <si>
    <t>030834</t>
  </si>
  <si>
    <t>4,72/4,60/4,56</t>
  </si>
  <si>
    <t>030844</t>
  </si>
  <si>
    <t>4,64/4,52/4,57</t>
  </si>
  <si>
    <t>030854</t>
  </si>
  <si>
    <t>030864</t>
  </si>
  <si>
    <t>4,56/4,50/4,51</t>
  </si>
  <si>
    <t>030874</t>
  </si>
  <si>
    <t>4,76/4,62/4,73</t>
  </si>
  <si>
    <t>031354</t>
  </si>
  <si>
    <t>4,68/4,52/4,45</t>
  </si>
  <si>
    <t>031364</t>
  </si>
  <si>
    <t>4,61/4,47/4,50</t>
  </si>
  <si>
    <t>031374</t>
  </si>
  <si>
    <t>4,46/4,42/4,55</t>
  </si>
  <si>
    <t>031384</t>
  </si>
  <si>
    <t>4,77/4,77/4,49</t>
  </si>
  <si>
    <t>031394</t>
  </si>
  <si>
    <t>4,66/4,50/4,70</t>
  </si>
  <si>
    <t>031894</t>
  </si>
  <si>
    <t>4,74/4,54/4,46</t>
  </si>
  <si>
    <t>031904</t>
  </si>
  <si>
    <t>4,77/4,73/4,41</t>
  </si>
  <si>
    <t>031974</t>
  </si>
  <si>
    <t>4,53/4,72/4,68</t>
  </si>
  <si>
    <t>031984</t>
  </si>
  <si>
    <t>4,46/4,70/4,50</t>
  </si>
  <si>
    <t>031994</t>
  </si>
  <si>
    <t>4,78/4,41/4,54</t>
  </si>
  <si>
    <t>032004</t>
  </si>
  <si>
    <t>4,80/4,75/4,63</t>
  </si>
  <si>
    <t>032494</t>
  </si>
  <si>
    <t>4,74/4,57/4,56</t>
  </si>
  <si>
    <t>032504</t>
  </si>
  <si>
    <t>4,61/4,41/4,61</t>
  </si>
  <si>
    <t>032514</t>
  </si>
  <si>
    <t>4,60/4,67/4,72</t>
  </si>
  <si>
    <t>032524</t>
  </si>
  <si>
    <t>4,61/4,51/4,59</t>
  </si>
  <si>
    <t>032534</t>
  </si>
  <si>
    <t>4,61/4,64/4,44</t>
  </si>
  <si>
    <t>032544</t>
  </si>
  <si>
    <t>4,68/4,75/4,62</t>
  </si>
  <si>
    <t>032554</t>
  </si>
  <si>
    <t>4,54/4,74/4,77</t>
  </si>
  <si>
    <t>04</t>
  </si>
  <si>
    <t>040644</t>
  </si>
  <si>
    <t>4,47/4,76/4,79</t>
  </si>
  <si>
    <t>040654</t>
  </si>
  <si>
    <t>4,41/4,77/4,72</t>
  </si>
  <si>
    <t>040664</t>
  </si>
  <si>
    <t>4,45/4,69/4,64</t>
  </si>
  <si>
    <t>040674</t>
  </si>
  <si>
    <t>4,59/4,47/4,58</t>
  </si>
  <si>
    <t>040764</t>
  </si>
  <si>
    <t>4,65/4,73/4,66</t>
  </si>
  <si>
    <t>040774</t>
  </si>
  <si>
    <t>4,51/4,66/4,63</t>
  </si>
  <si>
    <t>040784</t>
  </si>
  <si>
    <t>4,57/4,49/4,76</t>
  </si>
  <si>
    <t>040794</t>
  </si>
  <si>
    <t>4,78/4,57/4,58</t>
  </si>
  <si>
    <t>040804</t>
  </si>
  <si>
    <t>4,80/4,72/4,67</t>
  </si>
  <si>
    <t>040814</t>
  </si>
  <si>
    <t>4,72/4,61/4,45</t>
  </si>
  <si>
    <t>041174</t>
  </si>
  <si>
    <t>4,80/4,76/4,77</t>
  </si>
  <si>
    <t>041184</t>
  </si>
  <si>
    <t>4,57/4,76/4,73</t>
  </si>
  <si>
    <t>041194</t>
  </si>
  <si>
    <t>4,74/4,50/4,44</t>
  </si>
  <si>
    <t>041204</t>
  </si>
  <si>
    <t>4,78/4,50/4,62</t>
  </si>
  <si>
    <t>041234</t>
  </si>
  <si>
    <t>4,72/4,49/4,77</t>
  </si>
  <si>
    <t>041244</t>
  </si>
  <si>
    <t>4,76/4,49/4,61</t>
  </si>
  <si>
    <t>041254</t>
  </si>
  <si>
    <t>4,71/4,54/4,64</t>
  </si>
  <si>
    <t>041264</t>
  </si>
  <si>
    <t>4,61/4,60/4,44</t>
  </si>
  <si>
    <t>041274</t>
  </si>
  <si>
    <t>4,51/4,56/4,76</t>
  </si>
  <si>
    <t>041284</t>
  </si>
  <si>
    <t>4,56/4,48/4,66</t>
  </si>
  <si>
    <t>050214</t>
  </si>
  <si>
    <t>4,57/4,67/4,69</t>
  </si>
  <si>
    <t>050344</t>
  </si>
  <si>
    <t>4,80/4,71/4,58</t>
  </si>
  <si>
    <t>050354</t>
  </si>
  <si>
    <t>4,62/4,63/4,66</t>
  </si>
  <si>
    <t>050364</t>
  </si>
  <si>
    <t>4,69/4,59/4,43</t>
  </si>
  <si>
    <t>050374</t>
  </si>
  <si>
    <t>4,62/4,69/4,63</t>
  </si>
  <si>
    <t>050384</t>
  </si>
  <si>
    <t>4,80/4,72/4,54</t>
  </si>
  <si>
    <t>050394</t>
  </si>
  <si>
    <t>4,57/4,43/4,54</t>
  </si>
  <si>
    <t>050404</t>
  </si>
  <si>
    <t>4,59/4,69/4,40</t>
  </si>
  <si>
    <t>050414</t>
  </si>
  <si>
    <t>4,76/4,65/4,69</t>
  </si>
  <si>
    <t>050834</t>
  </si>
  <si>
    <t>4,70/4,59/4,77</t>
  </si>
  <si>
    <t>051334</t>
  </si>
  <si>
    <t>4,74/4,66/4,62</t>
  </si>
  <si>
    <t>051344</t>
  </si>
  <si>
    <t>4,79/4,50/4,67</t>
  </si>
  <si>
    <t>051354</t>
  </si>
  <si>
    <t>4,58/4,66/4,42</t>
  </si>
  <si>
    <t>051374</t>
  </si>
  <si>
    <t>4,69/4,49/4,65</t>
  </si>
  <si>
    <t>051384</t>
  </si>
  <si>
    <t>4,70/4,46/4,56</t>
  </si>
  <si>
    <t>051394</t>
  </si>
  <si>
    <t>4,67/4,76/4,49</t>
  </si>
  <si>
    <t>051404</t>
  </si>
  <si>
    <t>4,71/4,71/4,43</t>
  </si>
  <si>
    <t>051414</t>
  </si>
  <si>
    <t>4,56/4,48/4,53</t>
  </si>
  <si>
    <t>051424</t>
  </si>
  <si>
    <t>4,68/4,67/4,69</t>
  </si>
  <si>
    <t>051794</t>
  </si>
  <si>
    <t>4,54/4,74/4,47</t>
  </si>
  <si>
    <t>051804</t>
  </si>
  <si>
    <t>4,46/4,53/4,66</t>
  </si>
  <si>
    <t>051814</t>
  </si>
  <si>
    <t>4,46/4,47/4,48</t>
  </si>
  <si>
    <t>051824</t>
  </si>
  <si>
    <t>4,44/4,58/4,47</t>
  </si>
  <si>
    <t>051834</t>
  </si>
  <si>
    <t>4,55/4,51/4,62</t>
  </si>
  <si>
    <t>051844</t>
  </si>
  <si>
    <t>4,70/4,52/4,72</t>
  </si>
  <si>
    <t>051854</t>
  </si>
  <si>
    <t>4,74/4,49/4,44</t>
  </si>
  <si>
    <t>051934</t>
  </si>
  <si>
    <t>4,47/4,53/4,49</t>
  </si>
  <si>
    <t>051944</t>
  </si>
  <si>
    <t>4,74/4,66/4,54</t>
  </si>
  <si>
    <t>060024</t>
  </si>
  <si>
    <t>4,40/4,56/4,48</t>
  </si>
  <si>
    <t>060034</t>
  </si>
  <si>
    <t>4,41/4,75/4,53</t>
  </si>
  <si>
    <t>060044</t>
  </si>
  <si>
    <t>060284</t>
  </si>
  <si>
    <t>4,50/4,76/4,50</t>
  </si>
  <si>
    <t>060294</t>
  </si>
  <si>
    <t>4,53/4,54/4,71</t>
  </si>
  <si>
    <t>060304</t>
  </si>
  <si>
    <t>4,49/4,49/4,42</t>
  </si>
  <si>
    <t>060314</t>
  </si>
  <si>
    <t>4,49/4,76/4,68</t>
  </si>
  <si>
    <t>060324</t>
  </si>
  <si>
    <t>4,47/4,76/4,61</t>
  </si>
  <si>
    <t>060394</t>
  </si>
  <si>
    <t>4,53/4,44/4,73</t>
  </si>
  <si>
    <t>060404</t>
  </si>
  <si>
    <t>4,65/4,71/4,69</t>
  </si>
  <si>
    <t>060414</t>
  </si>
  <si>
    <t>4,47/4,79/4,60</t>
  </si>
  <si>
    <t>060424</t>
  </si>
  <si>
    <t>4,51/4,56/4,69</t>
  </si>
  <si>
    <t>060434</t>
  </si>
  <si>
    <t>4,67/4,40/4,47</t>
  </si>
  <si>
    <t>060864</t>
  </si>
  <si>
    <t>4,47/4,59/4,72</t>
  </si>
  <si>
    <t>060874</t>
  </si>
  <si>
    <t>4,46/4,59/4,62</t>
  </si>
  <si>
    <t>060884</t>
  </si>
  <si>
    <t>4,76/4,69/4,66</t>
  </si>
  <si>
    <t>060894</t>
  </si>
  <si>
    <t>4,42/4,48/4,58</t>
  </si>
  <si>
    <t>060904</t>
  </si>
  <si>
    <t>4,68/4,65/4,73</t>
  </si>
  <si>
    <t>061904</t>
  </si>
  <si>
    <t>4,62/4,62/4,70</t>
  </si>
  <si>
    <t>061914</t>
  </si>
  <si>
    <t>4,42/4,52/4,44</t>
  </si>
  <si>
    <t>061924</t>
  </si>
  <si>
    <t>4,77/4,79/4,75</t>
  </si>
  <si>
    <t>061934</t>
  </si>
  <si>
    <t>4,80/4,75/4,44</t>
  </si>
  <si>
    <t>061944</t>
  </si>
  <si>
    <t>4,72/4,54/4,63</t>
  </si>
  <si>
    <t>061954</t>
  </si>
  <si>
    <t>4,68/4,49/4,67</t>
  </si>
  <si>
    <t>061964</t>
  </si>
  <si>
    <t>4,59/4,77/4,52</t>
  </si>
  <si>
    <t>061974</t>
  </si>
  <si>
    <t>4,77/4,42/4,40</t>
  </si>
  <si>
    <t>061984</t>
  </si>
  <si>
    <t>4,57/4,69/4,74</t>
  </si>
  <si>
    <t>061994</t>
  </si>
  <si>
    <t>4,71/4,66/4,64</t>
  </si>
  <si>
    <t>062004</t>
  </si>
  <si>
    <t>4,56/4,54/4,61</t>
  </si>
  <si>
    <t>062014</t>
  </si>
  <si>
    <t>4,40/4,74/4,46</t>
  </si>
  <si>
    <t>07</t>
  </si>
  <si>
    <t>070874</t>
  </si>
  <si>
    <t>4,72/4,75/4,42</t>
  </si>
  <si>
    <t>070884</t>
  </si>
  <si>
    <t>4,64/4,67/4,74</t>
  </si>
  <si>
    <t>070894</t>
  </si>
  <si>
    <t>4,50/4,74/4,51</t>
  </si>
  <si>
    <t>070904</t>
  </si>
  <si>
    <t>4,72/4,78/4,57</t>
  </si>
  <si>
    <t>070914</t>
  </si>
  <si>
    <t>4,69/4,78/4,50</t>
  </si>
  <si>
    <t>070924</t>
  </si>
  <si>
    <t>4,58/4,65/4,71</t>
  </si>
  <si>
    <t>070934</t>
  </si>
  <si>
    <t>4,72/4,79/4,63</t>
  </si>
  <si>
    <t>070944</t>
  </si>
  <si>
    <t>4,74/4,77/4,79</t>
  </si>
  <si>
    <t>070954</t>
  </si>
  <si>
    <t>4,76/4,67/4,70</t>
  </si>
  <si>
    <t>070964</t>
  </si>
  <si>
    <t>4,59/4,71/4,43</t>
  </si>
  <si>
    <t>071274</t>
  </si>
  <si>
    <t>4,73/4,77/4,63</t>
  </si>
  <si>
    <t>071284</t>
  </si>
  <si>
    <t>4,40/4,79/4,75</t>
  </si>
  <si>
    <t>071294</t>
  </si>
  <si>
    <t>4,69/4,80/4,71</t>
  </si>
  <si>
    <t>071304</t>
  </si>
  <si>
    <t>4,42/4,59/4,78</t>
  </si>
  <si>
    <t>071314</t>
  </si>
  <si>
    <t>4,67/4,56/4,53</t>
  </si>
  <si>
    <t>071324</t>
  </si>
  <si>
    <t>4,58/4,78/4,74</t>
  </si>
  <si>
    <t>071334</t>
  </si>
  <si>
    <t>4,68/4,75/4,67</t>
  </si>
  <si>
    <t>071344</t>
  </si>
  <si>
    <t>4,70/4,67/4,58</t>
  </si>
  <si>
    <t>071354</t>
  </si>
  <si>
    <t>4,64/4,69/4,49</t>
  </si>
  <si>
    <t>071364</t>
  </si>
  <si>
    <t>4,77/4,46/4,74</t>
  </si>
  <si>
    <t>071374</t>
  </si>
  <si>
    <t>4,77/4,72/4,48</t>
  </si>
  <si>
    <t>071384</t>
  </si>
  <si>
    <t>4,72/4,75/4,55</t>
  </si>
  <si>
    <t>071594</t>
  </si>
  <si>
    <t>4,77/4,76/4,62</t>
  </si>
  <si>
    <t>071614</t>
  </si>
  <si>
    <t>4,73/4,67/4,75</t>
  </si>
  <si>
    <t>071624</t>
  </si>
  <si>
    <t>4,64/4,77/4,69</t>
  </si>
  <si>
    <t>071634</t>
  </si>
  <si>
    <t>4,66/4,54/4,73</t>
  </si>
  <si>
    <t>071644</t>
  </si>
  <si>
    <t>4,74/4,45/4,55</t>
  </si>
  <si>
    <t>071654</t>
  </si>
  <si>
    <t>4,72/4,68/4,63</t>
  </si>
  <si>
    <t>071664</t>
  </si>
  <si>
    <t>4,69/4,58/4,67</t>
  </si>
  <si>
    <t>080834</t>
  </si>
  <si>
    <t>4,78/4,63/4,60</t>
  </si>
  <si>
    <t>080844</t>
  </si>
  <si>
    <t>4,44/4,54/4,75</t>
  </si>
  <si>
    <t>080854</t>
  </si>
  <si>
    <t>4,51/4,51/4,47</t>
  </si>
  <si>
    <t>080864</t>
  </si>
  <si>
    <t>4,41/4,72/4,64</t>
  </si>
  <si>
    <t>080874</t>
  </si>
  <si>
    <t>4,80/4,58/4,77</t>
  </si>
  <si>
    <t>080884</t>
  </si>
  <si>
    <t>4,56/4,69/4,64</t>
  </si>
  <si>
    <t>081504</t>
  </si>
  <si>
    <t>4,49/4,47/4,46</t>
  </si>
  <si>
    <t>081514</t>
  </si>
  <si>
    <t>4,65/4,56/4,61</t>
  </si>
  <si>
    <t>081524</t>
  </si>
  <si>
    <t>4,74/4,68/4,52</t>
  </si>
  <si>
    <t>081534</t>
  </si>
  <si>
    <t>4,42/4,80/4,74</t>
  </si>
  <si>
    <t>081754</t>
  </si>
  <si>
    <t>4,78/4,79/4,75</t>
  </si>
  <si>
    <t>MTX 386</t>
  </si>
  <si>
    <t>081764</t>
  </si>
  <si>
    <t>4,80/4,74/4,61</t>
  </si>
  <si>
    <t>081774</t>
  </si>
  <si>
    <t>4,61/4,76/4,71</t>
  </si>
  <si>
    <t>081784</t>
  </si>
  <si>
    <t>4,45/4,59/4,60</t>
  </si>
  <si>
    <t>081794</t>
  </si>
  <si>
    <t>4,76/4,77/4,76</t>
  </si>
  <si>
    <t xml:space="preserve">Kadar tablet tms , bewlum di passed </t>
  </si>
  <si>
    <t>082004</t>
  </si>
  <si>
    <t>4,69/4,42/4,78</t>
  </si>
  <si>
    <t>082014</t>
  </si>
  <si>
    <t>4,41/4,67/4,73</t>
  </si>
  <si>
    <t>Kaplet bintik hitam</t>
  </si>
  <si>
    <t>082024</t>
  </si>
  <si>
    <t>4,52/4,45/4,49</t>
  </si>
  <si>
    <t>082034</t>
  </si>
  <si>
    <t>4,43/4,74/4,52</t>
  </si>
  <si>
    <t>SEDANG JALAN</t>
  </si>
  <si>
    <t>082044</t>
  </si>
  <si>
    <t>4,59/4,44/4,55</t>
  </si>
  <si>
    <t>082054</t>
  </si>
  <si>
    <t>4,46/4,74/4,51</t>
  </si>
  <si>
    <t>082064</t>
  </si>
  <si>
    <t>082074</t>
  </si>
  <si>
    <t>4,77/4,63/4,70</t>
  </si>
  <si>
    <t>09</t>
  </si>
  <si>
    <t>13.08.2024</t>
  </si>
  <si>
    <t>090444</t>
  </si>
  <si>
    <t>4,74/4,64/4,67</t>
  </si>
  <si>
    <t>090454</t>
  </si>
  <si>
    <t>4,63/4,52/4,77</t>
  </si>
  <si>
    <t>090464</t>
  </si>
  <si>
    <t>4,43/4,75/4,66</t>
  </si>
  <si>
    <t>090474</t>
  </si>
  <si>
    <t>4,68/4,66/4,57</t>
  </si>
  <si>
    <t>CK  3</t>
  </si>
  <si>
    <t>090484</t>
  </si>
  <si>
    <t>4,79/4,74/4,77</t>
  </si>
  <si>
    <t>090494</t>
  </si>
  <si>
    <t>4,77/4,79/4,50</t>
  </si>
  <si>
    <t>CK  1 LT 1</t>
  </si>
  <si>
    <t>28,08,2024</t>
  </si>
  <si>
    <r>
      <rPr>
        <b/>
        <sz val="11"/>
        <color rgb="FF008000"/>
        <rFont val="Calibri"/>
        <charset val="134"/>
      </rPr>
      <t>Selesai</t>
    </r>
    <r>
      <rPr>
        <b/>
        <sz val="11"/>
        <color rgb="FF0000FF"/>
        <rFont val="Calibri"/>
        <charset val="134"/>
      </rPr>
      <t xml:space="preserve"> </t>
    </r>
  </si>
  <si>
    <t>14.08.2024</t>
  </si>
  <si>
    <t>090794</t>
  </si>
  <si>
    <t>4,54/4,47/4,77</t>
  </si>
  <si>
    <t>CK  2 LT 1</t>
  </si>
  <si>
    <t>29,08,2024</t>
  </si>
  <si>
    <t>090804</t>
  </si>
  <si>
    <t>4,46/4,62/4,77</t>
  </si>
  <si>
    <t>Sedang jalan</t>
  </si>
  <si>
    <t>090814</t>
  </si>
  <si>
    <t>4,40/4,52/4,62</t>
  </si>
  <si>
    <t>090824</t>
  </si>
  <si>
    <t>4,53/4,51/4,57</t>
  </si>
  <si>
    <t>090834</t>
  </si>
  <si>
    <t>4,40/4,42/4,48</t>
  </si>
  <si>
    <t>091614</t>
  </si>
  <si>
    <t>091624</t>
  </si>
  <si>
    <t>091634</t>
  </si>
  <si>
    <t>091644</t>
  </si>
  <si>
    <t>091654</t>
  </si>
  <si>
    <t>091664</t>
  </si>
  <si>
    <t>091674</t>
  </si>
  <si>
    <t>091684</t>
  </si>
  <si>
    <t>091694</t>
  </si>
  <si>
    <t>091994</t>
  </si>
  <si>
    <t>BODREX FLU &amp; BATUK PE/4'S</t>
  </si>
  <si>
    <t>BFTP</t>
  </si>
  <si>
    <t>001-05-04</t>
  </si>
  <si>
    <t>010334</t>
  </si>
  <si>
    <t>3,40/3,32/3,23/3,20</t>
  </si>
  <si>
    <t>4,87/4,93</t>
  </si>
  <si>
    <t>010344</t>
  </si>
  <si>
    <t>3,37/3,42/3,35/3,10</t>
  </si>
  <si>
    <t>5,00/4,82</t>
  </si>
  <si>
    <t>010354</t>
  </si>
  <si>
    <t>3,47/3,34/3,48/3,37</t>
  </si>
  <si>
    <t>4,73/5,04</t>
  </si>
  <si>
    <t>010364</t>
  </si>
  <si>
    <t>3,37/3,32/3,42/3,35</t>
  </si>
  <si>
    <t>4,93/5,06</t>
  </si>
  <si>
    <t>010374</t>
  </si>
  <si>
    <t>3,47/3,48/3,42/3,49</t>
  </si>
  <si>
    <t>5,03/4,73</t>
  </si>
  <si>
    <t>010384</t>
  </si>
  <si>
    <t>3,14/3,11/3,25/3,49</t>
  </si>
  <si>
    <t>5,02/4,95</t>
  </si>
  <si>
    <t>010394</t>
  </si>
  <si>
    <t>3,10/3,45/3,28/3,49</t>
  </si>
  <si>
    <t>4,80/5,08</t>
  </si>
  <si>
    <t>04.01.2024</t>
  </si>
  <si>
    <t>011144</t>
  </si>
  <si>
    <t>3,31/3,46/3,41/3,34</t>
  </si>
  <si>
    <t>5,10/5,05</t>
  </si>
  <si>
    <t>011154</t>
  </si>
  <si>
    <t>3,16/3,12/3,23/3,27</t>
  </si>
  <si>
    <t>4,76/4,74</t>
  </si>
  <si>
    <t>011164</t>
  </si>
  <si>
    <t>3,40/3,42/3,19/3,17</t>
  </si>
  <si>
    <t>4,97/5,03</t>
  </si>
  <si>
    <t>HIPRO 1</t>
  </si>
  <si>
    <t>011174</t>
  </si>
  <si>
    <t>3,14/3,27/3,39/3,29</t>
  </si>
  <si>
    <t>6,62/7,16</t>
  </si>
  <si>
    <t>200104754</t>
  </si>
  <si>
    <t>020464</t>
  </si>
  <si>
    <t>3,25/3,45/3,44/3,49</t>
  </si>
  <si>
    <t>4,89/5,00</t>
  </si>
  <si>
    <t>200104755</t>
  </si>
  <si>
    <t>020474</t>
  </si>
  <si>
    <t>3,47/3,50/3,28/3,38</t>
  </si>
  <si>
    <t>4,81/4,91</t>
  </si>
  <si>
    <t>200104756</t>
  </si>
  <si>
    <t>020484</t>
  </si>
  <si>
    <t>3,33/3,39/3,31/3,39</t>
  </si>
  <si>
    <t>4,92/4,71</t>
  </si>
  <si>
    <t>200104757</t>
  </si>
  <si>
    <t>020494</t>
  </si>
  <si>
    <t>3,46/3,42/3,37/3,42</t>
  </si>
  <si>
    <t>5,00/4,73</t>
  </si>
  <si>
    <t>200104758</t>
  </si>
  <si>
    <t>020504</t>
  </si>
  <si>
    <t>3,47/3,47/3,17/3,32</t>
  </si>
  <si>
    <t>4,90/5,07</t>
  </si>
  <si>
    <t>200104759</t>
  </si>
  <si>
    <t>020514</t>
  </si>
  <si>
    <t>3,19/3,12/3,25/3,20</t>
  </si>
  <si>
    <t>4,72/4,86</t>
  </si>
  <si>
    <t>200104760</t>
  </si>
  <si>
    <t>020524</t>
  </si>
  <si>
    <t>3,35/3,42/3,47/3,37</t>
  </si>
  <si>
    <t>5,09/5,00</t>
  </si>
  <si>
    <t>200104761</t>
  </si>
  <si>
    <t>020534</t>
  </si>
  <si>
    <t>3,10/3,25/3,49/3,12</t>
  </si>
  <si>
    <t>5,08/4,81</t>
  </si>
  <si>
    <t>020704</t>
  </si>
  <si>
    <t>3,39/3,42/3,37/3,48</t>
  </si>
  <si>
    <t>4,90/5,02</t>
  </si>
  <si>
    <t>020714</t>
  </si>
  <si>
    <t>3,31/3,16/3,39/3,30</t>
  </si>
  <si>
    <t>5,02/4,73</t>
  </si>
  <si>
    <t>030144</t>
  </si>
  <si>
    <t>3,34/3,44/3,34/3,17</t>
  </si>
  <si>
    <t>4,89/4,73</t>
  </si>
  <si>
    <t>030154</t>
  </si>
  <si>
    <t>3,12/3,11/3,11/3,29</t>
  </si>
  <si>
    <t>4,72/4,73</t>
  </si>
  <si>
    <t>030164</t>
  </si>
  <si>
    <t>3,12/3,42/3,24/3,12</t>
  </si>
  <si>
    <t>4,70/5,10</t>
  </si>
  <si>
    <t>030174</t>
  </si>
  <si>
    <t>3,3/3,17/3,47/3,22</t>
  </si>
  <si>
    <t>5,07/4,72</t>
  </si>
  <si>
    <t>030184</t>
  </si>
  <si>
    <t>3,27/3,42/3,50/3,43</t>
  </si>
  <si>
    <t>4,98/5,09</t>
  </si>
  <si>
    <t>030194</t>
  </si>
  <si>
    <t>3,25/3,47/3,37/3,37</t>
  </si>
  <si>
    <t>4,75/5,10</t>
  </si>
  <si>
    <t>031074</t>
  </si>
  <si>
    <t>3,27/3,40/3,27/3,22</t>
  </si>
  <si>
    <t>4,77/4,82</t>
  </si>
  <si>
    <t>031084</t>
  </si>
  <si>
    <t>3,30/3,12/3,29/3,34</t>
  </si>
  <si>
    <t>4,77/4,91</t>
  </si>
  <si>
    <t>031094</t>
  </si>
  <si>
    <t>3,15/3,11/3,12/3,39</t>
  </si>
  <si>
    <t>4,95/4,71</t>
  </si>
  <si>
    <t>031104</t>
  </si>
  <si>
    <t>3,24/3,29/3,42/3,37</t>
  </si>
  <si>
    <t>4,84/4,91</t>
  </si>
  <si>
    <t>040304</t>
  </si>
  <si>
    <t>3,50/3,38/3,14/3,22</t>
  </si>
  <si>
    <t>4,78/4,97</t>
  </si>
  <si>
    <t>'040314</t>
  </si>
  <si>
    <t>3,22/3,12//3,32/3,32</t>
  </si>
  <si>
    <t>5,09/4,72</t>
  </si>
  <si>
    <t>040324</t>
  </si>
  <si>
    <t>3,22/3,37/3,45/3,35</t>
  </si>
  <si>
    <t>4,87/5,09</t>
  </si>
  <si>
    <t>BELUM SELESAI, 4 TONG BLISTER DI REJECT SORTIR BLISTER GENCET DI CUTTING</t>
  </si>
  <si>
    <t>040334</t>
  </si>
  <si>
    <t>3,42/3,39/3,30/3,25</t>
  </si>
  <si>
    <t>4,80/4,72</t>
  </si>
  <si>
    <t>040344</t>
  </si>
  <si>
    <t>3,35/3,18/3,28/3,37</t>
  </si>
  <si>
    <t>4,91/4,85</t>
  </si>
  <si>
    <t>040354</t>
  </si>
  <si>
    <t>3,22/3,42/3,23/3,33</t>
  </si>
  <si>
    <t>4,96/4,89</t>
  </si>
  <si>
    <t>040364</t>
  </si>
  <si>
    <t>3,14/3,44/3,47/3,24</t>
  </si>
  <si>
    <t>4,76/5,10</t>
  </si>
  <si>
    <t>040374</t>
  </si>
  <si>
    <t>3,45/3,49/3,10/3,15</t>
  </si>
  <si>
    <t>4,92/5,08</t>
  </si>
  <si>
    <t>040384</t>
  </si>
  <si>
    <t>3,45/3,20/3,17/3,40</t>
  </si>
  <si>
    <t>5,09/5,09</t>
  </si>
  <si>
    <t>042264</t>
  </si>
  <si>
    <t>3,42/3,47/3,10/3,16</t>
  </si>
  <si>
    <t>4,70/4,97</t>
  </si>
  <si>
    <t>042274</t>
  </si>
  <si>
    <t>3,41/3,47/3,16/3,46</t>
  </si>
  <si>
    <t>5,03/5,02</t>
  </si>
  <si>
    <t>050184</t>
  </si>
  <si>
    <t>3,47/3,47/3,42/3,44</t>
  </si>
  <si>
    <t>4,96/5,01</t>
  </si>
  <si>
    <t>050194</t>
  </si>
  <si>
    <t>3,50/3,48/3,24/3,46</t>
  </si>
  <si>
    <t>4,77/5,02</t>
  </si>
  <si>
    <t>050204</t>
  </si>
  <si>
    <t>3,14/3,12/3,11/3,10</t>
  </si>
  <si>
    <t>4,72/5,05</t>
  </si>
  <si>
    <t>050314</t>
  </si>
  <si>
    <t>3,22/3,12/3,22/3,23</t>
  </si>
  <si>
    <t>5,10/4,72</t>
  </si>
  <si>
    <t>'050324</t>
  </si>
  <si>
    <t>3,50/3,49/3,34/3,38</t>
  </si>
  <si>
    <t>5,07/4,76</t>
  </si>
  <si>
    <t>050334</t>
  </si>
  <si>
    <t>3,41/3,47/3,39/3,25</t>
  </si>
  <si>
    <t>5,09/4,85</t>
  </si>
  <si>
    <t>050424</t>
  </si>
  <si>
    <t>3,35/3,44/3,24/3,32</t>
  </si>
  <si>
    <t>4,77/5,04</t>
  </si>
  <si>
    <t>050784</t>
  </si>
  <si>
    <t>3,14/3,47/3,39/3,15</t>
  </si>
  <si>
    <t>4,89/4,92</t>
  </si>
  <si>
    <t>051134</t>
  </si>
  <si>
    <t>3,21/3,27/3,19/3,32</t>
  </si>
  <si>
    <t>4,92/5,07</t>
  </si>
  <si>
    <t>051144</t>
  </si>
  <si>
    <t>3,47/3,38/3,39/3,47</t>
  </si>
  <si>
    <t>4,77/4,99</t>
  </si>
  <si>
    <t>060914</t>
  </si>
  <si>
    <t>3,33/3,46/3,36/3,29</t>
  </si>
  <si>
    <t>5,01/4,76</t>
  </si>
  <si>
    <t>060924</t>
  </si>
  <si>
    <t>3,24/3,44/3,21/3,47</t>
  </si>
  <si>
    <t>4,95/5,01</t>
  </si>
  <si>
    <t>060934</t>
  </si>
  <si>
    <t>3,07/3,49/3,45/3,40</t>
  </si>
  <si>
    <t>060944</t>
  </si>
  <si>
    <t>3,297/3,20/3,45/3,22</t>
  </si>
  <si>
    <t>5,04/4,94</t>
  </si>
  <si>
    <t>061434</t>
  </si>
  <si>
    <t>3,29/3,16/3,20/3,43</t>
  </si>
  <si>
    <t>5,00/5,10</t>
  </si>
  <si>
    <t>061444</t>
  </si>
  <si>
    <t>3,37/3,49/3,42/3,30</t>
  </si>
  <si>
    <t>5,09/4,92</t>
  </si>
  <si>
    <t>061454</t>
  </si>
  <si>
    <t>322/3,49/3,17/3,12</t>
  </si>
  <si>
    <t>5,08/4,73</t>
  </si>
  <si>
    <t>061464</t>
  </si>
  <si>
    <t>3,37/3,30/3,24/3,29</t>
  </si>
  <si>
    <t>4,74/4,75</t>
  </si>
  <si>
    <t>061474</t>
  </si>
  <si>
    <t>3,31/3,17/3,19/3,27</t>
  </si>
  <si>
    <t>5,00/4,90</t>
  </si>
  <si>
    <t>062024</t>
  </si>
  <si>
    <t>3,12/3,12/3,32/3,22</t>
  </si>
  <si>
    <t>5,05/5,07</t>
  </si>
  <si>
    <t>070044</t>
  </si>
  <si>
    <t>3,37/3,20/3,46/3,19</t>
  </si>
  <si>
    <t>4,84/5,07</t>
  </si>
  <si>
    <t>070054</t>
  </si>
  <si>
    <t>3,49/3,14/3,15/3,50</t>
  </si>
  <si>
    <t>5,05/5,10</t>
  </si>
  <si>
    <t>070064</t>
  </si>
  <si>
    <t>3,34/3,15/3,25/3,47</t>
  </si>
  <si>
    <t>5,08/4,85</t>
  </si>
  <si>
    <t>070074</t>
  </si>
  <si>
    <t>3,34/3,34/3,47/3,40</t>
  </si>
  <si>
    <t>4,89/5,02</t>
  </si>
  <si>
    <t>070814</t>
  </si>
  <si>
    <t>3,45/3,45/3,44/3,43</t>
  </si>
  <si>
    <t>4,96/4,94</t>
  </si>
  <si>
    <t>070824</t>
  </si>
  <si>
    <t>3,52/3,30/3,29/3,27</t>
  </si>
  <si>
    <t>4,97/4,72</t>
  </si>
  <si>
    <t>070834</t>
  </si>
  <si>
    <t>3,48/3,22/3,11/3,18</t>
  </si>
  <si>
    <t>4,82/4,73</t>
  </si>
  <si>
    <t>070844</t>
  </si>
  <si>
    <t>3,46/3,49/3,31/3,44</t>
  </si>
  <si>
    <t>5,00/5,03</t>
  </si>
  <si>
    <t>070854</t>
  </si>
  <si>
    <t>3,29/3,15/3,42/3,39</t>
  </si>
  <si>
    <t>5,10/5,07</t>
  </si>
  <si>
    <t>070864</t>
  </si>
  <si>
    <t>3,44/3,24/3,35/3,22</t>
  </si>
  <si>
    <t>5,07/5,09</t>
  </si>
  <si>
    <t>081084</t>
  </si>
  <si>
    <t>3,22/3,10/3,25/3,49</t>
  </si>
  <si>
    <t>4,87/5,07</t>
  </si>
  <si>
    <t>081094</t>
  </si>
  <si>
    <t>3,35/3,16/3,45/3,36</t>
  </si>
  <si>
    <t>4,70/5,04</t>
  </si>
  <si>
    <t>081104</t>
  </si>
  <si>
    <t>3,36/3,39/3,44/3,47</t>
  </si>
  <si>
    <t>4,97/5,07</t>
  </si>
  <si>
    <t>081114</t>
  </si>
  <si>
    <t>3,26/3,45/3,32/3,32</t>
  </si>
  <si>
    <t>4,78/5,06</t>
  </si>
  <si>
    <t>081124</t>
  </si>
  <si>
    <t>3,33/3,27/3,10/3,44</t>
  </si>
  <si>
    <t>4,92/5,05</t>
  </si>
  <si>
    <t>081354</t>
  </si>
  <si>
    <t>3,19/3,44/3,27/3,36</t>
  </si>
  <si>
    <t>5,04/4,97</t>
  </si>
  <si>
    <t>081364</t>
  </si>
  <si>
    <t>3,27/3,10/3,42/3,16</t>
  </si>
  <si>
    <t>5,04/5,09</t>
  </si>
  <si>
    <t>081374</t>
  </si>
  <si>
    <t>3,29/3,23/3,46/3,21</t>
  </si>
  <si>
    <t>4,99/5,03</t>
  </si>
  <si>
    <t>081384</t>
  </si>
  <si>
    <t>3,37/3,12/3,21/3,29</t>
  </si>
  <si>
    <t>5,09/5,10</t>
  </si>
  <si>
    <t>081394</t>
  </si>
  <si>
    <t>3,17/3,44/3,27/3,15</t>
  </si>
  <si>
    <t>5,07/5,03</t>
  </si>
  <si>
    <t>090544</t>
  </si>
  <si>
    <t>3,15/3,40/3,10/3,37</t>
  </si>
  <si>
    <t>5,02/4,72</t>
  </si>
  <si>
    <t>090554</t>
  </si>
  <si>
    <t>3,42/3,40/3,39/3,24</t>
  </si>
  <si>
    <t>4,77/4,96</t>
  </si>
  <si>
    <t>090564</t>
  </si>
  <si>
    <t>3,21/3,20/3,26/3,40</t>
  </si>
  <si>
    <t>4,72/5,04</t>
  </si>
  <si>
    <t>090574</t>
  </si>
  <si>
    <t>3,47/3,32/3,10/3,42</t>
  </si>
  <si>
    <t>5,0/5,06</t>
  </si>
  <si>
    <t>21.08.2024</t>
  </si>
  <si>
    <t>091334</t>
  </si>
  <si>
    <t>3,30/3,22/3,32/3,49</t>
  </si>
  <si>
    <t>4,80/4,91</t>
  </si>
  <si>
    <t>091344</t>
  </si>
  <si>
    <t>3,30/3,37/3,17/3,12</t>
  </si>
  <si>
    <t>4,77/4,76</t>
  </si>
  <si>
    <t>091354</t>
  </si>
  <si>
    <t>3,49/3,42/3,28/3,15</t>
  </si>
  <si>
    <t>4,89/5,09</t>
  </si>
  <si>
    <t>BODREX FLU &amp; BATUK BERDAHAK PE/4'S</t>
  </si>
  <si>
    <t>BFDP</t>
  </si>
  <si>
    <t>001-07-03</t>
  </si>
  <si>
    <t>010304</t>
  </si>
  <si>
    <t>3,07/3,00</t>
  </si>
  <si>
    <t>HI PRO 1</t>
  </si>
  <si>
    <t>010314</t>
  </si>
  <si>
    <t>3,31/3,12</t>
  </si>
  <si>
    <t>010324</t>
  </si>
  <si>
    <t>3,32/3,30</t>
  </si>
  <si>
    <t>BFDP GG</t>
  </si>
  <si>
    <t>GG</t>
  </si>
  <si>
    <t>022444</t>
  </si>
  <si>
    <t>022454</t>
  </si>
  <si>
    <t>030014</t>
  </si>
  <si>
    <t>3,35/3,32</t>
  </si>
  <si>
    <t>030134</t>
  </si>
  <si>
    <t>3,24/3,30</t>
  </si>
  <si>
    <t>031114</t>
  </si>
  <si>
    <t>3,15/3,27</t>
  </si>
  <si>
    <t>031564</t>
  </si>
  <si>
    <t>3,34/3,39</t>
  </si>
  <si>
    <t>050584</t>
  </si>
  <si>
    <t>3,27/3,35</t>
  </si>
  <si>
    <t>060054</t>
  </si>
  <si>
    <t>3,31/3,34</t>
  </si>
  <si>
    <t>060064</t>
  </si>
  <si>
    <t>3,15/3,34</t>
  </si>
  <si>
    <t>070284</t>
  </si>
  <si>
    <t>3,33/3,15</t>
  </si>
  <si>
    <t>070294</t>
  </si>
  <si>
    <t>3,34/3,25</t>
  </si>
  <si>
    <t>BODREX FLU&amp;BTK BDHK PE/KAP 4'S BLS</t>
  </si>
  <si>
    <t>090864</t>
  </si>
  <si>
    <t>3,06/3,11</t>
  </si>
  <si>
    <t>090874</t>
  </si>
  <si>
    <t>BFDP/GG</t>
  </si>
  <si>
    <t>BODREX FLU/KAP 4’S BLS</t>
  </si>
  <si>
    <t>BFLU</t>
  </si>
  <si>
    <t>001-13-00</t>
  </si>
  <si>
    <t>010034</t>
  </si>
  <si>
    <t>CK  1</t>
  </si>
  <si>
    <t>030934</t>
  </si>
  <si>
    <t>081334</t>
  </si>
  <si>
    <t>081344</t>
  </si>
  <si>
    <t>BODREX PILEK/KAP 4'S BLS</t>
  </si>
  <si>
    <t>BXPK</t>
  </si>
  <si>
    <t>001-19-00</t>
  </si>
  <si>
    <t>020174</t>
  </si>
  <si>
    <t>BODREX PILEK ALERGI/KAP 4'S BLS</t>
  </si>
  <si>
    <t>BXPA</t>
  </si>
  <si>
    <t>001-19-01</t>
  </si>
  <si>
    <t>21.12.2023</t>
  </si>
  <si>
    <t>011034</t>
  </si>
  <si>
    <t>selesai,  saba</t>
  </si>
  <si>
    <t>SELESAI, SABA</t>
  </si>
  <si>
    <t>BODREX MIGRA / 4 KAPLET</t>
  </si>
  <si>
    <t>BXMR</t>
  </si>
  <si>
    <t>001-06-00</t>
  </si>
  <si>
    <t>010974</t>
  </si>
  <si>
    <t>CB3-1</t>
  </si>
  <si>
    <t>010984</t>
  </si>
  <si>
    <t>010994</t>
  </si>
  <si>
    <t>5,08/5,37</t>
  </si>
  <si>
    <t>011004</t>
  </si>
  <si>
    <t>4,27/4,29/4,17</t>
  </si>
  <si>
    <t>5,07/5,27</t>
  </si>
  <si>
    <t>011184</t>
  </si>
  <si>
    <t>CB 2</t>
  </si>
  <si>
    <t>4,06/4,02/4,08</t>
  </si>
  <si>
    <t>5,25/5,19</t>
  </si>
  <si>
    <t>011194</t>
  </si>
  <si>
    <t>4,22/4,13/4,12</t>
  </si>
  <si>
    <t>5,28/5,31</t>
  </si>
  <si>
    <t>011204</t>
  </si>
  <si>
    <t>4,42/4,17/4,17</t>
  </si>
  <si>
    <t>5,33/5,12</t>
  </si>
  <si>
    <t>020854</t>
  </si>
  <si>
    <t>4,02/4,70,4,10</t>
  </si>
  <si>
    <t>020864</t>
  </si>
  <si>
    <t>4,32/4,37/4,27</t>
  </si>
  <si>
    <t>5,22/5,06</t>
  </si>
  <si>
    <t>020874</t>
  </si>
  <si>
    <t>4,29/4,24/4,27</t>
  </si>
  <si>
    <t>5,07/5,24</t>
  </si>
  <si>
    <t>020884</t>
  </si>
  <si>
    <t>4,22/4,21/4,36</t>
  </si>
  <si>
    <t>5,45/5,49</t>
  </si>
  <si>
    <t>020894</t>
  </si>
  <si>
    <t>4,28/4,09/4,41</t>
  </si>
  <si>
    <t>5,24/5,13</t>
  </si>
  <si>
    <t>021694</t>
  </si>
  <si>
    <t>4,90/4,48/4,17</t>
  </si>
  <si>
    <t>5,04/5,25</t>
  </si>
  <si>
    <t>021704</t>
  </si>
  <si>
    <t>4,19/4,33/4,19</t>
  </si>
  <si>
    <t>5,24/5,05</t>
  </si>
  <si>
    <t>021714</t>
  </si>
  <si>
    <t>4,09/4,29/4,30</t>
  </si>
  <si>
    <t>5,25/5,22</t>
  </si>
  <si>
    <t>021724</t>
  </si>
  <si>
    <t>4,21/4,24/4,17</t>
  </si>
  <si>
    <t>5,24/5,17</t>
  </si>
  <si>
    <t>021864</t>
  </si>
  <si>
    <t>4,47/4,37/4,38</t>
  </si>
  <si>
    <t>5,21/5,19</t>
  </si>
  <si>
    <t>021874</t>
  </si>
  <si>
    <t>4,05/4,25/4,17</t>
  </si>
  <si>
    <t>5,14/5,15</t>
  </si>
  <si>
    <t>021884</t>
  </si>
  <si>
    <t>4,10/4,20/4,44</t>
  </si>
  <si>
    <t>030434</t>
  </si>
  <si>
    <t>4,28/4,37/4,37</t>
  </si>
  <si>
    <t>5,14/5,24</t>
  </si>
  <si>
    <t>030444</t>
  </si>
  <si>
    <t>4,12/4,34/4,29</t>
  </si>
  <si>
    <t>5,26/5,33</t>
  </si>
  <si>
    <t>030454</t>
  </si>
  <si>
    <t>4,09/4,48/4,44</t>
  </si>
  <si>
    <t>5,24/5,10</t>
  </si>
  <si>
    <t>030464</t>
  </si>
  <si>
    <t>4,22/4,37/4,29</t>
  </si>
  <si>
    <t>5,26/5,13</t>
  </si>
  <si>
    <t>030474</t>
  </si>
  <si>
    <t>4,27/4,43/4,19</t>
  </si>
  <si>
    <t>5,12/5,02</t>
  </si>
  <si>
    <t>030954</t>
  </si>
  <si>
    <t>4,07/4,20/4,22</t>
  </si>
  <si>
    <t>5,19/5,10</t>
  </si>
  <si>
    <t>030964</t>
  </si>
  <si>
    <t>4,04/4,19/4,37</t>
  </si>
  <si>
    <t>5,30/5,00</t>
  </si>
  <si>
    <t>031404</t>
  </si>
  <si>
    <t>4,48/4,50/4,49</t>
  </si>
  <si>
    <t>5,05/5,17</t>
  </si>
  <si>
    <t>031414</t>
  </si>
  <si>
    <t>4,32/4,05/4,24</t>
  </si>
  <si>
    <t>040014</t>
  </si>
  <si>
    <t>4,30/4,05/4,24</t>
  </si>
  <si>
    <t>5,26/5,15</t>
  </si>
  <si>
    <t>040024</t>
  </si>
  <si>
    <t>4,40/4,14/4,29</t>
  </si>
  <si>
    <t>5,09/5,32</t>
  </si>
  <si>
    <t>040214</t>
  </si>
  <si>
    <t>4,33/4,33/4,27</t>
  </si>
  <si>
    <t>5,44/5,37</t>
  </si>
  <si>
    <t>040224</t>
  </si>
  <si>
    <t>4,07/4,37/4,20</t>
  </si>
  <si>
    <t>5,19/5,04</t>
  </si>
  <si>
    <t>040234</t>
  </si>
  <si>
    <t>4,12/4,17/4,34</t>
  </si>
  <si>
    <t>5,07/5,18</t>
  </si>
  <si>
    <t>040294</t>
  </si>
  <si>
    <t>4,22/4,37/4,37</t>
  </si>
  <si>
    <t>5,09/5,24</t>
  </si>
  <si>
    <t>040714</t>
  </si>
  <si>
    <t>4,34/4,22/4,27</t>
  </si>
  <si>
    <t>5,15/5,25</t>
  </si>
  <si>
    <t>040724</t>
  </si>
  <si>
    <t>4,44/4,30/4,34</t>
  </si>
  <si>
    <t>5,04/5,44</t>
  </si>
  <si>
    <t>040734</t>
  </si>
  <si>
    <t>4,37/4,22/4,21</t>
  </si>
  <si>
    <t>5,22/5,49</t>
  </si>
  <si>
    <t>040744</t>
  </si>
  <si>
    <t>4,47/4,17/4,42</t>
  </si>
  <si>
    <t>5,41/5,21</t>
  </si>
  <si>
    <t>040754</t>
  </si>
  <si>
    <t>4,12/4,17/4,14</t>
  </si>
  <si>
    <t>5,16/5,31</t>
  </si>
  <si>
    <t>050434</t>
  </si>
  <si>
    <t>4,48/4,30/4,48</t>
  </si>
  <si>
    <t>5,13/5,16</t>
  </si>
  <si>
    <t>050444</t>
  </si>
  <si>
    <t>4,18/4,46/4,43</t>
  </si>
  <si>
    <t>5,28/5,02</t>
  </si>
  <si>
    <t>050794</t>
  </si>
  <si>
    <t>CB 1</t>
  </si>
  <si>
    <t>4,44/4,21/4,26</t>
  </si>
  <si>
    <t>5,05/5,24</t>
  </si>
  <si>
    <t>050804</t>
  </si>
  <si>
    <t>4,33/4,07/4,33</t>
  </si>
  <si>
    <t>5,32/5,24</t>
  </si>
  <si>
    <t>050814</t>
  </si>
  <si>
    <t>4,35/4,43/4,24</t>
  </si>
  <si>
    <t>5,24/5,04</t>
  </si>
  <si>
    <t>MTX514</t>
  </si>
  <si>
    <t>050824</t>
  </si>
  <si>
    <t>4,44/4,42/4,69</t>
  </si>
  <si>
    <t>5,35/5,37</t>
  </si>
  <si>
    <t>051764</t>
  </si>
  <si>
    <t>4,26/4,46/4,00</t>
  </si>
  <si>
    <t>5,10/5,14</t>
  </si>
  <si>
    <t>051774</t>
  </si>
  <si>
    <t>4,49/4,01/4,25</t>
  </si>
  <si>
    <t>5,22/5,34</t>
  </si>
  <si>
    <t>051784</t>
  </si>
  <si>
    <t>4,19/4,47/4,06</t>
  </si>
  <si>
    <t>5,12/5,07/</t>
  </si>
  <si>
    <t>052534</t>
  </si>
  <si>
    <t>4,33/4,42/4,35</t>
  </si>
  <si>
    <t>5,19/5,27</t>
  </si>
  <si>
    <t>052544</t>
  </si>
  <si>
    <t>4,01/4,36/4,14</t>
  </si>
  <si>
    <t>5,32/5,09</t>
  </si>
  <si>
    <t>052554</t>
  </si>
  <si>
    <t>4,25/4,46/4,31</t>
  </si>
  <si>
    <t>5,32/5,13</t>
  </si>
  <si>
    <t>052564</t>
  </si>
  <si>
    <t>4,25/4,03/4,35</t>
  </si>
  <si>
    <t>5,19/5,17</t>
  </si>
  <si>
    <t>060224</t>
  </si>
  <si>
    <t>4,22/4,02/4,22</t>
  </si>
  <si>
    <t>5,16/5,37</t>
  </si>
  <si>
    <t>060234</t>
  </si>
  <si>
    <t>4,39/4,25/4,34</t>
  </si>
  <si>
    <t>5,09/5,13</t>
  </si>
  <si>
    <t>060244</t>
  </si>
  <si>
    <t>4,45/4,44/4,10</t>
  </si>
  <si>
    <t>5,26/5,38</t>
  </si>
  <si>
    <t>060254</t>
  </si>
  <si>
    <t>4,42/4,12/4,30</t>
  </si>
  <si>
    <t>5,19/5,22</t>
  </si>
  <si>
    <t>060264</t>
  </si>
  <si>
    <t>4,05/4,26/4,31</t>
  </si>
  <si>
    <t>5,39/5,17</t>
  </si>
  <si>
    <t>060364</t>
  </si>
  <si>
    <t>4,42/4,37/4,25</t>
  </si>
  <si>
    <t>5,04/5,20</t>
  </si>
  <si>
    <t>060374</t>
  </si>
  <si>
    <t>4,31/4,10/4,26</t>
  </si>
  <si>
    <t>5,09/5,22</t>
  </si>
  <si>
    <t>060384</t>
  </si>
  <si>
    <t>4,30/4,32/4,17</t>
  </si>
  <si>
    <t>5,13/5,12</t>
  </si>
  <si>
    <t>060664</t>
  </si>
  <si>
    <t>4,08/4,36/4,17</t>
  </si>
  <si>
    <t>5,24/5,18</t>
  </si>
  <si>
    <t>060674</t>
  </si>
  <si>
    <t>4,48/4,42/4,23</t>
  </si>
  <si>
    <t>5,00/5,24</t>
  </si>
  <si>
    <t>060684</t>
  </si>
  <si>
    <t>4,43/4,34/4,20</t>
  </si>
  <si>
    <t>5,35/5,14</t>
  </si>
  <si>
    <t>062524</t>
  </si>
  <si>
    <t>4,45/4,44/4,24</t>
  </si>
  <si>
    <t>5,10/5,45</t>
  </si>
  <si>
    <t>070304</t>
  </si>
  <si>
    <t>4,49/4,34/4,26</t>
  </si>
  <si>
    <t>5,37/5,01</t>
  </si>
  <si>
    <t>070314</t>
  </si>
  <si>
    <t>4,18/4,02/4,11</t>
  </si>
  <si>
    <t>5,04/5,34</t>
  </si>
  <si>
    <t>070324</t>
  </si>
  <si>
    <t>4,47/4,41/4,00</t>
  </si>
  <si>
    <t>5,21/5,00</t>
  </si>
  <si>
    <t>070334</t>
  </si>
  <si>
    <t>4,28/4,02/4,32</t>
  </si>
  <si>
    <t>5,33/5,07</t>
  </si>
  <si>
    <t>070344</t>
  </si>
  <si>
    <t>4,28/4,35/4,38</t>
  </si>
  <si>
    <t>5,47/5,29</t>
  </si>
  <si>
    <t>071994</t>
  </si>
  <si>
    <t>4,36/4,33/4,32</t>
  </si>
  <si>
    <t>5,46/5,14</t>
  </si>
  <si>
    <t>072004</t>
  </si>
  <si>
    <t>4,13/4,18/4,31</t>
  </si>
  <si>
    <t>072014</t>
  </si>
  <si>
    <t>4,20/4,12/4,46</t>
  </si>
  <si>
    <t>5,44/5,20</t>
  </si>
  <si>
    <t>072024</t>
  </si>
  <si>
    <t>4,43/4,31/4,11</t>
  </si>
  <si>
    <t>5,09/5,01</t>
  </si>
  <si>
    <t>072034</t>
  </si>
  <si>
    <t>4,24/4,42/4,33</t>
  </si>
  <si>
    <t>5,26/5,19</t>
  </si>
  <si>
    <t>072044</t>
  </si>
  <si>
    <t>4,43/4,14/4,22</t>
  </si>
  <si>
    <t>5,09/5,39</t>
  </si>
  <si>
    <t>072054</t>
  </si>
  <si>
    <t>4,14/4,15/4,17</t>
  </si>
  <si>
    <t>5,29/5,00</t>
  </si>
  <si>
    <t>072064</t>
  </si>
  <si>
    <t>4,15/4,29/4,39</t>
  </si>
  <si>
    <t>5,09/5,27</t>
  </si>
  <si>
    <t>072074</t>
  </si>
  <si>
    <t>4,38/4,30/4,42</t>
  </si>
  <si>
    <t>5,31/5,15</t>
  </si>
  <si>
    <t>072084</t>
  </si>
  <si>
    <t>4,32/4,12/4,26</t>
  </si>
  <si>
    <t>5,16/5,04</t>
  </si>
  <si>
    <t>072094</t>
  </si>
  <si>
    <t>4,26/4,40/4,35</t>
  </si>
  <si>
    <t>5,08/5,40</t>
  </si>
  <si>
    <t>072104</t>
  </si>
  <si>
    <t>4,44/4,31/4,35</t>
  </si>
  <si>
    <t>5,25/5,34</t>
  </si>
  <si>
    <t>080814</t>
  </si>
  <si>
    <t>4,16/4,11/4,18</t>
  </si>
  <si>
    <t>5,34/5,36</t>
  </si>
  <si>
    <t>080824</t>
  </si>
  <si>
    <t>4,30/4,36/4,31</t>
  </si>
  <si>
    <t>5,32/5,27</t>
  </si>
  <si>
    <t>082084</t>
  </si>
  <si>
    <t>4,13/4,04/4,11</t>
  </si>
  <si>
    <t>5,32/5,12</t>
  </si>
  <si>
    <t>082094</t>
  </si>
  <si>
    <t>4,20/4,41/4,21</t>
  </si>
  <si>
    <t>5,16/5,26</t>
  </si>
  <si>
    <t>082104</t>
  </si>
  <si>
    <t>4,15/4,37/4,28</t>
  </si>
  <si>
    <t>5,25/5,21</t>
  </si>
  <si>
    <t>082114</t>
  </si>
  <si>
    <t>4,42/4,24/4,40</t>
  </si>
  <si>
    <t>5,38/5,41</t>
  </si>
  <si>
    <t>082124</t>
  </si>
  <si>
    <t>4,17/4,25/424</t>
  </si>
  <si>
    <t>5,10/5,24</t>
  </si>
  <si>
    <t>082134</t>
  </si>
  <si>
    <t>4,35/4,09/4,36</t>
  </si>
  <si>
    <t>5,34/5,01</t>
  </si>
  <si>
    <t>082144</t>
  </si>
  <si>
    <t>4,05/4,29/4,46</t>
  </si>
  <si>
    <t>5,09/5,41</t>
  </si>
  <si>
    <t>082154</t>
  </si>
  <si>
    <t>4,18/4,47/4,21</t>
  </si>
  <si>
    <t>5,02/5,01</t>
  </si>
  <si>
    <t>082164</t>
  </si>
  <si>
    <t>4,16/4,31/4,12</t>
  </si>
  <si>
    <t>5,14/5,26</t>
  </si>
  <si>
    <t>082174</t>
  </si>
  <si>
    <t>4,48/4,42/4,13</t>
  </si>
  <si>
    <t>5,09/5,50</t>
  </si>
  <si>
    <t>082184</t>
  </si>
  <si>
    <t>4,27/4,34/4,39</t>
  </si>
  <si>
    <t>5,26/5,20</t>
  </si>
  <si>
    <t>082194</t>
  </si>
  <si>
    <t>4,46/4,27/4,23</t>
  </si>
  <si>
    <t>5,19/5,29</t>
  </si>
  <si>
    <t>082204</t>
  </si>
  <si>
    <t>4,32/4,03/4,34</t>
  </si>
  <si>
    <t>5,29/5,07</t>
  </si>
  <si>
    <t>082214</t>
  </si>
  <si>
    <t>4,42/4,22/4,44</t>
  </si>
  <si>
    <t>5,46/5,22</t>
  </si>
  <si>
    <t>082224</t>
  </si>
  <si>
    <t>4,40/4,36/4,38</t>
  </si>
  <si>
    <t>16.08.2024</t>
  </si>
  <si>
    <t>091034</t>
  </si>
  <si>
    <t>4,26/4,28/4,07</t>
  </si>
  <si>
    <t>091044</t>
  </si>
  <si>
    <t>4,42/4,47/4,46</t>
  </si>
  <si>
    <t>5,24/5,27</t>
  </si>
  <si>
    <t>091054</t>
  </si>
  <si>
    <t>4,47/4,18/4,35</t>
  </si>
  <si>
    <t>5,35/5,09</t>
  </si>
  <si>
    <t>091064</t>
  </si>
  <si>
    <t>4,40/4,17/4,27</t>
  </si>
  <si>
    <t>091074</t>
  </si>
  <si>
    <t>4,44/4,19/4,19</t>
  </si>
  <si>
    <t>5,42/5,17</t>
  </si>
  <si>
    <t>091084</t>
  </si>
  <si>
    <t>4,2/4,5/4,18</t>
  </si>
  <si>
    <t>5,24/5,12</t>
  </si>
  <si>
    <t>091364</t>
  </si>
  <si>
    <t>4,47/4,01/4,44</t>
  </si>
  <si>
    <t>5,24/5,15</t>
  </si>
  <si>
    <t>091374</t>
  </si>
  <si>
    <t>4,45/4,41/4,13</t>
  </si>
  <si>
    <t>5,28/5,07</t>
  </si>
  <si>
    <t>091384</t>
  </si>
  <si>
    <t>4,14/4,14/4,11</t>
  </si>
  <si>
    <t>5,01/5,07</t>
  </si>
  <si>
    <t>FORPAIN KAPLET/20E NF</t>
  </si>
  <si>
    <t>FAIN</t>
  </si>
  <si>
    <t>F1383</t>
  </si>
  <si>
    <t>030924 1</t>
  </si>
  <si>
    <t>4,79/4,77</t>
  </si>
  <si>
    <t>4,49/4,20/4,14</t>
  </si>
  <si>
    <t>F3200iS2</t>
  </si>
  <si>
    <t>030924 2</t>
  </si>
  <si>
    <t>4,66/4,69</t>
  </si>
  <si>
    <t>4,14/4,47/4,32</t>
  </si>
  <si>
    <t>030924 3</t>
  </si>
  <si>
    <t>4,77/4,79</t>
  </si>
  <si>
    <t>4,45/4,22/4,24</t>
  </si>
  <si>
    <t>030924 4</t>
  </si>
  <si>
    <t>4,70/4,63</t>
  </si>
  <si>
    <t>4,35/4,27/4,40</t>
  </si>
  <si>
    <t>030924 5</t>
  </si>
  <si>
    <t>4,65/4,72</t>
  </si>
  <si>
    <t>4,41/4,39/4,20</t>
  </si>
  <si>
    <t>030924 6</t>
  </si>
  <si>
    <t>4,77/4,60</t>
  </si>
  <si>
    <t>4,15/4,47/4,38</t>
  </si>
  <si>
    <t>030924 7</t>
  </si>
  <si>
    <t>4,75/4,74</t>
  </si>
  <si>
    <t>4,32/4,15/4,35</t>
  </si>
  <si>
    <t>030924 8</t>
  </si>
  <si>
    <t>4,60/4,75</t>
  </si>
  <si>
    <t>4,32/4,45/4,5</t>
  </si>
  <si>
    <t>030924 9</t>
  </si>
  <si>
    <t>4,72/4,69</t>
  </si>
  <si>
    <t>4,04/4,25/4,27</t>
  </si>
  <si>
    <t>031004 1</t>
  </si>
  <si>
    <t>4,43/4,39/4,48</t>
  </si>
  <si>
    <t>031004 2</t>
  </si>
  <si>
    <t>4,77/4,70</t>
  </si>
  <si>
    <t>4,22/4,08/4,46</t>
  </si>
  <si>
    <t>031004 3</t>
  </si>
  <si>
    <t>4,71/4,78</t>
  </si>
  <si>
    <t>4,35/4,42/4,32</t>
  </si>
  <si>
    <t>031004 4</t>
  </si>
  <si>
    <t>4,64/4,75</t>
  </si>
  <si>
    <t>4,46/4,39/4,46</t>
  </si>
  <si>
    <t>031004 5</t>
  </si>
  <si>
    <t>4,72/4,64</t>
  </si>
  <si>
    <t>4,27/4,14/4,22</t>
  </si>
  <si>
    <t>031004 6</t>
  </si>
  <si>
    <t>4,80/4,78</t>
  </si>
  <si>
    <t>4,00/4,47/4,24</t>
  </si>
  <si>
    <t>031004 7</t>
  </si>
  <si>
    <t>4,61/4,60</t>
  </si>
  <si>
    <t>4,20/4,50/4,11</t>
  </si>
  <si>
    <t>031004 8</t>
  </si>
  <si>
    <t>4,47/4,37/4,12</t>
  </si>
  <si>
    <t>031004 9</t>
  </si>
  <si>
    <t>4,61/4,64</t>
  </si>
  <si>
    <t>4,47/4,44/4,32</t>
  </si>
  <si>
    <t>031424 1</t>
  </si>
  <si>
    <t>4,71/4,69</t>
  </si>
  <si>
    <t>4,12/4,10/4,17</t>
  </si>
  <si>
    <t>031424 2</t>
  </si>
  <si>
    <t>4,78/4,78</t>
  </si>
  <si>
    <t>4,34/4,34/4,28</t>
  </si>
  <si>
    <t>031424 3</t>
  </si>
  <si>
    <t>4,79/4,70</t>
  </si>
  <si>
    <t>4,47/4,29/4,27</t>
  </si>
  <si>
    <t>7/16/2024 &amp; 17/7/2024</t>
  </si>
  <si>
    <t>071054 1</t>
  </si>
  <si>
    <t>4,67/4,79</t>
  </si>
  <si>
    <t>4,13/4,44/4,35</t>
  </si>
  <si>
    <t>071054 2</t>
  </si>
  <si>
    <t>4,80/4,80</t>
  </si>
  <si>
    <t>4,20/4,12/4,12</t>
  </si>
  <si>
    <t>080384 1</t>
  </si>
  <si>
    <t>4,77/4,68</t>
  </si>
  <si>
    <t>4,42/4,34/4,04</t>
  </si>
  <si>
    <t>F3200S1</t>
  </si>
  <si>
    <t>080384 2</t>
  </si>
  <si>
    <t>4,74/4,78</t>
  </si>
  <si>
    <t>4,39/4,46/4,14</t>
  </si>
  <si>
    <t>080384 3</t>
  </si>
  <si>
    <t>4,77/4,75</t>
  </si>
  <si>
    <t>4,48/4,39/4,21</t>
  </si>
  <si>
    <t>080384 4</t>
  </si>
  <si>
    <t>4,74/4,79</t>
  </si>
  <si>
    <t>4,33/4,18/4,35</t>
  </si>
  <si>
    <t>NEO RHEUMACYL TABLET NP/24 X 20</t>
  </si>
  <si>
    <t>NRDB</t>
  </si>
  <si>
    <t>200-00-03</t>
  </si>
  <si>
    <t>031204</t>
  </si>
  <si>
    <t>1,62/1,67/1,72/2,17</t>
  </si>
  <si>
    <t>R292F</t>
  </si>
  <si>
    <t>UPS 312</t>
  </si>
  <si>
    <t>031214</t>
  </si>
  <si>
    <t>2,12/1,70/1,80/1,60</t>
  </si>
  <si>
    <t>031224</t>
  </si>
  <si>
    <t>1,85/2,07/1,74/1,85</t>
  </si>
  <si>
    <t>F3090</t>
  </si>
  <si>
    <t>031234</t>
  </si>
  <si>
    <t>1,67/1,80/1,87/2,07</t>
  </si>
  <si>
    <t>031244</t>
  </si>
  <si>
    <t>2,05/1,65/1,72/2,10</t>
  </si>
  <si>
    <t>031254</t>
  </si>
  <si>
    <t>2,02/1,82/1,62/1,62</t>
  </si>
  <si>
    <t>031264</t>
  </si>
  <si>
    <t>1,75/2,08/2,07/1,77</t>
  </si>
  <si>
    <t>031274</t>
  </si>
  <si>
    <t>2,05/1,85/2,17/2,02</t>
  </si>
  <si>
    <t>UPS 310</t>
  </si>
  <si>
    <t>031284</t>
  </si>
  <si>
    <t>2,19/1,90/2,07/1,92</t>
  </si>
  <si>
    <t>031294</t>
  </si>
  <si>
    <t>1,77/1,90/1,90/1,75</t>
  </si>
  <si>
    <t>031864</t>
  </si>
  <si>
    <t>031874</t>
  </si>
  <si>
    <t>031884</t>
  </si>
  <si>
    <t>032344</t>
  </si>
  <si>
    <t>032354</t>
  </si>
  <si>
    <t>032364</t>
  </si>
  <si>
    <t>032374</t>
  </si>
  <si>
    <t>032384</t>
  </si>
  <si>
    <t>032394</t>
  </si>
  <si>
    <t>032404</t>
  </si>
  <si>
    <t>040064</t>
  </si>
  <si>
    <t>CB LT 02</t>
  </si>
  <si>
    <t>040074</t>
  </si>
  <si>
    <t>040084</t>
  </si>
  <si>
    <t>040094</t>
  </si>
  <si>
    <t>040104</t>
  </si>
  <si>
    <t>040114</t>
  </si>
  <si>
    <t>040124</t>
  </si>
  <si>
    <t>040134</t>
  </si>
  <si>
    <t>040144</t>
  </si>
  <si>
    <t>040394</t>
  </si>
  <si>
    <t>040404</t>
  </si>
  <si>
    <t>040414</t>
  </si>
  <si>
    <t>040424</t>
  </si>
  <si>
    <t>040434</t>
  </si>
  <si>
    <t>040444</t>
  </si>
  <si>
    <t>040454</t>
  </si>
  <si>
    <t>040464</t>
  </si>
  <si>
    <t>040474</t>
  </si>
  <si>
    <t>040484</t>
  </si>
  <si>
    <t>040824</t>
  </si>
  <si>
    <t>040834</t>
  </si>
  <si>
    <t>040844</t>
  </si>
  <si>
    <t>544/32</t>
  </si>
  <si>
    <t>040854</t>
  </si>
  <si>
    <t>040864</t>
  </si>
  <si>
    <t>040984</t>
  </si>
  <si>
    <t>040994</t>
  </si>
  <si>
    <t>041004</t>
  </si>
  <si>
    <t>041014</t>
  </si>
  <si>
    <t>041024</t>
  </si>
  <si>
    <t>041034</t>
  </si>
  <si>
    <t>041044</t>
  </si>
  <si>
    <t>041054</t>
  </si>
  <si>
    <t>041214</t>
  </si>
  <si>
    <t>041224</t>
  </si>
  <si>
    <t>041594</t>
  </si>
  <si>
    <t>041604</t>
  </si>
  <si>
    <t>041614</t>
  </si>
  <si>
    <t>041624</t>
  </si>
  <si>
    <t>041634</t>
  </si>
  <si>
    <t>041644</t>
  </si>
  <si>
    <t>041654</t>
  </si>
  <si>
    <t>041664</t>
  </si>
  <si>
    <t>4/16/2024 &amp; 4/17/2024</t>
  </si>
  <si>
    <t>BELUM SELESAI, 3 TONG DI HOLD, DU TINGGI</t>
  </si>
  <si>
    <t>041674</t>
  </si>
  <si>
    <t>041684</t>
  </si>
  <si>
    <t>041694</t>
  </si>
  <si>
    <t>050014</t>
  </si>
  <si>
    <t>4/17/2024&amp;4/18/2024</t>
  </si>
  <si>
    <t>050024</t>
  </si>
  <si>
    <t>050034</t>
  </si>
  <si>
    <t>050044</t>
  </si>
  <si>
    <t>050054</t>
  </si>
  <si>
    <t>050064</t>
  </si>
  <si>
    <t>4/18/2024&amp; 4/19/2024</t>
  </si>
  <si>
    <t>050074</t>
  </si>
  <si>
    <t>050084</t>
  </si>
  <si>
    <t>050094</t>
  </si>
  <si>
    <t>050104</t>
  </si>
  <si>
    <t>050114</t>
  </si>
  <si>
    <t>051894</t>
  </si>
  <si>
    <t>2,75/3,62</t>
  </si>
  <si>
    <t>051904</t>
  </si>
  <si>
    <t>2,50/3,50</t>
  </si>
  <si>
    <t>051914</t>
  </si>
  <si>
    <t>2,50/3,54</t>
  </si>
  <si>
    <t>051924</t>
  </si>
  <si>
    <t>052574</t>
  </si>
  <si>
    <t>052584</t>
  </si>
  <si>
    <t>052594</t>
  </si>
  <si>
    <t>052604</t>
  </si>
  <si>
    <t>053294</t>
  </si>
  <si>
    <t>053304</t>
  </si>
  <si>
    <t>053314</t>
  </si>
  <si>
    <t>053324</t>
  </si>
  <si>
    <t>053334</t>
  </si>
  <si>
    <t>053344</t>
  </si>
  <si>
    <t>053354</t>
  </si>
  <si>
    <t>053364</t>
  </si>
  <si>
    <t>5/29/2024 &amp; 5/30/2024</t>
  </si>
  <si>
    <t>053374</t>
  </si>
  <si>
    <t>053384</t>
  </si>
  <si>
    <t>BELUM SELSAI, 3 BAK BLISTER DI HOLD KARENA TERDAPAT TEKS ALF YANG LUNTUR</t>
  </si>
  <si>
    <t>053394</t>
  </si>
  <si>
    <t>053404</t>
  </si>
  <si>
    <t>053414</t>
  </si>
  <si>
    <t>053424</t>
  </si>
  <si>
    <t>053434</t>
  </si>
  <si>
    <t>1,92/2,10/1,85/1,82</t>
  </si>
  <si>
    <t>053444</t>
  </si>
  <si>
    <t>2,05/1,92/2,02/1,64</t>
  </si>
  <si>
    <t>053454</t>
  </si>
  <si>
    <t>2,02/1,95/2,02/1,67</t>
  </si>
  <si>
    <t>053464</t>
  </si>
  <si>
    <t>1,68/1,85/1,70/1,65</t>
  </si>
  <si>
    <t>053474</t>
  </si>
  <si>
    <t>1,80/1,82/1,90/1,87</t>
  </si>
  <si>
    <t>060074</t>
  </si>
  <si>
    <t>060084</t>
  </si>
  <si>
    <t>060094</t>
  </si>
  <si>
    <t>060104</t>
  </si>
  <si>
    <t>060114</t>
  </si>
  <si>
    <t>CB2-1</t>
  </si>
  <si>
    <t>060444</t>
  </si>
  <si>
    <t>060454</t>
  </si>
  <si>
    <t>060464</t>
  </si>
  <si>
    <t>6/6/2024 &amp; 5/7/2024</t>
  </si>
  <si>
    <t>060474</t>
  </si>
  <si>
    <t>061884</t>
  </si>
  <si>
    <t>1,72/1,64/2,16/1,92</t>
  </si>
  <si>
    <t>062174</t>
  </si>
  <si>
    <t>1,95/1,63/1,74/1,67</t>
  </si>
  <si>
    <t>062184</t>
  </si>
  <si>
    <t>2,07/1,96/1,73/1,70</t>
  </si>
  <si>
    <t>062194</t>
  </si>
  <si>
    <t>062204</t>
  </si>
  <si>
    <t>6/10/2024 &amp; 6/11/2024</t>
  </si>
  <si>
    <t>062214</t>
  </si>
  <si>
    <t>062224</t>
  </si>
  <si>
    <t>062234</t>
  </si>
  <si>
    <t>062244</t>
  </si>
  <si>
    <t>2,15/2,09/1,77/2,02</t>
  </si>
  <si>
    <t>062254</t>
  </si>
  <si>
    <t>1,65/1,77/1,69/1,77</t>
  </si>
  <si>
    <t>062264</t>
  </si>
  <si>
    <t>1,62/1,60/1,90/1,87</t>
  </si>
  <si>
    <t>F3200iS3</t>
  </si>
  <si>
    <t>062274</t>
  </si>
  <si>
    <t>1,92/1,70/1,92/1,75</t>
  </si>
  <si>
    <t>062284</t>
  </si>
  <si>
    <t>1,68/1,79/1,95/2,00</t>
  </si>
  <si>
    <t>062294</t>
  </si>
  <si>
    <t>062364</t>
  </si>
  <si>
    <t>062374</t>
  </si>
  <si>
    <t>062384</t>
  </si>
  <si>
    <t>062394</t>
  </si>
  <si>
    <t>062404</t>
  </si>
  <si>
    <t>062414</t>
  </si>
  <si>
    <t>062424</t>
  </si>
  <si>
    <t>062434</t>
  </si>
  <si>
    <t>062444</t>
  </si>
  <si>
    <t>062454</t>
  </si>
  <si>
    <t>062464</t>
  </si>
  <si>
    <t>070354</t>
  </si>
  <si>
    <t>070364</t>
  </si>
  <si>
    <t>070374</t>
  </si>
  <si>
    <t>070384</t>
  </si>
  <si>
    <t>070394</t>
  </si>
  <si>
    <t>1,65/2,14/1,78/2,07</t>
  </si>
  <si>
    <t>070404</t>
  </si>
  <si>
    <t>1,85/1,77/1,97/1,77</t>
  </si>
  <si>
    <t>070414</t>
  </si>
  <si>
    <t>1,75/1,62/1,90/1,64</t>
  </si>
  <si>
    <t>070424</t>
  </si>
  <si>
    <t>1,85/1,82/1,65/1,77</t>
  </si>
  <si>
    <t>070434</t>
  </si>
  <si>
    <t>1,85/2,02/1,60/1,67</t>
  </si>
  <si>
    <t>070444</t>
  </si>
  <si>
    <t>1,75/1,60/1,67/1,94</t>
  </si>
  <si>
    <t>070454</t>
  </si>
  <si>
    <t>1,72/1,67/1,85/1,62</t>
  </si>
  <si>
    <t>070464</t>
  </si>
  <si>
    <t>1,75/1,65/1,70/1,62</t>
  </si>
  <si>
    <t>070474</t>
  </si>
  <si>
    <t>1,85/1,72/1,75/1,74</t>
  </si>
  <si>
    <t>070484</t>
  </si>
  <si>
    <t>1,81/1,66/1,70/1,79</t>
  </si>
  <si>
    <t>070494</t>
  </si>
  <si>
    <t>070504</t>
  </si>
  <si>
    <t>070514</t>
  </si>
  <si>
    <t>070524</t>
  </si>
  <si>
    <t>070534</t>
  </si>
  <si>
    <t>070544</t>
  </si>
  <si>
    <t>1,90/1,72/1,92/1,81</t>
  </si>
  <si>
    <t>071064</t>
  </si>
  <si>
    <t>1,68/1,70/1,80/1,72</t>
  </si>
  <si>
    <t>071074</t>
  </si>
  <si>
    <t>1,77/1,82/1,76/1,89</t>
  </si>
  <si>
    <t>SUDREX COLD &amp; COUGH/KAP 10'S SLEEVE</t>
  </si>
  <si>
    <t>SUCC</t>
  </si>
  <si>
    <t>F12096</t>
  </si>
  <si>
    <t>16.02.2023</t>
  </si>
  <si>
    <t>030853 1</t>
  </si>
  <si>
    <t>1</t>
  </si>
  <si>
    <t>3,2/3,19/3,35/3,47</t>
  </si>
  <si>
    <t>2,29/2,02</t>
  </si>
  <si>
    <t>CK 2</t>
  </si>
  <si>
    <t>562,2</t>
  </si>
  <si>
    <t>F3200S2</t>
  </si>
  <si>
    <t>031144 1</t>
  </si>
  <si>
    <t>3,12/3,29/3,17/3,50</t>
  </si>
  <si>
    <t>1,94/1,82</t>
  </si>
  <si>
    <t>559,12</t>
  </si>
  <si>
    <t>BELUM SELESAI,6 TONG KAPLET DIHOLD , KAPLET BERDEBU</t>
  </si>
  <si>
    <t>080374 1</t>
  </si>
  <si>
    <t>3,22/3,29/3,31/3,29</t>
  </si>
  <si>
    <t>1,84/1,89</t>
  </si>
  <si>
    <t>563,06</t>
  </si>
  <si>
    <t>SUDREX EXTRA/TAB 2X10'S FBX</t>
  </si>
  <si>
    <t>STRA</t>
  </si>
  <si>
    <t>F13936</t>
  </si>
  <si>
    <t>030944 1</t>
  </si>
  <si>
    <t>4,55/4,65/4,46</t>
  </si>
  <si>
    <t>selesai</t>
  </si>
  <si>
    <t>030944 2</t>
  </si>
  <si>
    <t>4,79/4,48/4,67</t>
  </si>
  <si>
    <t>030944 3</t>
  </si>
  <si>
    <t>4,59/4,57/4,77</t>
  </si>
  <si>
    <t>041544 1</t>
  </si>
  <si>
    <t>4,56/4,64/4,49</t>
  </si>
  <si>
    <t>041544 2</t>
  </si>
  <si>
    <t>4,57/4,62/4,76</t>
  </si>
  <si>
    <t>041544 3</t>
  </si>
  <si>
    <t>4,49/4,55/4,53</t>
  </si>
  <si>
    <t>041544 4</t>
  </si>
  <si>
    <t>4,55/4,49/4,55</t>
  </si>
  <si>
    <t>041544 5</t>
  </si>
  <si>
    <t>4,74/4,55/4,50</t>
  </si>
  <si>
    <t>041544 6</t>
  </si>
  <si>
    <t>4,54/4,57/4,42</t>
  </si>
  <si>
    <t>041544 7</t>
  </si>
  <si>
    <t>4,44/4,51/4,47</t>
  </si>
  <si>
    <t>052624 1</t>
  </si>
  <si>
    <t>4,40/4,45/4,48</t>
  </si>
  <si>
    <t>052624 2</t>
  </si>
  <si>
    <t>4,48/4,71/4,65</t>
  </si>
  <si>
    <t>052624 3</t>
  </si>
  <si>
    <t>4,65/4,60/4,50</t>
  </si>
  <si>
    <t>052624 4</t>
  </si>
  <si>
    <t>4,76/4,64/4,69</t>
  </si>
  <si>
    <t>071034 1</t>
  </si>
  <si>
    <t>4,42/4,62/4,52</t>
  </si>
  <si>
    <t>071034 2</t>
  </si>
  <si>
    <t>4,594,42/4,40</t>
  </si>
  <si>
    <t>071034 3</t>
  </si>
  <si>
    <t>4,45/4,74/4,65</t>
  </si>
  <si>
    <t>071034 4</t>
  </si>
  <si>
    <t>4,56/4,70/4,60</t>
  </si>
  <si>
    <t>071034 5</t>
  </si>
  <si>
    <t>4,50/4,44/4,72</t>
  </si>
  <si>
    <t>071034 6</t>
  </si>
  <si>
    <t>4,57/4,42/4,80</t>
  </si>
  <si>
    <t>071034 7</t>
  </si>
  <si>
    <t>4,56/4,54/4,50</t>
  </si>
  <si>
    <t>071034 8</t>
  </si>
  <si>
    <t>4,40/4,62/4,47</t>
  </si>
  <si>
    <t>071034 9</t>
  </si>
  <si>
    <t>4,53/4,54/4,47</t>
  </si>
  <si>
    <t>071044 1</t>
  </si>
  <si>
    <t>4,54/4,62/4,75</t>
  </si>
  <si>
    <t>071044 2</t>
  </si>
  <si>
    <t>4,60/4,43/4,45</t>
  </si>
  <si>
    <t>071044 3</t>
  </si>
  <si>
    <t>4,42/4,48/4,62</t>
  </si>
  <si>
    <t>071044 4</t>
  </si>
  <si>
    <t>4,56/4,49/4,67</t>
  </si>
  <si>
    <t>NEO RHEUMACYL 350/TAB 10’S SLEEVE</t>
  </si>
  <si>
    <t>NRSB</t>
  </si>
  <si>
    <t>200-21-00</t>
  </si>
  <si>
    <t>09.08.2024</t>
  </si>
  <si>
    <t>CB1-LT1</t>
  </si>
  <si>
    <t xml:space="preserve"> </t>
  </si>
  <si>
    <t>LAPIS 1</t>
  </si>
  <si>
    <t>BULAN PRODUKSI CB 1</t>
  </si>
  <si>
    <t>TANGGAL PRODUKSI</t>
  </si>
  <si>
    <t>SHIFT</t>
  </si>
  <si>
    <t>LINE</t>
  </si>
  <si>
    <t>CAMPAIGN KE -</t>
  </si>
  <si>
    <t>PARACETAMOL</t>
  </si>
  <si>
    <t>DEXTROMETORPHAN</t>
  </si>
  <si>
    <t>JML DECOCT           ( Kg )</t>
  </si>
  <si>
    <t>EX REWORK  ( BATCH )</t>
  </si>
  <si>
    <t>SUHU DECOCT LOT 1/1</t>
  </si>
  <si>
    <t>SUHU DECOCT LOT 1/2</t>
  </si>
  <si>
    <t>SUHU DECOCT LOT 2/1</t>
  </si>
  <si>
    <t>SUHU DECOCT LOT 2/2</t>
  </si>
  <si>
    <t>SUHU DECOCT LOT 3/1</t>
  </si>
  <si>
    <t>SUHU DECOCT LOT 3/2</t>
  </si>
  <si>
    <t>SUHU DECOCT LOT 4/1</t>
  </si>
  <si>
    <t>SUHU DECOCT LOT 4/2</t>
  </si>
  <si>
    <t>SUHU DECOCT SEBELUM MASUK DIOSNA LOT 1/1</t>
  </si>
  <si>
    <t>SUHU DECOCT SEBELUM MASUK DIOSNA LOT 1/2</t>
  </si>
  <si>
    <t>SUHU DECOCT SEBELUM MASUK DIOSNA LOT 2/1</t>
  </si>
  <si>
    <t>SUHU DECOCT SEBELUM MASUK DIOSNA LOT 2/2</t>
  </si>
  <si>
    <t>SUHU DECOCT SEBELUM MASUK DIOSNA LOT 3/1</t>
  </si>
  <si>
    <t>SUHU DECOCT SEBELUM MASUK DIOSNA LOT 3/2</t>
  </si>
  <si>
    <t>SUHU DECOCT SEBELUM MASUK DIOSNA LOT 4/1</t>
  </si>
  <si>
    <t>SUHU DECOCT SEBELUM MASUK DIOSNA LOT 4/2</t>
  </si>
  <si>
    <t>JML GRANUL BR (-)  (KG)</t>
  </si>
  <si>
    <t>TEORITIS GRANUL</t>
  </si>
  <si>
    <t>SYARAT TEORITIS YILD</t>
  </si>
  <si>
    <t xml:space="preserve">% Yield </t>
  </si>
  <si>
    <t>KA 1</t>
  </si>
  <si>
    <t>KA 2</t>
  </si>
  <si>
    <t>KA 3</t>
  </si>
  <si>
    <t>KA 4</t>
  </si>
  <si>
    <t>RATA    KA</t>
  </si>
  <si>
    <t>MIXER 1</t>
  </si>
  <si>
    <t>MIXER 2</t>
  </si>
  <si>
    <t>MIXER 3</t>
  </si>
  <si>
    <t>MIXER 4</t>
  </si>
  <si>
    <t>CHOPPER 1</t>
  </si>
  <si>
    <t>CHOPPER 2</t>
  </si>
  <si>
    <t>CHOPPER 3</t>
  </si>
  <si>
    <t>CHOPPER 4</t>
  </si>
  <si>
    <t>Inlet lot 1 Phase 1</t>
  </si>
  <si>
    <t>Inlet lot 1 Phase 2</t>
  </si>
  <si>
    <t>Inlet lot 2 Phase 1</t>
  </si>
  <si>
    <t>Inlet lot 2 Phase 2</t>
  </si>
  <si>
    <t>Inlet lot 3 Phase 1</t>
  </si>
  <si>
    <t>Inlet lot 3 Phase 2</t>
  </si>
  <si>
    <t>Inlet lot 4 Phase 1</t>
  </si>
  <si>
    <t>Inlet lot 4 Phase 2</t>
  </si>
  <si>
    <t>Outlet lot 1 Phase 1</t>
  </si>
  <si>
    <t>Outlet lot 1 Phase 2</t>
  </si>
  <si>
    <t>Outlet lot 2 Phase 1</t>
  </si>
  <si>
    <t>Outlet lot 2 Phase 2</t>
  </si>
  <si>
    <t>outlet lot 3 Phase 1</t>
  </si>
  <si>
    <t>outlet lot 3 Phase 2</t>
  </si>
  <si>
    <t>Outlet lot 4 Phase 1</t>
  </si>
  <si>
    <t>Outlet lot 4 Phase 2</t>
  </si>
  <si>
    <t>MENIT</t>
  </si>
  <si>
    <t>DETIK</t>
  </si>
  <si>
    <t>Waktu lot 1 Phase 1</t>
  </si>
  <si>
    <t>Waktu lot 1 Phase 2</t>
  </si>
  <si>
    <t>Waktu lot 2 Phase 1</t>
  </si>
  <si>
    <t>Waktu lot 2 Phase 2</t>
  </si>
  <si>
    <t>Waktu lot 3 Phase 1</t>
  </si>
  <si>
    <t>Waktu lot 3 Phase 2</t>
  </si>
  <si>
    <t>waktu lot 4 Phase 1</t>
  </si>
  <si>
    <t>waktu lot 4 Phase 2</t>
  </si>
  <si>
    <t>NO AYAKAN ALEX</t>
  </si>
  <si>
    <t>NO AYAKAN OG YC/ FREWITT</t>
  </si>
  <si>
    <t xml:space="preserve">BULAN PRODUKSI CK </t>
  </si>
  <si>
    <t>TANGGAL PRODUKSI CAMPUR KERING</t>
  </si>
  <si>
    <t>JML GRANUL (+) NYATA ( Kg )</t>
  </si>
  <si>
    <t>% TEORITIS GRANUL</t>
  </si>
  <si>
    <t>% YILD</t>
  </si>
  <si>
    <t>KA setelah CK</t>
  </si>
  <si>
    <t>LAPIS 2</t>
  </si>
  <si>
    <t>BULAN PRODUKSI CB 2</t>
  </si>
  <si>
    <t>RATA-RATA KA</t>
  </si>
  <si>
    <t>Inlet lot 4  Phase 2</t>
  </si>
  <si>
    <t>Outlet lot 2  phase 2</t>
  </si>
  <si>
    <t>BULAN PROSES CK</t>
  </si>
  <si>
    <t>JML GRANUL BR (+) - (KG)</t>
  </si>
  <si>
    <t>TEORITIS GRANULASI KEING</t>
  </si>
  <si>
    <t>KA SETELAH CK</t>
  </si>
  <si>
    <t>Orange</t>
  </si>
  <si>
    <t>DESEMBER</t>
  </si>
  <si>
    <t>KANGLE @ 50Kg</t>
  </si>
  <si>
    <t>JANUARI</t>
  </si>
  <si>
    <t>LIONGYUNGANG @50kg</t>
  </si>
  <si>
    <t>1 &amp; 2</t>
  </si>
  <si>
    <t>JIHENG @25KG</t>
  </si>
  <si>
    <t>MARET</t>
  </si>
  <si>
    <t>ANQIULUAN @ 25 Kg</t>
  </si>
  <si>
    <t>1 &amp; 1</t>
  </si>
  <si>
    <t>2 (2-4)</t>
  </si>
  <si>
    <t>2&amp;3</t>
  </si>
  <si>
    <t>26 &amp; 27/Jan/2026</t>
  </si>
  <si>
    <t>3&amp;1</t>
  </si>
  <si>
    <t>FEBRUARI</t>
  </si>
  <si>
    <t>3 (5-6)</t>
  </si>
  <si>
    <t>4 (7-8)</t>
  </si>
  <si>
    <t>CB 1 &amp; CB 2</t>
  </si>
  <si>
    <t>1 (1-2)</t>
  </si>
  <si>
    <t>99,0-103,1 %</t>
  </si>
  <si>
    <t>99,1-102,9%</t>
  </si>
  <si>
    <t>KUNING</t>
  </si>
  <si>
    <t>02&amp;03/Des/2025</t>
  </si>
  <si>
    <t>2 &amp; 1</t>
  </si>
  <si>
    <t>3 (6-7) &amp; 1(1-2)</t>
  </si>
  <si>
    <t>99,1-102,3%</t>
  </si>
  <si>
    <t>-</t>
  </si>
  <si>
    <t>01 &amp; 02/ Des /2025</t>
  </si>
  <si>
    <t>2 (4-6) &amp; 1 (1)</t>
  </si>
  <si>
    <t>17&amp;18/Sep/2024</t>
  </si>
  <si>
    <t>1  (1-2) &amp; (3-4)</t>
  </si>
  <si>
    <t>2 (3-4)</t>
  </si>
  <si>
    <t>2 (5-8)</t>
  </si>
  <si>
    <t>DIVI'S LABORATORIES INDIA</t>
  </si>
  <si>
    <t>1 (1-4)</t>
  </si>
  <si>
    <t>HEBEI JIHENG @ 25 KG</t>
  </si>
  <si>
    <t>HY-GRO CHEMICALS, INDIA</t>
  </si>
  <si>
    <t>2  (5-8)</t>
  </si>
  <si>
    <t>ONEIRO, INDIA</t>
  </si>
  <si>
    <t>3 (9-12)</t>
  </si>
  <si>
    <t>5 (9-10)</t>
  </si>
  <si>
    <t>6 ( 11-12)</t>
  </si>
  <si>
    <t>03 &amp;04/Feb/2026</t>
  </si>
  <si>
    <t>1 (1) &amp;2 (2-4)</t>
  </si>
  <si>
    <t>HY-GRO CHEMICALS, INDIA &amp; ONEIRO,INDIA</t>
  </si>
  <si>
    <t>1(1)</t>
  </si>
  <si>
    <t>CB1</t>
  </si>
  <si>
    <t>NOVEMBER</t>
  </si>
  <si>
    <t>CK 1</t>
  </si>
  <si>
    <t>MEI</t>
  </si>
  <si>
    <t>JUNI</t>
  </si>
  <si>
    <t>SEPTEMBER</t>
  </si>
  <si>
    <t>AGUSTUS</t>
  </si>
  <si>
    <t>300020943</t>
  </si>
  <si>
    <t>300021517</t>
  </si>
  <si>
    <t>JULI</t>
  </si>
  <si>
    <t>BDXT</t>
  </si>
  <si>
    <t>POSISI PRODUKSI HARIAN LANTAI 2</t>
  </si>
  <si>
    <t>HARI/TANGGAL: SENIN, 02  SEPTEMBER 2024</t>
  </si>
  <si>
    <t>KA</t>
  </si>
  <si>
    <t>Mesin/Line</t>
  </si>
  <si>
    <t>Yield (kg)</t>
  </si>
  <si>
    <t>Tgl</t>
  </si>
  <si>
    <t>Mesin / Line</t>
  </si>
  <si>
    <t>ATAS</t>
  </si>
  <si>
    <t>TENGAH</t>
  </si>
  <si>
    <t>BAWAH</t>
  </si>
  <si>
    <t>SEBELUM</t>
  </si>
  <si>
    <t>SETELAH</t>
  </si>
  <si>
    <t xml:space="preserve">LAPIS 1 </t>
  </si>
  <si>
    <t xml:space="preserve">Bulan </t>
  </si>
  <si>
    <t>Bulan 2</t>
  </si>
  <si>
    <t>Bulan3</t>
  </si>
  <si>
    <t>Bulan4</t>
  </si>
  <si>
    <t>LOT 1</t>
  </si>
  <si>
    <t>LOT 2</t>
  </si>
  <si>
    <t>TONG 1</t>
  </si>
  <si>
    <t>TONG 2</t>
  </si>
  <si>
    <t>TONG 3</t>
  </si>
  <si>
    <t>TONG 4</t>
  </si>
  <si>
    <t>TONG 5</t>
  </si>
  <si>
    <t>AFTER MIX</t>
  </si>
  <si>
    <t>BTRA/2021</t>
  </si>
  <si>
    <t>BODREX EXTRA/KAP 4'S BLS</t>
  </si>
  <si>
    <t>200093737</t>
  </si>
  <si>
    <t>070221</t>
  </si>
  <si>
    <t>CK2</t>
  </si>
  <si>
    <t>200093738</t>
  </si>
  <si>
    <t>070231</t>
  </si>
  <si>
    <t>200093739</t>
  </si>
  <si>
    <t>070241</t>
  </si>
  <si>
    <t>200093980</t>
  </si>
  <si>
    <t>070251</t>
  </si>
  <si>
    <t>200093981</t>
  </si>
  <si>
    <t>070261</t>
  </si>
  <si>
    <t>200093982</t>
  </si>
  <si>
    <t>070271</t>
  </si>
  <si>
    <t>200093983</t>
  </si>
  <si>
    <t>070281</t>
  </si>
  <si>
    <t>200093984</t>
  </si>
  <si>
    <t>070291</t>
  </si>
  <si>
    <t>200094126</t>
  </si>
  <si>
    <t>071291</t>
  </si>
  <si>
    <t>200094127</t>
  </si>
  <si>
    <t>071301</t>
  </si>
  <si>
    <t>200094128</t>
  </si>
  <si>
    <t>071311</t>
  </si>
  <si>
    <t>200094129</t>
  </si>
  <si>
    <t>071321</t>
  </si>
  <si>
    <t>200094130</t>
  </si>
  <si>
    <t>071331</t>
  </si>
  <si>
    <t>200094131</t>
  </si>
  <si>
    <t>071341</t>
  </si>
  <si>
    <t>200094178</t>
  </si>
  <si>
    <t>071501</t>
  </si>
  <si>
    <t>200094179</t>
  </si>
  <si>
    <t>071511</t>
  </si>
  <si>
    <t>200094200</t>
  </si>
  <si>
    <t>071521</t>
  </si>
  <si>
    <t>200094176</t>
  </si>
  <si>
    <t>071481</t>
  </si>
  <si>
    <t>200094177</t>
  </si>
  <si>
    <t>071491</t>
  </si>
  <si>
    <t>200094201</t>
  </si>
  <si>
    <t>071531</t>
  </si>
  <si>
    <t>200094286</t>
  </si>
  <si>
    <t>072291</t>
  </si>
  <si>
    <t>200094287</t>
  </si>
  <si>
    <t>072301</t>
  </si>
  <si>
    <t>200094288</t>
  </si>
  <si>
    <t>072311</t>
  </si>
  <si>
    <t>031813</t>
  </si>
  <si>
    <t>200094289</t>
  </si>
  <si>
    <t>072321</t>
  </si>
  <si>
    <t>200094290</t>
  </si>
  <si>
    <t>072331</t>
  </si>
  <si>
    <t>200094291</t>
  </si>
  <si>
    <t>072341</t>
  </si>
  <si>
    <t>080061</t>
  </si>
  <si>
    <t>080071</t>
  </si>
  <si>
    <t>080081</t>
  </si>
  <si>
    <t>080091</t>
  </si>
  <si>
    <t>080101</t>
  </si>
  <si>
    <t>081151</t>
  </si>
  <si>
    <t>081161</t>
  </si>
  <si>
    <t>081171</t>
  </si>
  <si>
    <t>081181</t>
  </si>
  <si>
    <t>081881</t>
  </si>
  <si>
    <t>081891</t>
  </si>
  <si>
    <t>081901</t>
  </si>
  <si>
    <t>081911</t>
  </si>
  <si>
    <t>081921</t>
  </si>
  <si>
    <t>081931</t>
  </si>
  <si>
    <t>090251</t>
  </si>
  <si>
    <t>090261</t>
  </si>
  <si>
    <t>090271</t>
  </si>
  <si>
    <t>090281</t>
  </si>
  <si>
    <t>090291</t>
  </si>
  <si>
    <t>090301</t>
  </si>
  <si>
    <t>090311</t>
  </si>
  <si>
    <t>090321</t>
  </si>
  <si>
    <t>090331</t>
  </si>
  <si>
    <t>090341</t>
  </si>
  <si>
    <t>090921</t>
  </si>
  <si>
    <t>090931</t>
  </si>
  <si>
    <t>090941</t>
  </si>
  <si>
    <t>091661</t>
  </si>
  <si>
    <t>091671</t>
  </si>
  <si>
    <t>091681</t>
  </si>
  <si>
    <t>091691</t>
  </si>
  <si>
    <t>200094938</t>
  </si>
  <si>
    <t>091981</t>
  </si>
  <si>
    <t>200094939</t>
  </si>
  <si>
    <t>091991</t>
  </si>
  <si>
    <t>200095020</t>
  </si>
  <si>
    <t>092001</t>
  </si>
  <si>
    <t>200095021</t>
  </si>
  <si>
    <t>092011</t>
  </si>
  <si>
    <t>200095022</t>
  </si>
  <si>
    <t>092021</t>
  </si>
  <si>
    <t>200095023</t>
  </si>
  <si>
    <t>092031</t>
  </si>
  <si>
    <t>200095024</t>
  </si>
  <si>
    <t>092041</t>
  </si>
  <si>
    <t>200095025</t>
  </si>
  <si>
    <t>092051</t>
  </si>
  <si>
    <t>200095026</t>
  </si>
  <si>
    <t>092061</t>
  </si>
  <si>
    <t>200095027</t>
  </si>
  <si>
    <t>092071</t>
  </si>
  <si>
    <t>OKTOBER</t>
  </si>
  <si>
    <t>200095131</t>
  </si>
  <si>
    <t>100301</t>
  </si>
  <si>
    <t>200095132</t>
  </si>
  <si>
    <t>100311</t>
  </si>
  <si>
    <t>200095133</t>
  </si>
  <si>
    <t>100321</t>
  </si>
  <si>
    <t>200095134</t>
  </si>
  <si>
    <t>100331</t>
  </si>
  <si>
    <t>200095304</t>
  </si>
  <si>
    <t>100921</t>
  </si>
  <si>
    <t>200095305</t>
  </si>
  <si>
    <t>100931</t>
  </si>
  <si>
    <t>200095306</t>
  </si>
  <si>
    <t>100941</t>
  </si>
  <si>
    <t>200095307</t>
  </si>
  <si>
    <t>100951</t>
  </si>
  <si>
    <t>200095308</t>
  </si>
  <si>
    <t>100961</t>
  </si>
  <si>
    <t>200095309</t>
  </si>
  <si>
    <t>100971</t>
  </si>
  <si>
    <t>200095310</t>
  </si>
  <si>
    <t>100981</t>
  </si>
  <si>
    <t>200095311</t>
  </si>
  <si>
    <t>100991</t>
  </si>
  <si>
    <t>200095312</t>
  </si>
  <si>
    <t>101001</t>
  </si>
  <si>
    <t>200095323</t>
  </si>
  <si>
    <t>101661</t>
  </si>
  <si>
    <t>200095324</t>
  </si>
  <si>
    <t>101671</t>
  </si>
  <si>
    <t>200095325</t>
  </si>
  <si>
    <t>101681</t>
  </si>
  <si>
    <t>200095374</t>
  </si>
  <si>
    <t>101721</t>
  </si>
  <si>
    <t>200095375</t>
  </si>
  <si>
    <t>101731</t>
  </si>
  <si>
    <t>200095376</t>
  </si>
  <si>
    <t>101741</t>
  </si>
  <si>
    <t>200095456</t>
  </si>
  <si>
    <t>102141</t>
  </si>
  <si>
    <t>200095457</t>
  </si>
  <si>
    <t>102151</t>
  </si>
  <si>
    <t>200095458</t>
  </si>
  <si>
    <t>102161</t>
  </si>
  <si>
    <t>200095459</t>
  </si>
  <si>
    <t>102171</t>
  </si>
  <si>
    <t>200095460</t>
  </si>
  <si>
    <t>102181</t>
  </si>
  <si>
    <t>200095461</t>
  </si>
  <si>
    <t>102191</t>
  </si>
  <si>
    <t>200095462</t>
  </si>
  <si>
    <t>102201</t>
  </si>
  <si>
    <t>200095463</t>
  </si>
  <si>
    <t>102211</t>
  </si>
  <si>
    <t>200095610</t>
  </si>
  <si>
    <t>110291</t>
  </si>
  <si>
    <t>200095611</t>
  </si>
  <si>
    <t>110301</t>
  </si>
  <si>
    <t>200095612</t>
  </si>
  <si>
    <t>110311</t>
  </si>
  <si>
    <t>200095613</t>
  </si>
  <si>
    <t>110321</t>
  </si>
  <si>
    <t>200095614</t>
  </si>
  <si>
    <t>110331</t>
  </si>
  <si>
    <t>200095615</t>
  </si>
  <si>
    <t>110341</t>
  </si>
  <si>
    <t>200095616</t>
  </si>
  <si>
    <t>110351</t>
  </si>
  <si>
    <t>200095617</t>
  </si>
  <si>
    <t>110361</t>
  </si>
  <si>
    <t>200095618</t>
  </si>
  <si>
    <t>110371</t>
  </si>
  <si>
    <t>200095619</t>
  </si>
  <si>
    <t>110381</t>
  </si>
  <si>
    <t>200095623</t>
  </si>
  <si>
    <t>110461</t>
  </si>
  <si>
    <t>200095642</t>
  </si>
  <si>
    <t>110541</t>
  </si>
  <si>
    <t>200095643</t>
  </si>
  <si>
    <t>110551</t>
  </si>
  <si>
    <t>200095644</t>
  </si>
  <si>
    <t>110561</t>
  </si>
  <si>
    <t>200095645</t>
  </si>
  <si>
    <t>110571</t>
  </si>
  <si>
    <t>200095646</t>
  </si>
  <si>
    <t>110581</t>
  </si>
  <si>
    <t>200095647</t>
  </si>
  <si>
    <t>110591</t>
  </si>
  <si>
    <t>200095648</t>
  </si>
  <si>
    <t>110601</t>
  </si>
  <si>
    <t>200095649</t>
  </si>
  <si>
    <t>110611</t>
  </si>
  <si>
    <t>200095696</t>
  </si>
  <si>
    <t>111451</t>
  </si>
  <si>
    <t>200095697</t>
  </si>
  <si>
    <t>111461</t>
  </si>
  <si>
    <t>200095698</t>
  </si>
  <si>
    <t>111471</t>
  </si>
  <si>
    <t>200095699</t>
  </si>
  <si>
    <t>111481</t>
  </si>
  <si>
    <t>200095760</t>
  </si>
  <si>
    <t>111491</t>
  </si>
  <si>
    <t>200095783</t>
  </si>
  <si>
    <t>111761</t>
  </si>
  <si>
    <t>200095784</t>
  </si>
  <si>
    <t>111771</t>
  </si>
  <si>
    <t>200095870</t>
  </si>
  <si>
    <t>112521</t>
  </si>
  <si>
    <t>200095871</t>
  </si>
  <si>
    <t>112531</t>
  </si>
  <si>
    <t>200095872</t>
  </si>
  <si>
    <t>112541</t>
  </si>
  <si>
    <t>200095873</t>
  </si>
  <si>
    <t>112551</t>
  </si>
  <si>
    <t>200095874</t>
  </si>
  <si>
    <t>112561</t>
  </si>
  <si>
    <t>200095875</t>
  </si>
  <si>
    <t>112571</t>
  </si>
  <si>
    <t>200095876</t>
  </si>
  <si>
    <t>112581</t>
  </si>
  <si>
    <t>200095877</t>
  </si>
  <si>
    <t>112591</t>
  </si>
  <si>
    <t>200095878</t>
  </si>
  <si>
    <t>112601</t>
  </si>
  <si>
    <t>200095879</t>
  </si>
  <si>
    <t>112611</t>
  </si>
  <si>
    <t>200096035</t>
  </si>
  <si>
    <t>120371</t>
  </si>
  <si>
    <t>200096036</t>
  </si>
  <si>
    <t>120381</t>
  </si>
  <si>
    <t>200096037</t>
  </si>
  <si>
    <t>120391</t>
  </si>
  <si>
    <t>200096038</t>
  </si>
  <si>
    <t>120401</t>
  </si>
  <si>
    <t>200096039</t>
  </si>
  <si>
    <t>120411</t>
  </si>
  <si>
    <t>200096100</t>
  </si>
  <si>
    <t>120421</t>
  </si>
  <si>
    <t>200096101</t>
  </si>
  <si>
    <t>120431</t>
  </si>
  <si>
    <t>200096102</t>
  </si>
  <si>
    <t>120441</t>
  </si>
  <si>
    <t>200096103</t>
  </si>
  <si>
    <t>120451</t>
  </si>
  <si>
    <t>200096104</t>
  </si>
  <si>
    <t>120461</t>
  </si>
  <si>
    <t>200096105</t>
  </si>
  <si>
    <t>120471</t>
  </si>
  <si>
    <t>200096301</t>
  </si>
  <si>
    <t>121691</t>
  </si>
  <si>
    <t>200096302</t>
  </si>
  <si>
    <t>121701</t>
  </si>
  <si>
    <t>200096303</t>
  </si>
  <si>
    <t>121711</t>
  </si>
  <si>
    <t>200096304</t>
  </si>
  <si>
    <t>121721</t>
  </si>
  <si>
    <t>200096378</t>
  </si>
  <si>
    <t>122271</t>
  </si>
  <si>
    <t>200096379</t>
  </si>
  <si>
    <t>122281</t>
  </si>
  <si>
    <t>200096380</t>
  </si>
  <si>
    <t>122291</t>
  </si>
  <si>
    <t>200096381</t>
  </si>
  <si>
    <t>122301</t>
  </si>
  <si>
    <t>JANUARI/2022</t>
  </si>
  <si>
    <t>200096509</t>
  </si>
  <si>
    <t>010352</t>
  </si>
  <si>
    <t>December</t>
  </si>
  <si>
    <t>200096510</t>
  </si>
  <si>
    <t>010362</t>
  </si>
  <si>
    <t>200096511</t>
  </si>
  <si>
    <t>010372</t>
  </si>
  <si>
    <t>200096512</t>
  </si>
  <si>
    <t>010382</t>
  </si>
  <si>
    <t>200096513</t>
  </si>
  <si>
    <t>010392</t>
  </si>
  <si>
    <t>200096514</t>
  </si>
  <si>
    <t>010402</t>
  </si>
  <si>
    <t>200096515</t>
  </si>
  <si>
    <t>010412</t>
  </si>
  <si>
    <t>200096516</t>
  </si>
  <si>
    <t>010422</t>
  </si>
  <si>
    <t>200096517</t>
  </si>
  <si>
    <t>010432</t>
  </si>
  <si>
    <t>200096518</t>
  </si>
  <si>
    <t>010442</t>
  </si>
  <si>
    <t>200096639</t>
  </si>
  <si>
    <t>011252</t>
  </si>
  <si>
    <t>200096660</t>
  </si>
  <si>
    <t>011262</t>
  </si>
  <si>
    <t>200096661</t>
  </si>
  <si>
    <t>011272</t>
  </si>
  <si>
    <t>200096662</t>
  </si>
  <si>
    <t>011282</t>
  </si>
  <si>
    <t>January</t>
  </si>
  <si>
    <t>200096663</t>
  </si>
  <si>
    <t>011292</t>
  </si>
  <si>
    <t>200096664</t>
  </si>
  <si>
    <t>011302</t>
  </si>
  <si>
    <t>200096665</t>
  </si>
  <si>
    <t>011312</t>
  </si>
  <si>
    <t>200096426</t>
  </si>
  <si>
    <t>011332</t>
  </si>
  <si>
    <t>200096427</t>
  </si>
  <si>
    <t>011342</t>
  </si>
  <si>
    <t>200096783</t>
  </si>
  <si>
    <t>012332</t>
  </si>
  <si>
    <t>200096784</t>
  </si>
  <si>
    <t>012342</t>
  </si>
  <si>
    <t>200096785</t>
  </si>
  <si>
    <t>012352</t>
  </si>
  <si>
    <t>200096786</t>
  </si>
  <si>
    <t>012362</t>
  </si>
  <si>
    <t>200096797</t>
  </si>
  <si>
    <t>012732</t>
  </si>
  <si>
    <t>200096798</t>
  </si>
  <si>
    <t>012742</t>
  </si>
  <si>
    <t>200096799</t>
  </si>
  <si>
    <t>012752</t>
  </si>
  <si>
    <t>200096820</t>
  </si>
  <si>
    <t>012762</t>
  </si>
  <si>
    <t>200096821</t>
  </si>
  <si>
    <t>012772</t>
  </si>
  <si>
    <t>200096975</t>
  </si>
  <si>
    <t>020872</t>
  </si>
  <si>
    <t>February</t>
  </si>
  <si>
    <t>4,73/4,65/4,4</t>
  </si>
  <si>
    <t>200096976</t>
  </si>
  <si>
    <t>020882</t>
  </si>
  <si>
    <t>4,41/4,41/4,61</t>
  </si>
  <si>
    <t>200096977</t>
  </si>
  <si>
    <t>020892</t>
  </si>
  <si>
    <t>4,53/4,55/4,69</t>
  </si>
  <si>
    <t>200096978</t>
  </si>
  <si>
    <t>020902</t>
  </si>
  <si>
    <t>4,69/4,60/4,64</t>
  </si>
  <si>
    <t>200097048</t>
  </si>
  <si>
    <t>021172</t>
  </si>
  <si>
    <t>4,75/4,84/4,54</t>
  </si>
  <si>
    <t>200097049</t>
  </si>
  <si>
    <t>021182</t>
  </si>
  <si>
    <t>4,45/4,67/4,76</t>
  </si>
  <si>
    <t>200097050</t>
  </si>
  <si>
    <t>021192</t>
  </si>
  <si>
    <t>4,82/4,77/4,52</t>
  </si>
  <si>
    <t>200097051</t>
  </si>
  <si>
    <t>021202</t>
  </si>
  <si>
    <t>4,457/4,46/4,61</t>
  </si>
  <si>
    <t>200097053</t>
  </si>
  <si>
    <t>021232</t>
  </si>
  <si>
    <t>4,77/4,51/4,8</t>
  </si>
  <si>
    <t>200097054</t>
  </si>
  <si>
    <t>021242</t>
  </si>
  <si>
    <t>4,60/4,57/4,35</t>
  </si>
  <si>
    <t>200097210</t>
  </si>
  <si>
    <t>030262</t>
  </si>
  <si>
    <t>4,54/4,40/4,53</t>
  </si>
  <si>
    <t>200097211</t>
  </si>
  <si>
    <t>030272</t>
  </si>
  <si>
    <t>4,63/4,49/4,79</t>
  </si>
  <si>
    <t>200097212</t>
  </si>
  <si>
    <t>030282</t>
  </si>
  <si>
    <t>4,49/4,75/4,4</t>
  </si>
  <si>
    <t>200097213</t>
  </si>
  <si>
    <t>030292</t>
  </si>
  <si>
    <t>4,61/4,72/4,31</t>
  </si>
  <si>
    <t>200097214</t>
  </si>
  <si>
    <t>030302</t>
  </si>
  <si>
    <t>4,63/4,41/4,40</t>
  </si>
  <si>
    <t>200097215</t>
  </si>
  <si>
    <t>030312</t>
  </si>
  <si>
    <t>4,53/4,44/4,61</t>
  </si>
  <si>
    <t>200097216</t>
  </si>
  <si>
    <t>030322</t>
  </si>
  <si>
    <t>4,52/4,51/4,52</t>
  </si>
  <si>
    <t>200097217</t>
  </si>
  <si>
    <t>030332</t>
  </si>
  <si>
    <t>4,45/4,87/4,73</t>
  </si>
  <si>
    <t>200097231</t>
  </si>
  <si>
    <t>030672</t>
  </si>
  <si>
    <t>200097232</t>
  </si>
  <si>
    <t>030682</t>
  </si>
  <si>
    <t xml:space="preserve">   </t>
  </si>
  <si>
    <t>200097233</t>
  </si>
  <si>
    <t>030692</t>
  </si>
  <si>
    <t>March</t>
  </si>
  <si>
    <t>4,63/4,50/4,77</t>
  </si>
  <si>
    <t>031282</t>
  </si>
  <si>
    <t>031292</t>
  </si>
  <si>
    <t>031302</t>
  </si>
  <si>
    <t>200097324</t>
  </si>
  <si>
    <t>031312</t>
  </si>
  <si>
    <t>200097325</t>
  </si>
  <si>
    <t>031322</t>
  </si>
  <si>
    <t>200097326</t>
  </si>
  <si>
    <t>031332</t>
  </si>
  <si>
    <t>200097327</t>
  </si>
  <si>
    <t>031342</t>
  </si>
  <si>
    <t>200097328</t>
  </si>
  <si>
    <t>031352</t>
  </si>
  <si>
    <t>200097329</t>
  </si>
  <si>
    <t>031362</t>
  </si>
  <si>
    <t>200097389</t>
  </si>
  <si>
    <t>032052</t>
  </si>
  <si>
    <t>200097390</t>
  </si>
  <si>
    <t>032062</t>
  </si>
  <si>
    <t>200097391</t>
  </si>
  <si>
    <t>032072</t>
  </si>
  <si>
    <t>4,78/4,60/4,44</t>
  </si>
  <si>
    <t>200097392</t>
  </si>
  <si>
    <t>032082</t>
  </si>
  <si>
    <t>200097356</t>
  </si>
  <si>
    <t>032322</t>
  </si>
  <si>
    <t>4,79/4,74/4,53</t>
  </si>
  <si>
    <t>200097357</t>
  </si>
  <si>
    <t>032332</t>
  </si>
  <si>
    <t>4,48/4,79/4,70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</si>
  <si>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</si>
  <si>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032342</t>
  </si>
  <si>
    <t>4,67/4,60/4,54</t>
  </si>
  <si>
    <t>032352</t>
  </si>
  <si>
    <t>4,62/4,77/4,47</t>
  </si>
  <si>
    <t>032362</t>
  </si>
  <si>
    <t>4,67/4,43/4,74</t>
  </si>
  <si>
    <t>032372</t>
  </si>
  <si>
    <t>4,74/4,42/4,63</t>
  </si>
  <si>
    <t>APRIL</t>
  </si>
  <si>
    <t>040062</t>
  </si>
  <si>
    <t>4,65/4,67/4,67</t>
  </si>
  <si>
    <t>200097439</t>
  </si>
  <si>
    <t>040072</t>
  </si>
  <si>
    <t>4,77/4,70/4,42</t>
  </si>
  <si>
    <t>200097480</t>
  </si>
  <si>
    <t>040082</t>
  </si>
  <si>
    <t>200097481</t>
  </si>
  <si>
    <t>040092</t>
  </si>
  <si>
    <t xml:space="preserve"> CB 1</t>
  </si>
  <si>
    <t>200097482</t>
  </si>
  <si>
    <t>040102</t>
  </si>
  <si>
    <t>4,81/4,44/4,79</t>
  </si>
  <si>
    <t>200097278</t>
  </si>
  <si>
    <t>040592</t>
  </si>
  <si>
    <t>4,79/4,64/4,86</t>
  </si>
  <si>
    <t>200097279</t>
  </si>
  <si>
    <t>040602</t>
  </si>
  <si>
    <t>4,67/4,85/4,44</t>
  </si>
  <si>
    <t>200097580</t>
  </si>
  <si>
    <t>040612</t>
  </si>
  <si>
    <t>4,81/4,87/4,51</t>
  </si>
  <si>
    <t>200097581</t>
  </si>
  <si>
    <t>040622</t>
  </si>
  <si>
    <t>4,50/4,46/4,46</t>
  </si>
  <si>
    <t>200097582</t>
  </si>
  <si>
    <t>040632</t>
  </si>
  <si>
    <t>4,55/4,72/4,56</t>
  </si>
  <si>
    <t>200097679</t>
  </si>
  <si>
    <t>041342</t>
  </si>
  <si>
    <t>4,65/4,84/4,85</t>
  </si>
  <si>
    <t>200097680</t>
  </si>
  <si>
    <t>041352</t>
  </si>
  <si>
    <t>4,85/4,47/4,64</t>
  </si>
  <si>
    <t>200097681</t>
  </si>
  <si>
    <t>041362</t>
  </si>
  <si>
    <t>4,54/4,72/4,84</t>
  </si>
  <si>
    <t>200097682</t>
  </si>
  <si>
    <t>041372</t>
  </si>
  <si>
    <t>4,64/4,47/4,50</t>
  </si>
  <si>
    <t>200097683</t>
  </si>
  <si>
    <t>041382</t>
  </si>
  <si>
    <t>4,63/4,55/4,73</t>
  </si>
  <si>
    <t>200097634</t>
  </si>
  <si>
    <t>041712</t>
  </si>
  <si>
    <t>April</t>
  </si>
  <si>
    <t>4,82/4,42/4,85</t>
  </si>
  <si>
    <t>200097635</t>
  </si>
  <si>
    <t>041722</t>
  </si>
  <si>
    <t>4,79/4,94/4,52</t>
  </si>
  <si>
    <t>200097821</t>
  </si>
  <si>
    <t>042262</t>
  </si>
  <si>
    <t>4,79/4,54/4,45</t>
  </si>
  <si>
    <t>200097822</t>
  </si>
  <si>
    <t>042272</t>
  </si>
  <si>
    <t>4,86/4,75/4,82</t>
  </si>
  <si>
    <t>200097823</t>
  </si>
  <si>
    <t>042282</t>
  </si>
  <si>
    <t>4,54/4,73/4,67</t>
  </si>
  <si>
    <t>200097829</t>
  </si>
  <si>
    <t>050012</t>
  </si>
  <si>
    <t>4,80/4,8/4,85</t>
  </si>
  <si>
    <t>200097830</t>
  </si>
  <si>
    <t>050022</t>
  </si>
  <si>
    <t>4,77/4,45/4,78</t>
  </si>
  <si>
    <t>200097831</t>
  </si>
  <si>
    <t>050032</t>
  </si>
  <si>
    <t>4,85/4,59/4,6,2</t>
  </si>
  <si>
    <t>200097832</t>
  </si>
  <si>
    <t>050042</t>
  </si>
  <si>
    <t>4,77/4,72/4,73</t>
  </si>
  <si>
    <t>200097833</t>
  </si>
  <si>
    <t>050052</t>
  </si>
  <si>
    <t>4,64/4,41/4,56</t>
  </si>
  <si>
    <t>200097834</t>
  </si>
  <si>
    <t>050062</t>
  </si>
  <si>
    <t>4,53/4,77/4,43</t>
  </si>
  <si>
    <t>200097903</t>
  </si>
  <si>
    <t>050472</t>
  </si>
  <si>
    <t>4,71/4,79/4,57</t>
  </si>
  <si>
    <t>200097904</t>
  </si>
  <si>
    <t>050482</t>
  </si>
  <si>
    <t>4,64/4,80/4,81</t>
  </si>
  <si>
    <t>200097905</t>
  </si>
  <si>
    <t>050492</t>
  </si>
  <si>
    <t>4,71/4,51/4,76</t>
  </si>
  <si>
    <t>200098000</t>
  </si>
  <si>
    <t>051242</t>
  </si>
  <si>
    <t>4,81/4,51/4,76</t>
  </si>
  <si>
    <t>200098001</t>
  </si>
  <si>
    <t>051252</t>
  </si>
  <si>
    <t>4,77/84,49/4,50</t>
  </si>
  <si>
    <t>200097985</t>
  </si>
  <si>
    <t>051552</t>
  </si>
  <si>
    <t>4,49/4,85/4,88</t>
  </si>
  <si>
    <t>200097986</t>
  </si>
  <si>
    <t>051562</t>
  </si>
  <si>
    <t>4,77/4,50/4,66</t>
  </si>
  <si>
    <t>200098025</t>
  </si>
  <si>
    <t>051632</t>
  </si>
  <si>
    <t>May</t>
  </si>
  <si>
    <t>4,45/4,56/4,77</t>
  </si>
  <si>
    <t>CK 2/ALEX</t>
  </si>
  <si>
    <t>200098058</t>
  </si>
  <si>
    <t>052002</t>
  </si>
  <si>
    <t>4,76/4,48/4,83</t>
  </si>
  <si>
    <t>200098059</t>
  </si>
  <si>
    <t>052012</t>
  </si>
  <si>
    <t>4,87/4,85/4,76</t>
  </si>
  <si>
    <t>CK 2/COMPACTOR</t>
  </si>
  <si>
    <t>200098060</t>
  </si>
  <si>
    <t>052022</t>
  </si>
  <si>
    <t>4,72/4,65/4,76</t>
  </si>
  <si>
    <t>200098061</t>
  </si>
  <si>
    <t>052032</t>
  </si>
  <si>
    <t>4,52/4,84/4,66</t>
  </si>
  <si>
    <t>200098062</t>
  </si>
  <si>
    <t>052042</t>
  </si>
  <si>
    <t>4,79/4,54/4,51</t>
  </si>
  <si>
    <t>200098063</t>
  </si>
  <si>
    <t>052052</t>
  </si>
  <si>
    <t>4,61/4,71/4,57</t>
  </si>
  <si>
    <t>200098064</t>
  </si>
  <si>
    <t>052062</t>
  </si>
  <si>
    <t>4,47/4,42/4,33</t>
  </si>
  <si>
    <t>200098065</t>
  </si>
  <si>
    <t>052072</t>
  </si>
  <si>
    <t>4,66/4,41/4,69</t>
  </si>
  <si>
    <t>200098066</t>
  </si>
  <si>
    <t>052082</t>
  </si>
  <si>
    <t>4,49/4,34/4,47</t>
  </si>
  <si>
    <t>200098067</t>
  </si>
  <si>
    <t>052092</t>
  </si>
  <si>
    <t>4,57/4,60/4,37</t>
  </si>
  <si>
    <t>200098068</t>
  </si>
  <si>
    <t>052102</t>
  </si>
  <si>
    <t>4,70/4,54/4,22</t>
  </si>
  <si>
    <t>200098127</t>
  </si>
  <si>
    <t>060332</t>
  </si>
  <si>
    <t>4,62/4,67/4,64</t>
  </si>
  <si>
    <t>200098128</t>
  </si>
  <si>
    <t>060342</t>
  </si>
  <si>
    <t>4,49/4,82/4,75</t>
  </si>
  <si>
    <t>200098129</t>
  </si>
  <si>
    <t>060352</t>
  </si>
  <si>
    <t>4,43/4,47/4,66</t>
  </si>
  <si>
    <t>200098130</t>
  </si>
  <si>
    <t>060362</t>
  </si>
  <si>
    <t>4,72/4,78/4,53</t>
  </si>
  <si>
    <t>200098131</t>
  </si>
  <si>
    <t>060372</t>
  </si>
  <si>
    <t>4,41/4,74/4,69</t>
  </si>
  <si>
    <t>200098132</t>
  </si>
  <si>
    <t>060382</t>
  </si>
  <si>
    <t>4,60/4,33/4,81</t>
  </si>
  <si>
    <t>200098133</t>
  </si>
  <si>
    <t>060392</t>
  </si>
  <si>
    <t>4,82/4,42/4,59</t>
  </si>
  <si>
    <t>200098134</t>
  </si>
  <si>
    <t>060402</t>
  </si>
  <si>
    <t>4,83/4,51/4,62</t>
  </si>
  <si>
    <t>200098135</t>
  </si>
  <si>
    <t>060412</t>
  </si>
  <si>
    <t>4,64/4,47/4,80</t>
  </si>
  <si>
    <t>200098136</t>
  </si>
  <si>
    <t>060422</t>
  </si>
  <si>
    <t>4,51/4,69/4,47</t>
  </si>
  <si>
    <t>200098167</t>
  </si>
  <si>
    <t>060752</t>
  </si>
  <si>
    <t>4,68/4,46/4,56</t>
  </si>
  <si>
    <t>200098168</t>
  </si>
  <si>
    <t>060762</t>
  </si>
  <si>
    <t>4,51/4,41/4,36</t>
  </si>
  <si>
    <t>200098169</t>
  </si>
  <si>
    <t>060772</t>
  </si>
  <si>
    <t>4,40/4,79/4,81</t>
  </si>
  <si>
    <t>200098254</t>
  </si>
  <si>
    <t>061322</t>
  </si>
  <si>
    <t>4,46/4,66/4,64</t>
  </si>
  <si>
    <t>200098255</t>
  </si>
  <si>
    <t>061332</t>
  </si>
  <si>
    <t>4,66/4,45/4,52</t>
  </si>
  <si>
    <t>200098256</t>
  </si>
  <si>
    <t>061342</t>
  </si>
  <si>
    <t>June</t>
  </si>
  <si>
    <t>4,78/4,73/4,66</t>
  </si>
  <si>
    <t>200098257</t>
  </si>
  <si>
    <t>061352</t>
  </si>
  <si>
    <t>4,72/4,56/4,70</t>
  </si>
  <si>
    <t>200098258</t>
  </si>
  <si>
    <t>061362</t>
  </si>
  <si>
    <t>4,42/4,87/4,62</t>
  </si>
  <si>
    <t>200098259</t>
  </si>
  <si>
    <t>061372</t>
  </si>
  <si>
    <t>4,82/4,30/4,79</t>
  </si>
  <si>
    <t>200098397</t>
  </si>
  <si>
    <t>062412</t>
  </si>
  <si>
    <t>4,56/4,81/4,82</t>
  </si>
  <si>
    <t>200098398</t>
  </si>
  <si>
    <t>062422</t>
  </si>
  <si>
    <t>4,79/4,70/4,85</t>
  </si>
  <si>
    <t>200098399</t>
  </si>
  <si>
    <t>062432</t>
  </si>
  <si>
    <t>4,47/4,66/4,50</t>
  </si>
  <si>
    <t>200098420</t>
  </si>
  <si>
    <t>062442</t>
  </si>
  <si>
    <t>4,54/4,70/4,44</t>
  </si>
  <si>
    <t>200098421</t>
  </si>
  <si>
    <t>062452</t>
  </si>
  <si>
    <t>4,54/4,72/4,79</t>
  </si>
  <si>
    <t>200098422</t>
  </si>
  <si>
    <t>062462</t>
  </si>
  <si>
    <t>4,62/4,65/4,45</t>
  </si>
  <si>
    <t>200098423</t>
  </si>
  <si>
    <t>062472</t>
  </si>
  <si>
    <t>4,62/4,81/4,74</t>
  </si>
  <si>
    <t>200098424</t>
  </si>
  <si>
    <t>062482</t>
  </si>
  <si>
    <t>4,65/4,44/4,55</t>
  </si>
  <si>
    <t>329/70</t>
  </si>
  <si>
    <t>200098425</t>
  </si>
  <si>
    <t>062492</t>
  </si>
  <si>
    <t>4,39/4,85/4,40</t>
  </si>
  <si>
    <t>200098426</t>
  </si>
  <si>
    <t>062502</t>
  </si>
  <si>
    <t>4,88/4,41/4,84</t>
  </si>
  <si>
    <t>200098427</t>
  </si>
  <si>
    <t>062512</t>
  </si>
  <si>
    <t>4,62/4,72/4,75</t>
  </si>
  <si>
    <t>200098428</t>
  </si>
  <si>
    <t>062522</t>
  </si>
  <si>
    <t>4,67/4,40/4,77</t>
  </si>
  <si>
    <t>200098429</t>
  </si>
  <si>
    <t>062532</t>
  </si>
  <si>
    <t>4,44/4,56/4,39</t>
  </si>
  <si>
    <t>200098430</t>
  </si>
  <si>
    <t>062542</t>
  </si>
  <si>
    <t>4,52/4,82/4,86</t>
  </si>
  <si>
    <t>200098542</t>
  </si>
  <si>
    <t>070022</t>
  </si>
  <si>
    <t>4,84/4,56/4,71</t>
  </si>
  <si>
    <t>200098543</t>
  </si>
  <si>
    <t>070032</t>
  </si>
  <si>
    <t>4,49/4,60/4,55</t>
  </si>
  <si>
    <t>200098544</t>
  </si>
  <si>
    <t>070042</t>
  </si>
  <si>
    <t>4,77/4,47/4,73</t>
  </si>
  <si>
    <t>200098572</t>
  </si>
  <si>
    <t>070112</t>
  </si>
  <si>
    <t>4,54/4,52/4,41</t>
  </si>
  <si>
    <t>200098573</t>
  </si>
  <si>
    <t>070122</t>
  </si>
  <si>
    <t>4,25/4,51/4,66/4,52</t>
  </si>
  <si>
    <t>200098574</t>
  </si>
  <si>
    <t>070132</t>
  </si>
  <si>
    <t>4,33/4,84/4,42/4,75</t>
  </si>
  <si>
    <t>200098575</t>
  </si>
  <si>
    <t>070142</t>
  </si>
  <si>
    <t>4,79/4,77/4,63</t>
  </si>
  <si>
    <t>200098665</t>
  </si>
  <si>
    <t>071102</t>
  </si>
  <si>
    <t>4,70/4,70/4,83</t>
  </si>
  <si>
    <t>200098666</t>
  </si>
  <si>
    <t>071112</t>
  </si>
  <si>
    <t>4,47/4,75/4,67</t>
  </si>
  <si>
    <t>200098667</t>
  </si>
  <si>
    <t>071122</t>
  </si>
  <si>
    <t>4,59/4,5/4,70</t>
  </si>
  <si>
    <t>200098668</t>
  </si>
  <si>
    <t>071132</t>
  </si>
  <si>
    <t>4,82/4,43/4,75</t>
  </si>
  <si>
    <t>200098669</t>
  </si>
  <si>
    <t>071142</t>
  </si>
  <si>
    <t>4,79/4,77/4,59</t>
  </si>
  <si>
    <t>200098670</t>
  </si>
  <si>
    <t>071152</t>
  </si>
  <si>
    <t>4,67/4,40/4,84</t>
  </si>
  <si>
    <t>200098762</t>
  </si>
  <si>
    <t>071772</t>
  </si>
  <si>
    <t>4,50/4,65/4,55</t>
  </si>
  <si>
    <t>200098763</t>
  </si>
  <si>
    <t>071782</t>
  </si>
  <si>
    <t>4,53/4,70/4,58</t>
  </si>
  <si>
    <t>200098781</t>
  </si>
  <si>
    <t>071942</t>
  </si>
  <si>
    <t>July</t>
  </si>
  <si>
    <t>4,60/4,67/4,55</t>
  </si>
  <si>
    <t>200098782</t>
  </si>
  <si>
    <t>071952</t>
  </si>
  <si>
    <t>4,44/4,74/4,49</t>
  </si>
  <si>
    <t>200098783</t>
  </si>
  <si>
    <t>071962</t>
  </si>
  <si>
    <t>4,84/4,87/4,24</t>
  </si>
  <si>
    <t>200098784</t>
  </si>
  <si>
    <t>071972</t>
  </si>
  <si>
    <t>4,65/4,75/4,43</t>
  </si>
  <si>
    <t>200098785</t>
  </si>
  <si>
    <t>071982</t>
  </si>
  <si>
    <t>4,63/4,62/4,49</t>
  </si>
  <si>
    <t>200098786</t>
  </si>
  <si>
    <t>071992</t>
  </si>
  <si>
    <t>4,62/4,71/4,51</t>
  </si>
  <si>
    <t>329,,70</t>
  </si>
  <si>
    <t>200098787</t>
  </si>
  <si>
    <t>072002</t>
  </si>
  <si>
    <t>4,47/4,84/4,54</t>
  </si>
  <si>
    <t>200098788</t>
  </si>
  <si>
    <t>072012</t>
  </si>
  <si>
    <t>4,71/4,54/4,84</t>
  </si>
  <si>
    <t>200098789</t>
  </si>
  <si>
    <t>072022</t>
  </si>
  <si>
    <t>4,71/4,83/4,80</t>
  </si>
  <si>
    <t>200098790</t>
  </si>
  <si>
    <t>072032</t>
  </si>
  <si>
    <t>4,44/4,84/4,81</t>
  </si>
  <si>
    <t>200098791</t>
  </si>
  <si>
    <t>072042</t>
  </si>
  <si>
    <t>4,66/4,78/4,51</t>
  </si>
  <si>
    <t>200098792</t>
  </si>
  <si>
    <t>072052</t>
  </si>
  <si>
    <t>4,72/4,78/4,51</t>
  </si>
  <si>
    <t>200098889</t>
  </si>
  <si>
    <t>080162</t>
  </si>
  <si>
    <t>4,83/4,58/4,84</t>
  </si>
  <si>
    <t>200098890</t>
  </si>
  <si>
    <t>080172</t>
  </si>
  <si>
    <t>4,72/4,85/4,6</t>
  </si>
  <si>
    <t>200098891</t>
  </si>
  <si>
    <t>080182</t>
  </si>
  <si>
    <t>August</t>
  </si>
  <si>
    <t>4,4/4,68/4,71</t>
  </si>
  <si>
    <t>200098983</t>
  </si>
  <si>
    <t>081022</t>
  </si>
  <si>
    <t>4,75/4,44/4,71</t>
  </si>
  <si>
    <t>200098984</t>
  </si>
  <si>
    <t>081032</t>
  </si>
  <si>
    <t>4,63/4,46/4,52</t>
  </si>
  <si>
    <t>200098985</t>
  </si>
  <si>
    <t>081042</t>
  </si>
  <si>
    <t>4,60/4,40/4,54</t>
  </si>
  <si>
    <t>200098986</t>
  </si>
  <si>
    <t>081052</t>
  </si>
  <si>
    <t>4,67/4,76/4,41</t>
  </si>
  <si>
    <t>200098987</t>
  </si>
  <si>
    <t>081062</t>
  </si>
  <si>
    <t>4,51/4,75/4,81</t>
  </si>
  <si>
    <t>200098988</t>
  </si>
  <si>
    <t>081072</t>
  </si>
  <si>
    <t>4,67/4,49/4,68</t>
  </si>
  <si>
    <t>200099127</t>
  </si>
  <si>
    <t>082242</t>
  </si>
  <si>
    <t>4,61/4,66/4,59</t>
  </si>
  <si>
    <t>200099128</t>
  </si>
  <si>
    <t>082252</t>
  </si>
  <si>
    <t>4,81/4,71/4,44</t>
  </si>
  <si>
    <t>200099095</t>
  </si>
  <si>
    <t>082262</t>
  </si>
  <si>
    <t>4,54/4,64/4,78</t>
  </si>
  <si>
    <t>200099096</t>
  </si>
  <si>
    <t>082272</t>
  </si>
  <si>
    <t>4,72/4,42/4,64</t>
  </si>
  <si>
    <t>200099097</t>
  </si>
  <si>
    <t>082282</t>
  </si>
  <si>
    <t>4,61/4,80/4,76</t>
  </si>
  <si>
    <t>200099098</t>
  </si>
  <si>
    <t>082292</t>
  </si>
  <si>
    <t>4,73/4,47/4,46</t>
  </si>
  <si>
    <t>200099099</t>
  </si>
  <si>
    <t>082302</t>
  </si>
  <si>
    <t>Agustus</t>
  </si>
  <si>
    <t>4,58/4,52/4,69</t>
  </si>
  <si>
    <t>200099140</t>
  </si>
  <si>
    <t>082312</t>
  </si>
  <si>
    <t>4,50/4,52/4,62</t>
  </si>
  <si>
    <t>200099286</t>
  </si>
  <si>
    <t>090662</t>
  </si>
  <si>
    <t>4,46/4,84/4,81</t>
  </si>
  <si>
    <t>200099287</t>
  </si>
  <si>
    <t>090672</t>
  </si>
  <si>
    <t>4,81/4,42/4,57</t>
  </si>
  <si>
    <t>200099288</t>
  </si>
  <si>
    <t>090682</t>
  </si>
  <si>
    <t>4,47/4,74/4,51</t>
  </si>
  <si>
    <t>200099289</t>
  </si>
  <si>
    <t>090692</t>
  </si>
  <si>
    <t>4,80/4,49/4,50</t>
  </si>
  <si>
    <t>200099290</t>
  </si>
  <si>
    <t>090702</t>
  </si>
  <si>
    <t>4,84/4,70/4,71</t>
  </si>
  <si>
    <t>200099291</t>
  </si>
  <si>
    <t>090712</t>
  </si>
  <si>
    <t>4,72/4,74/4,65</t>
  </si>
  <si>
    <t>200099292</t>
  </si>
  <si>
    <t>090722</t>
  </si>
  <si>
    <t>4,60/4,53/4,51</t>
  </si>
  <si>
    <t>200099293</t>
  </si>
  <si>
    <t>090732</t>
  </si>
  <si>
    <t>4,40/4,42/4,55</t>
  </si>
  <si>
    <t>200099294</t>
  </si>
  <si>
    <t>090742</t>
  </si>
  <si>
    <t>4,71/4,69/4,75</t>
  </si>
  <si>
    <t>200099295</t>
  </si>
  <si>
    <t>090752</t>
  </si>
  <si>
    <t>4,46/4,63/4,54</t>
  </si>
  <si>
    <t>200099242</t>
  </si>
  <si>
    <t>091132</t>
  </si>
  <si>
    <t>4,53/4,45/4,84</t>
  </si>
  <si>
    <t>200099243</t>
  </si>
  <si>
    <t>091142</t>
  </si>
  <si>
    <t>4,50/4,47/4,80</t>
  </si>
  <si>
    <t>200099244</t>
  </si>
  <si>
    <t>091152</t>
  </si>
  <si>
    <t>4,64/4,50/4,85</t>
  </si>
  <si>
    <t>200099245</t>
  </si>
  <si>
    <t>091162</t>
  </si>
  <si>
    <t>4,50/4,34/4,71</t>
  </si>
  <si>
    <t>200099246</t>
  </si>
  <si>
    <t>091172</t>
  </si>
  <si>
    <t>4,57/4,54/4,41</t>
  </si>
  <si>
    <t>200099247</t>
  </si>
  <si>
    <t>091182</t>
  </si>
  <si>
    <t>4,79/4,69/4,67</t>
  </si>
  <si>
    <t>200099248</t>
  </si>
  <si>
    <t>091192</t>
  </si>
  <si>
    <t>4,47/4,61/4,57</t>
  </si>
  <si>
    <t>200099249</t>
  </si>
  <si>
    <t>091202</t>
  </si>
  <si>
    <t>4,40/4,82/4,35</t>
  </si>
  <si>
    <t>200099250</t>
  </si>
  <si>
    <t>091212</t>
  </si>
  <si>
    <t>4,77/4,55/4,51</t>
  </si>
  <si>
    <t>200099412</t>
  </si>
  <si>
    <t>100302</t>
  </si>
  <si>
    <t>4,35/4,48/4,52</t>
  </si>
  <si>
    <t>September</t>
  </si>
  <si>
    <t>200099413</t>
  </si>
  <si>
    <t>100312</t>
  </si>
  <si>
    <t>4,82/4,77/4,72</t>
  </si>
  <si>
    <t>200099414</t>
  </si>
  <si>
    <t>100322</t>
  </si>
  <si>
    <t>4,79/4,69/4,43</t>
  </si>
  <si>
    <t>200099415</t>
  </si>
  <si>
    <t>100332</t>
  </si>
  <si>
    <t>4,67/4,54/4,49</t>
  </si>
  <si>
    <t>200099416</t>
  </si>
  <si>
    <t>100342</t>
  </si>
  <si>
    <t>4,75/4,56/4,72</t>
  </si>
  <si>
    <t>200099417</t>
  </si>
  <si>
    <t>100352</t>
  </si>
  <si>
    <t>4,54/4,59/4,44</t>
  </si>
  <si>
    <t>200099418</t>
  </si>
  <si>
    <t>100362</t>
  </si>
  <si>
    <t>4,56/4,55/4,54</t>
  </si>
  <si>
    <t>200099419</t>
  </si>
  <si>
    <t>100372</t>
  </si>
  <si>
    <t>4,62/4,55/4,82</t>
  </si>
  <si>
    <t>200099500</t>
  </si>
  <si>
    <t>100382</t>
  </si>
  <si>
    <t>4,67/4,63/4,63</t>
  </si>
  <si>
    <t>200099501</t>
  </si>
  <si>
    <t>100392</t>
  </si>
  <si>
    <t>4,89/4,64/4,58</t>
  </si>
  <si>
    <t>200099690</t>
  </si>
  <si>
    <t>101782</t>
  </si>
  <si>
    <t>4,60/4,68/4,63</t>
  </si>
  <si>
    <t>200099691</t>
  </si>
  <si>
    <t>101792</t>
  </si>
  <si>
    <t>4,77/4,8/4,68</t>
  </si>
  <si>
    <t>200099598</t>
  </si>
  <si>
    <t>101802</t>
  </si>
  <si>
    <t>4,83/4,68/4,43</t>
  </si>
  <si>
    <t>october</t>
  </si>
  <si>
    <t>200099599</t>
  </si>
  <si>
    <t>101812</t>
  </si>
  <si>
    <t>4,55/4,53/4,77</t>
  </si>
  <si>
    <t>200099700</t>
  </si>
  <si>
    <t>101822</t>
  </si>
  <si>
    <t>4,41/4,5/4,49</t>
  </si>
  <si>
    <t>200099701</t>
  </si>
  <si>
    <t>101832</t>
  </si>
  <si>
    <t>4,71/4,54/4,82</t>
  </si>
  <si>
    <t>200099702</t>
  </si>
  <si>
    <t>101842</t>
  </si>
  <si>
    <t>4,66/4,76/4,64</t>
  </si>
  <si>
    <t>200099704</t>
  </si>
  <si>
    <t>101852</t>
  </si>
  <si>
    <t>4,60/4,66/4,46</t>
  </si>
  <si>
    <t>200099838</t>
  </si>
  <si>
    <t>110162</t>
  </si>
  <si>
    <t>October</t>
  </si>
  <si>
    <t>4,40/4,80/4,66</t>
  </si>
  <si>
    <t>200099839</t>
  </si>
  <si>
    <t>110172</t>
  </si>
  <si>
    <t>4,44/4,62/4,57</t>
  </si>
  <si>
    <t>200099840</t>
  </si>
  <si>
    <t>110182</t>
  </si>
  <si>
    <t>4,61/4,48/4,59</t>
  </si>
  <si>
    <t>200099841</t>
  </si>
  <si>
    <t>110192</t>
  </si>
  <si>
    <t>4,46/4,53/4,57</t>
  </si>
  <si>
    <t>200099842</t>
  </si>
  <si>
    <t>110202</t>
  </si>
  <si>
    <t>4,69/4,66/4,75</t>
  </si>
  <si>
    <t>200099843</t>
  </si>
  <si>
    <t>110212</t>
  </si>
  <si>
    <t>4,75/4,50/4,53</t>
  </si>
  <si>
    <t>200099844</t>
  </si>
  <si>
    <t>110222</t>
  </si>
  <si>
    <t>4,80/4,74/4,55</t>
  </si>
  <si>
    <t>200099870</t>
  </si>
  <si>
    <t>110522</t>
  </si>
  <si>
    <t>4,66/4,62/4,54</t>
  </si>
  <si>
    <t>4,82/4,53/4,74</t>
  </si>
  <si>
    <t>OCTOBER</t>
  </si>
  <si>
    <t>4,74/4,57/4,82</t>
  </si>
  <si>
    <t>4,82/4,48/4,59</t>
  </si>
  <si>
    <t>4,55/4,61/4,69</t>
  </si>
  <si>
    <t>4,83/4,56/4,81</t>
  </si>
  <si>
    <t>4,60/4,59/4,44</t>
  </si>
  <si>
    <t>4,52/4,67/4,51</t>
  </si>
  <si>
    <t>november</t>
  </si>
  <si>
    <t>4,51/4,54/4,77</t>
  </si>
  <si>
    <t>4,74/4,57/4,77</t>
  </si>
  <si>
    <t>4,70/4,69/4,45</t>
  </si>
  <si>
    <t>4,57/4,72/4,44</t>
  </si>
  <si>
    <t>4,82/4,64/4,86</t>
  </si>
  <si>
    <t>4,82/4,77/4,67</t>
  </si>
  <si>
    <t>4,80/4,59/4,49</t>
  </si>
  <si>
    <t>4,75/4,80/4,47</t>
  </si>
  <si>
    <t>4,82/4,82/4,72</t>
  </si>
  <si>
    <t>4,65/4,52/4,84</t>
  </si>
  <si>
    <t>4,55/4,57/4,41</t>
  </si>
  <si>
    <t>4,59/4,78/4,49</t>
  </si>
  <si>
    <t>4,49/4,85/4,60</t>
  </si>
  <si>
    <t>4,79/4,52/4,79</t>
  </si>
  <si>
    <t>4,69/4,65/4,57</t>
  </si>
  <si>
    <t>4,63/4,70/4,76</t>
  </si>
  <si>
    <t>4,60/4,70/4,55</t>
  </si>
  <si>
    <t>4,45/4,69/4,54</t>
  </si>
  <si>
    <t>4,42/4,42/4,82</t>
  </si>
  <si>
    <t>4,84/4,42/4,40</t>
  </si>
  <si>
    <t>4,40/4,80/4,82</t>
  </si>
  <si>
    <t>4,59/4,40/4,59</t>
  </si>
  <si>
    <t>4,75/4,52/4,77</t>
  </si>
  <si>
    <t>4,75/4,41/4,74</t>
  </si>
  <si>
    <t>4,62/4,57/4,54</t>
  </si>
  <si>
    <t>4,65/4,54/4,77</t>
  </si>
  <si>
    <t>4,76/4,50/4,54</t>
  </si>
  <si>
    <t>4,87/4,62/4,5</t>
  </si>
  <si>
    <t>4,71/4,53/4,78</t>
  </si>
  <si>
    <t>4,77/4,68/4,6</t>
  </si>
  <si>
    <t>4,41/4,40/4,47</t>
  </si>
  <si>
    <t>4,47/4,84/4,76</t>
  </si>
  <si>
    <t>4,79/4,72/4,59</t>
  </si>
  <si>
    <t>D L3 LT. 1</t>
  </si>
  <si>
    <t>4,76/4,47/4,14</t>
  </si>
  <si>
    <t>JANUARI/2023</t>
  </si>
  <si>
    <t>010013</t>
  </si>
  <si>
    <t>4,85/4,48/4,70</t>
  </si>
  <si>
    <t>JALAN DI CB LT 1</t>
  </si>
  <si>
    <t>010023</t>
  </si>
  <si>
    <t>4,85/4,46/4,43</t>
  </si>
  <si>
    <t>010133</t>
  </si>
  <si>
    <t>4,80/4,57/4,42</t>
  </si>
  <si>
    <t>010143</t>
  </si>
  <si>
    <t>4,62/4,79/4,49</t>
  </si>
  <si>
    <t>010153</t>
  </si>
  <si>
    <t>4,55/4,48/4,51</t>
  </si>
  <si>
    <t>010163</t>
  </si>
  <si>
    <t>4,76/4,47/4,45</t>
  </si>
  <si>
    <t>010173</t>
  </si>
  <si>
    <t>4,74/4,43/4,46</t>
  </si>
  <si>
    <t>010183</t>
  </si>
  <si>
    <t>4,45/4,66/4,55</t>
  </si>
  <si>
    <t>010193</t>
  </si>
  <si>
    <t>4,55/4,42/4,54</t>
  </si>
  <si>
    <t>011363</t>
  </si>
  <si>
    <t>4,47/4,47/4,56</t>
  </si>
  <si>
    <t>011373</t>
  </si>
  <si>
    <t>4,47/4,76/4,73</t>
  </si>
  <si>
    <t>011383</t>
  </si>
  <si>
    <t>4,54/4,48/4,53</t>
  </si>
  <si>
    <t>011393</t>
  </si>
  <si>
    <t>4,54/4,58/4,69</t>
  </si>
  <si>
    <t>011403</t>
  </si>
  <si>
    <t>4,64/4,74/4,76</t>
  </si>
  <si>
    <t>011413</t>
  </si>
  <si>
    <t>4,55/4,52/4,65</t>
  </si>
  <si>
    <t>011423</t>
  </si>
  <si>
    <t>4,73/4,60/4,45</t>
  </si>
  <si>
    <t>012213</t>
  </si>
  <si>
    <t>4,85/4,46/4,84</t>
  </si>
  <si>
    <t>012223</t>
  </si>
  <si>
    <t>4,57/4,47/4,82</t>
  </si>
  <si>
    <t>012233</t>
  </si>
  <si>
    <t>4,49/4,82/4,46</t>
  </si>
  <si>
    <t>012243</t>
  </si>
  <si>
    <t>4,45/4,63/4,59</t>
  </si>
  <si>
    <t>012253</t>
  </si>
  <si>
    <t>4,54/4,69/4,67</t>
  </si>
  <si>
    <t>012363</t>
  </si>
  <si>
    <t>4,63/4,74/4,38</t>
  </si>
  <si>
    <t>012373</t>
  </si>
  <si>
    <t>4,57/4,79/4,71</t>
  </si>
  <si>
    <t>012383</t>
  </si>
  <si>
    <t>4,37/4,57/4,52</t>
  </si>
  <si>
    <t>012463</t>
  </si>
  <si>
    <t>4,41/4,61/4,44</t>
  </si>
  <si>
    <t>012473</t>
  </si>
  <si>
    <t>4,42/4,43/4,45</t>
  </si>
  <si>
    <t>012483</t>
  </si>
  <si>
    <t>4,45/4,67/4,64</t>
  </si>
  <si>
    <t>012493</t>
  </si>
  <si>
    <t>4,45/4,30/4,45</t>
  </si>
  <si>
    <t>012503</t>
  </si>
  <si>
    <t>4,67/4,42/4,57</t>
  </si>
  <si>
    <t>012513</t>
  </si>
  <si>
    <t>4,59/4,51/4,49</t>
  </si>
  <si>
    <t>012523</t>
  </si>
  <si>
    <t>4,59/4,52/4,47</t>
  </si>
  <si>
    <t>012533</t>
  </si>
  <si>
    <t>4,59/4,49/4,60</t>
  </si>
  <si>
    <t>012543</t>
  </si>
  <si>
    <t>4,57/4,49/4,39</t>
  </si>
  <si>
    <t>012553</t>
  </si>
  <si>
    <t>4,49/4,47/4,52</t>
  </si>
  <si>
    <t>012563</t>
  </si>
  <si>
    <t>4,57/4,55/4,43</t>
  </si>
  <si>
    <t>012573</t>
  </si>
  <si>
    <t>4,42/4,46/4,35</t>
  </si>
  <si>
    <t>021433</t>
  </si>
  <si>
    <t>4,64/4,41/4,39</t>
  </si>
  <si>
    <t>021443</t>
  </si>
  <si>
    <t>4,40/4,59/4,72</t>
  </si>
  <si>
    <t>021453</t>
  </si>
  <si>
    <t>4,39/4,42/4,61</t>
  </si>
  <si>
    <t>021463</t>
  </si>
  <si>
    <t>4,66/4,56/4,69</t>
  </si>
  <si>
    <t>021473</t>
  </si>
  <si>
    <t>4,52/4,42/4,82</t>
  </si>
  <si>
    <t>021793</t>
  </si>
  <si>
    <t>4,50/4,47/4,51</t>
  </si>
  <si>
    <t>021803</t>
  </si>
  <si>
    <t>4,42/4,57/4,59</t>
  </si>
  <si>
    <t>021813</t>
  </si>
  <si>
    <t>4,41/4,54/4,60</t>
  </si>
  <si>
    <t>021823</t>
  </si>
  <si>
    <t>4,57/4,49/4,50</t>
  </si>
  <si>
    <t>021833</t>
  </si>
  <si>
    <t>4,51/4,49/4,47</t>
  </si>
  <si>
    <t>021843</t>
  </si>
  <si>
    <t>4,56/4,61/4,82</t>
  </si>
  <si>
    <t>022473</t>
  </si>
  <si>
    <t>4,70/4,48/4,70</t>
  </si>
  <si>
    <t>022483</t>
  </si>
  <si>
    <t>4,54/4,64/4,59</t>
  </si>
  <si>
    <t>022493</t>
  </si>
  <si>
    <t>4,72/4,62/4,59</t>
  </si>
  <si>
    <t>022503</t>
  </si>
  <si>
    <t>4,41/4,51/4,74</t>
  </si>
  <si>
    <t>030383</t>
  </si>
  <si>
    <t>4,4/4,57/4,51</t>
  </si>
  <si>
    <t>030393</t>
  </si>
  <si>
    <t>4,80/4,67/4,44</t>
  </si>
  <si>
    <t>030403</t>
  </si>
  <si>
    <t>4,79/4,73/4,63</t>
  </si>
  <si>
    <t>030413</t>
  </si>
  <si>
    <t>4,71/4,70/4,44</t>
  </si>
  <si>
    <t>030423</t>
  </si>
  <si>
    <t>4,69/4,56/4,45</t>
  </si>
  <si>
    <t>030433</t>
  </si>
  <si>
    <t>4,58/4,67/4,40</t>
  </si>
  <si>
    <t>030443</t>
  </si>
  <si>
    <t>4,48/4,62/4,77</t>
  </si>
  <si>
    <t>031003</t>
  </si>
  <si>
    <t>4,53/4,63/4,49</t>
  </si>
  <si>
    <t>031163</t>
  </si>
  <si>
    <t>4,44/4,67/4,49</t>
  </si>
  <si>
    <t>031173</t>
  </si>
  <si>
    <t>4,45/4,59/4,49</t>
  </si>
  <si>
    <t>031183</t>
  </si>
  <si>
    <t>4,56/4,76/4,53</t>
  </si>
  <si>
    <t>031193</t>
  </si>
  <si>
    <t>4,69/4,65/4,65</t>
  </si>
  <si>
    <t>031203</t>
  </si>
  <si>
    <t>4,49/4,52/4,62</t>
  </si>
  <si>
    <t>4,77/4,62/4,55</t>
  </si>
  <si>
    <t>031333</t>
  </si>
  <si>
    <t>4,40/4,82/4,66</t>
  </si>
  <si>
    <t>031343</t>
  </si>
  <si>
    <t>4,57/4,60/4,66</t>
  </si>
  <si>
    <t>031353</t>
  </si>
  <si>
    <t>4,73/4,55/4,78</t>
  </si>
  <si>
    <t>031363</t>
  </si>
  <si>
    <t>4,74/4,44/4,63</t>
  </si>
  <si>
    <t>031373</t>
  </si>
  <si>
    <t>4,47/4,59/4,82</t>
  </si>
  <si>
    <t>031733</t>
  </si>
  <si>
    <t>4,83/4,48/4,84</t>
  </si>
  <si>
    <t>031743</t>
  </si>
  <si>
    <t>4,67/4,55/4,42</t>
  </si>
  <si>
    <t>031753</t>
  </si>
  <si>
    <t>4,44/4,51/4,50</t>
  </si>
  <si>
    <t>031763</t>
  </si>
  <si>
    <t>4,66/4,59/4,78</t>
  </si>
  <si>
    <t>031773</t>
  </si>
  <si>
    <t>4,49/4,59/4,85</t>
  </si>
  <si>
    <t>031783</t>
  </si>
  <si>
    <t>4,80/4,51/4,75</t>
  </si>
  <si>
    <t>031873</t>
  </si>
  <si>
    <t>4,52/4,44/4,41</t>
  </si>
  <si>
    <t>031883</t>
  </si>
  <si>
    <t>4,71/4,55/4,48</t>
  </si>
  <si>
    <t>032013</t>
  </si>
  <si>
    <t>4,42/4,83/4,48</t>
  </si>
  <si>
    <t>032023</t>
  </si>
  <si>
    <t>4,44/4,49/4,49</t>
  </si>
  <si>
    <t>032033</t>
  </si>
  <si>
    <t>4,77/4,76/4,65</t>
  </si>
  <si>
    <t>032043</t>
  </si>
  <si>
    <t>4,57/4,40/4,49</t>
  </si>
  <si>
    <t>032053</t>
  </si>
  <si>
    <t>4,63/4,40/4,50</t>
  </si>
  <si>
    <t>032063</t>
  </si>
  <si>
    <t>4,44/4,71/4,64</t>
  </si>
  <si>
    <t>032073</t>
  </si>
  <si>
    <t>4,73/4,52/4,64</t>
  </si>
  <si>
    <t>032083</t>
  </si>
  <si>
    <t>4,74/4,69/4,65</t>
  </si>
  <si>
    <t>040273</t>
  </si>
  <si>
    <t>4,52/4,65/4,67</t>
  </si>
  <si>
    <t>040283</t>
  </si>
  <si>
    <t>4,42/4,39/4,42</t>
  </si>
  <si>
    <t>040293</t>
  </si>
  <si>
    <t>4,70/4,42/4,74</t>
  </si>
  <si>
    <t>040303</t>
  </si>
  <si>
    <t>4,81/4,60/4,84</t>
  </si>
  <si>
    <t>040653</t>
  </si>
  <si>
    <t>4,57/4,61/4,67</t>
  </si>
  <si>
    <t>040663</t>
  </si>
  <si>
    <t>4,49/4,57/4,42</t>
  </si>
  <si>
    <t>040673</t>
  </si>
  <si>
    <t>4,41/4,40/4,42</t>
  </si>
  <si>
    <t>040683</t>
  </si>
  <si>
    <t>4,50/4,54/4,45</t>
  </si>
  <si>
    <t>040693</t>
  </si>
  <si>
    <t>4,73/4,59/4,56</t>
  </si>
  <si>
    <t>041133</t>
  </si>
  <si>
    <t>4,43/4,40/4,50</t>
  </si>
  <si>
    <t>041143</t>
  </si>
  <si>
    <t>4,65/4,51/4,63</t>
  </si>
  <si>
    <t>041153</t>
  </si>
  <si>
    <t>3,67/4,41/4,51</t>
  </si>
  <si>
    <t>050133</t>
  </si>
  <si>
    <t>PRODUKSI DI LT 1</t>
  </si>
  <si>
    <t>050143</t>
  </si>
  <si>
    <t>050153</t>
  </si>
  <si>
    <t>050223</t>
  </si>
  <si>
    <t>4,56/4,51/4,42</t>
  </si>
  <si>
    <t>050233</t>
  </si>
  <si>
    <t>4,76/4,42/4,47</t>
  </si>
  <si>
    <t>050243</t>
  </si>
  <si>
    <t>4,55/4,53/4,53</t>
  </si>
  <si>
    <t>050253</t>
  </si>
  <si>
    <t>4,76/4,46/4,45</t>
  </si>
  <si>
    <t>050263</t>
  </si>
  <si>
    <t>4,69/4,84/4,47</t>
  </si>
  <si>
    <t>050883</t>
  </si>
  <si>
    <t>4,54/4,85/4,50</t>
  </si>
  <si>
    <t>050893</t>
  </si>
  <si>
    <t>4,39/4,71/4,55</t>
  </si>
  <si>
    <t>050933</t>
  </si>
  <si>
    <t>4,64/4,76/4,64</t>
  </si>
  <si>
    <t>051263</t>
  </si>
  <si>
    <t>4,47/4,54/4,42</t>
  </si>
  <si>
    <t>051273</t>
  </si>
  <si>
    <t>4,64/4,44/4,54</t>
  </si>
  <si>
    <t>051283</t>
  </si>
  <si>
    <t>4,70/4,47/4,72</t>
  </si>
  <si>
    <t>051293</t>
  </si>
  <si>
    <t>4,52/4,45/4,51</t>
  </si>
  <si>
    <t>051313</t>
  </si>
  <si>
    <t>4,39/4,08/4,26</t>
  </si>
  <si>
    <t>051323</t>
  </si>
  <si>
    <t>4,33/4,38/4,46</t>
  </si>
  <si>
    <t>051753</t>
  </si>
  <si>
    <t>4,52/4,75/4,42</t>
  </si>
  <si>
    <t>051763</t>
  </si>
  <si>
    <t>4,57/4,77/4,78</t>
  </si>
  <si>
    <t>051773</t>
  </si>
  <si>
    <t>4,46/4,72/4,64</t>
  </si>
  <si>
    <t>051783</t>
  </si>
  <si>
    <t>4,49/4,49/4,71</t>
  </si>
  <si>
    <t>051793</t>
  </si>
  <si>
    <t>4,52/4,45/4,40</t>
  </si>
  <si>
    <t>051803</t>
  </si>
  <si>
    <t>4,59/4,84/4,67</t>
  </si>
  <si>
    <t>051813</t>
  </si>
  <si>
    <t>060123</t>
  </si>
  <si>
    <t>4,42/4,61/4,66</t>
  </si>
  <si>
    <t>060133</t>
  </si>
  <si>
    <t>4,69/4,47/4,41</t>
  </si>
  <si>
    <t>060143</t>
  </si>
  <si>
    <t>4,47/4,59/4,77</t>
  </si>
  <si>
    <t>060543</t>
  </si>
  <si>
    <t>4,66/4,43/4,72</t>
  </si>
  <si>
    <t>060553</t>
  </si>
  <si>
    <t>4,61/4,59/4,44</t>
  </si>
  <si>
    <t>060563</t>
  </si>
  <si>
    <t>4,81/4,41/4,75</t>
  </si>
  <si>
    <t>060573</t>
  </si>
  <si>
    <t>4,44/4,47/4,49</t>
  </si>
  <si>
    <t>060583</t>
  </si>
  <si>
    <t>4,72/4,66/4,77</t>
  </si>
  <si>
    <t>060593</t>
  </si>
  <si>
    <t>4,53/4,47/4,74</t>
  </si>
  <si>
    <t>060603</t>
  </si>
  <si>
    <t>4,69/4,80/4,69</t>
  </si>
  <si>
    <t>060613</t>
  </si>
  <si>
    <t>4,49/4,60/4,62</t>
  </si>
  <si>
    <t>060803</t>
  </si>
  <si>
    <t>4,44/4,58/4,61</t>
  </si>
  <si>
    <t>060813</t>
  </si>
  <si>
    <t>4,51/4,67/4,51</t>
  </si>
  <si>
    <t>060823</t>
  </si>
  <si>
    <t>4,65/4,74/4,75</t>
  </si>
  <si>
    <t>060093</t>
  </si>
  <si>
    <t>060103</t>
  </si>
  <si>
    <t>JALAN DI LT 1 UNTUK VALIDASI</t>
  </si>
  <si>
    <t>060113</t>
  </si>
  <si>
    <t>070073</t>
  </si>
  <si>
    <t>4,46/4,42/4,42</t>
  </si>
  <si>
    <t>070083</t>
  </si>
  <si>
    <t>4,86/4,52/4,50</t>
  </si>
  <si>
    <t>070093</t>
  </si>
  <si>
    <t>4,57/4,48/4,39</t>
  </si>
  <si>
    <t>070103</t>
  </si>
  <si>
    <t>4,75/4,60/4,45</t>
  </si>
  <si>
    <t>070113</t>
  </si>
  <si>
    <t>4,85/4,48/4,74</t>
  </si>
  <si>
    <t>070123</t>
  </si>
  <si>
    <t>4,43/4,80/4,76</t>
  </si>
  <si>
    <t>070133</t>
  </si>
  <si>
    <t>4,49/4,50/4,70</t>
  </si>
  <si>
    <t>070143</t>
  </si>
  <si>
    <t>4,78/4,49/4,59</t>
  </si>
  <si>
    <t>070173</t>
  </si>
  <si>
    <t>4,52/4,46/4,50</t>
  </si>
  <si>
    <t>070183</t>
  </si>
  <si>
    <t>4,62/4,59/4,64</t>
  </si>
  <si>
    <t>070193</t>
  </si>
  <si>
    <t>4,57/4,54/4,65</t>
  </si>
  <si>
    <t>070203</t>
  </si>
  <si>
    <t>4,67/4,49/4,69</t>
  </si>
  <si>
    <t>070213</t>
  </si>
  <si>
    <t>4,75/4,79/4,54</t>
  </si>
  <si>
    <t>070223</t>
  </si>
  <si>
    <t>4,41/4,59/4,47</t>
  </si>
  <si>
    <t>070233</t>
  </si>
  <si>
    <t>4,66/4,82/4,64</t>
  </si>
  <si>
    <t>070243</t>
  </si>
  <si>
    <t>4,80/4,45/4,72</t>
  </si>
  <si>
    <t>070253</t>
  </si>
  <si>
    <t>4,66/4,60/4,76</t>
  </si>
  <si>
    <t>071273</t>
  </si>
  <si>
    <t>4,83/4,63/4,86</t>
  </si>
  <si>
    <t>071283</t>
  </si>
  <si>
    <t>4,83/4,54/4,47</t>
  </si>
  <si>
    <t>071293</t>
  </si>
  <si>
    <t>4,42/4,49/4,59</t>
  </si>
  <si>
    <t>071303</t>
  </si>
  <si>
    <t>4,66/4,69/4,54</t>
  </si>
  <si>
    <t>071313</t>
  </si>
  <si>
    <t>4,80/4,64/4,66</t>
  </si>
  <si>
    <t>071323</t>
  </si>
  <si>
    <t>4,47/4,66/4,84</t>
  </si>
  <si>
    <t>071333</t>
  </si>
  <si>
    <t>4,82/4,85/4,50</t>
  </si>
  <si>
    <t>071343</t>
  </si>
  <si>
    <t>4,49/4,67/4,55</t>
  </si>
  <si>
    <t>071353</t>
  </si>
  <si>
    <t>4,65/4,59/4,81</t>
  </si>
  <si>
    <t>071363</t>
  </si>
  <si>
    <t>4,52/4,50/4,84</t>
  </si>
  <si>
    <t>071373</t>
  </si>
  <si>
    <t>4,77/4,42/4,69</t>
  </si>
  <si>
    <t>071383</t>
  </si>
  <si>
    <t>4,42/4,52/4,47</t>
  </si>
  <si>
    <t>BODREX EXTRA/KAP 4'S BLS ( SABA 1)</t>
  </si>
  <si>
    <t>072703</t>
  </si>
  <si>
    <t>BODREX EXTRA/KAP 4'S BLS (SABA 2)</t>
  </si>
  <si>
    <t>072713</t>
  </si>
  <si>
    <t>BODREX EXTRA/KAP 4'S BLS ( SABA 3)</t>
  </si>
  <si>
    <t>072723</t>
  </si>
  <si>
    <t>080083</t>
  </si>
  <si>
    <t>4,51/4,42/4,40</t>
  </si>
  <si>
    <t>080093</t>
  </si>
  <si>
    <t>4,77/4,67/4,44</t>
  </si>
  <si>
    <t>080103</t>
  </si>
  <si>
    <t>4,41/4,48/4,77</t>
  </si>
  <si>
    <t>080113</t>
  </si>
  <si>
    <t>4,59/4,43/4,67</t>
  </si>
  <si>
    <t>080123</t>
  </si>
  <si>
    <t>4,75/4,63/4,46</t>
  </si>
  <si>
    <t>080133</t>
  </si>
  <si>
    <t>4,49/4,45/4,57</t>
  </si>
  <si>
    <t>080143</t>
  </si>
  <si>
    <t>4,42/4,44/4,61</t>
  </si>
  <si>
    <t>080153</t>
  </si>
  <si>
    <t>4,51/4,58/4,71</t>
  </si>
  <si>
    <t>080163</t>
  </si>
  <si>
    <t>4,59/4,68/4,46</t>
  </si>
  <si>
    <t>080543</t>
  </si>
  <si>
    <t>4,46/4,69/4,60</t>
  </si>
  <si>
    <t>080553</t>
  </si>
  <si>
    <t>4,46/4,53/4,54</t>
  </si>
  <si>
    <t>080653</t>
  </si>
  <si>
    <t>4,48/4,45/4,75</t>
  </si>
  <si>
    <t>080663</t>
  </si>
  <si>
    <t>4,49/4,79/4,62</t>
  </si>
  <si>
    <t>082303</t>
  </si>
  <si>
    <t>4,50/4,67/4,59</t>
  </si>
  <si>
    <t>082313</t>
  </si>
  <si>
    <t>4,70/4,79/4,52</t>
  </si>
  <si>
    <t>082323</t>
  </si>
  <si>
    <t>4,63/4,69/4,46</t>
  </si>
  <si>
    <t>082333</t>
  </si>
  <si>
    <t>4,39/4,39/4,79</t>
  </si>
  <si>
    <t>082343</t>
  </si>
  <si>
    <t>4,72/4,47/4,72</t>
  </si>
  <si>
    <t>082353</t>
  </si>
  <si>
    <t>4,65/4,86/4,76</t>
  </si>
  <si>
    <t>082363</t>
  </si>
  <si>
    <t>4,82/4,4/4,72</t>
  </si>
  <si>
    <t>082373</t>
  </si>
  <si>
    <t>4,46/4,62/4,67</t>
  </si>
  <si>
    <t>082383</t>
  </si>
  <si>
    <t>4,79/4,61/4,67</t>
  </si>
  <si>
    <t>082393</t>
  </si>
  <si>
    <t>4,64/4,61/4,46</t>
  </si>
  <si>
    <t>082403</t>
  </si>
  <si>
    <t>4,60/4,57/4,47</t>
  </si>
  <si>
    <t>082413</t>
  </si>
  <si>
    <t>4,74/4,66/4,74</t>
  </si>
  <si>
    <t>082423</t>
  </si>
  <si>
    <t>4,85/4,49/4,42</t>
  </si>
  <si>
    <t>083133</t>
  </si>
  <si>
    <t>4,45/4,49/4,63</t>
  </si>
  <si>
    <t>083143</t>
  </si>
  <si>
    <t>4,50/4,65/4,77</t>
  </si>
  <si>
    <t>083153</t>
  </si>
  <si>
    <t>4,60/4,64/4,56</t>
  </si>
  <si>
    <t>083163</t>
  </si>
  <si>
    <t>4,85/4,47/4,40</t>
  </si>
  <si>
    <t>083173</t>
  </si>
  <si>
    <t>4,85/4,44/4,67</t>
  </si>
  <si>
    <t>083183</t>
  </si>
  <si>
    <t>4,52/4,46/4,49</t>
  </si>
  <si>
    <t>083193</t>
  </si>
  <si>
    <t>4,79/4,44/4,40</t>
  </si>
  <si>
    <t>083203</t>
  </si>
  <si>
    <t>083213</t>
  </si>
  <si>
    <t>4,41/4,77/4,64</t>
  </si>
  <si>
    <t>083223</t>
  </si>
  <si>
    <t>4,85/4,77/4,55</t>
  </si>
  <si>
    <t>083233</t>
  </si>
  <si>
    <t>4,44/4,55/4,61</t>
  </si>
  <si>
    <t>083243</t>
  </si>
  <si>
    <t>4,52/4,5/4,47</t>
  </si>
  <si>
    <t>083253</t>
  </si>
  <si>
    <t>4,88/4,69/4,70</t>
  </si>
  <si>
    <t>090843</t>
  </si>
  <si>
    <t>4,73/4,66/4,49</t>
  </si>
  <si>
    <t>090853</t>
  </si>
  <si>
    <t>4,47/4,49/4,41</t>
  </si>
  <si>
    <t>090863</t>
  </si>
  <si>
    <t>4,41/4,83/4,45</t>
  </si>
  <si>
    <t>090873</t>
  </si>
  <si>
    <t>4,47/4,81/4,49</t>
  </si>
  <si>
    <t>090883</t>
  </si>
  <si>
    <t>4,81/4,83/4,41</t>
  </si>
  <si>
    <t>090893</t>
  </si>
  <si>
    <t>4,54/4,82/4,77</t>
  </si>
  <si>
    <t>090903</t>
  </si>
  <si>
    <t>4,74/4,48/4,81</t>
  </si>
  <si>
    <t>091513</t>
  </si>
  <si>
    <t>4,47/4,58/4,67</t>
  </si>
  <si>
    <t>091523</t>
  </si>
  <si>
    <t>4,45/4,55/4,53</t>
  </si>
  <si>
    <t>091533</t>
  </si>
  <si>
    <t>4,51/4,73/4,51</t>
  </si>
  <si>
    <t>091543</t>
  </si>
  <si>
    <t>4,47/4,57/4,41</t>
  </si>
  <si>
    <t>091553</t>
  </si>
  <si>
    <t>4,58/4,41/4,57</t>
  </si>
  <si>
    <t>092103</t>
  </si>
  <si>
    <t>4,60/4,49/4,53</t>
  </si>
  <si>
    <t>092113</t>
  </si>
  <si>
    <t>4,53/4,55/4,60</t>
  </si>
  <si>
    <t>092123</t>
  </si>
  <si>
    <t>4,59/4,49/4,76</t>
  </si>
  <si>
    <t>092133</t>
  </si>
  <si>
    <t>4,54/4,50/4,50</t>
  </si>
  <si>
    <t>092143</t>
  </si>
  <si>
    <t>4,44/4,52/4,71</t>
  </si>
  <si>
    <t>092153</t>
  </si>
  <si>
    <t>4,54/4,51/4,51</t>
  </si>
  <si>
    <t>092163</t>
  </si>
  <si>
    <t>4,66/4,55/4,81</t>
  </si>
  <si>
    <t>092173</t>
  </si>
  <si>
    <t>4,76/4,57/4,69</t>
  </si>
  <si>
    <t>092183</t>
  </si>
  <si>
    <t>4,42/4,52/4,52</t>
  </si>
  <si>
    <t>092593</t>
  </si>
  <si>
    <t>4,48/4,67/4,61</t>
  </si>
  <si>
    <t>092603</t>
  </si>
  <si>
    <t>4,67/4,41/4,82</t>
  </si>
  <si>
    <t>092613</t>
  </si>
  <si>
    <t>4,79/4,61/4,77</t>
  </si>
  <si>
    <t>092623</t>
  </si>
  <si>
    <t>4,79/4,40/4,77</t>
  </si>
  <si>
    <t>4,61/4,67/4,59</t>
  </si>
  <si>
    <t>4,63/4,73/4,44</t>
  </si>
  <si>
    <t>4,57/4,62/4,71</t>
  </si>
  <si>
    <t>4,49/4,57/4,75</t>
  </si>
  <si>
    <t>4,4/4,5/4,69</t>
  </si>
  <si>
    <t>4,54/4,57/4,62</t>
  </si>
  <si>
    <t>4,8/4,64/4,48</t>
  </si>
  <si>
    <t>4,56/4,46/4,42</t>
  </si>
  <si>
    <t>4,70/4,77/4,60</t>
  </si>
  <si>
    <t>4,57/4,43/4,63</t>
  </si>
  <si>
    <t>4,42/4,40/4,54</t>
  </si>
  <si>
    <t>4,47/4,65/4,57</t>
  </si>
  <si>
    <t>4,54/4,79/4,65</t>
  </si>
  <si>
    <t>4,72/4,67/4,42</t>
  </si>
  <si>
    <t>4,42/4,50/4,42</t>
  </si>
  <si>
    <t>4,52/4,74/4,61</t>
  </si>
  <si>
    <t>4,52/4,77/4,41</t>
  </si>
  <si>
    <t>4,70/4,67/4,67</t>
  </si>
  <si>
    <t>4,67/4,67/4,67</t>
  </si>
  <si>
    <t>4,46/4,65/4,55</t>
  </si>
  <si>
    <t>4,42/4,47/4,65</t>
  </si>
  <si>
    <t>4,44/4,50/4,62</t>
  </si>
  <si>
    <t>4,45/4,66/4,60</t>
  </si>
  <si>
    <t>4,67/4,45/4,72</t>
  </si>
  <si>
    <t>4,62/4,72/4,67</t>
  </si>
  <si>
    <t>4,74/4,65/4,54</t>
  </si>
  <si>
    <t>4,69/4,62/4,50</t>
  </si>
  <si>
    <t>4,73/4,69/4,42</t>
  </si>
  <si>
    <t>4,62/4,65/4,64</t>
  </si>
  <si>
    <t>4,44/4,57/4,62</t>
  </si>
  <si>
    <t>4,58/4,52/4,70</t>
  </si>
  <si>
    <t>4,49/4,54/4,63</t>
  </si>
  <si>
    <t>4,52/4,44/4,61</t>
  </si>
  <si>
    <t>4,57/4,41/4,43</t>
  </si>
  <si>
    <t>CB3-LT1</t>
  </si>
  <si>
    <t>4,78/4,53/4,65</t>
  </si>
  <si>
    <t>CK2 LT1</t>
  </si>
  <si>
    <t>4,61/4,73/4,55</t>
  </si>
  <si>
    <t>4,61/4,65/4,56</t>
  </si>
  <si>
    <t>CK1-LT1</t>
  </si>
  <si>
    <t>CB2-LT1</t>
  </si>
  <si>
    <t>4,77/4,8/4,7</t>
  </si>
  <si>
    <t>4,52/4,64/4,77</t>
  </si>
  <si>
    <t>4,76/4,77/4,42</t>
  </si>
  <si>
    <t>CK3- LT1</t>
  </si>
  <si>
    <t>4,44/4,77/4,67</t>
  </si>
  <si>
    <t>4,75/4,54/4,62</t>
  </si>
  <si>
    <t>4,8/4,69/4,66</t>
  </si>
  <si>
    <t>4,75/4,63/4,57</t>
  </si>
  <si>
    <t>4,45/4,73/4,68</t>
  </si>
  <si>
    <t>4,52/4,4/4,45</t>
  </si>
  <si>
    <t>4,56/4,51/4,54</t>
  </si>
  <si>
    <t>4,42/4,51/4,45</t>
  </si>
  <si>
    <t>4,74/4,72/4,62</t>
  </si>
  <si>
    <t>4,62/4,77/4,63</t>
  </si>
  <si>
    <t>4,77/4,73/4,52</t>
  </si>
  <si>
    <t>4,77/4,40/4,65</t>
  </si>
  <si>
    <t>4,59/4,64/4,80</t>
  </si>
  <si>
    <t>4,77/4,54/4,54</t>
  </si>
  <si>
    <t>4,47/4,54/4,72</t>
  </si>
  <si>
    <t>4,47/4,57/4,72</t>
  </si>
  <si>
    <t>4,61/4,49/4,52</t>
  </si>
  <si>
    <t>4,40/4,75/4,66</t>
  </si>
  <si>
    <t>4,45/4,49/4,50</t>
  </si>
  <si>
    <t>BTRA 2024</t>
  </si>
  <si>
    <t>JANUARI 2024</t>
  </si>
  <si>
    <t>010254</t>
  </si>
  <si>
    <t>FEBRUARI 2024</t>
  </si>
  <si>
    <t>MARET  2024</t>
  </si>
  <si>
    <t>APRIL  2024</t>
  </si>
  <si>
    <t>MEI  2024</t>
  </si>
  <si>
    <t>JUNI  2024</t>
  </si>
  <si>
    <t>JULI  2024</t>
  </si>
  <si>
    <t>AGUSTUS 2024</t>
  </si>
  <si>
    <t>11.09.2024</t>
  </si>
  <si>
    <t>18.09.2024</t>
  </si>
  <si>
    <t>BLS</t>
  </si>
  <si>
    <t>REL  PRC  BASC BCRQ GMPS ILAS MACM SETC</t>
  </si>
  <si>
    <t>TSPCWGSFSPV</t>
  </si>
  <si>
    <t>10.09.2024</t>
  </si>
  <si>
    <t>04.10.2024</t>
  </si>
  <si>
    <t>11.10.2024</t>
  </si>
  <si>
    <t>CRTD PRC  BASC BCRQ MACM SETC</t>
  </si>
  <si>
    <t>020622</t>
  </si>
  <si>
    <t>200097218</t>
  </si>
  <si>
    <t>Februari</t>
  </si>
  <si>
    <t>200097219</t>
  </si>
  <si>
    <t>030362</t>
  </si>
  <si>
    <t>3,4/3,32</t>
  </si>
  <si>
    <t>200097220</t>
  </si>
  <si>
    <t>030372</t>
  </si>
  <si>
    <t>3,35/3,19</t>
  </si>
  <si>
    <t>200097221</t>
  </si>
  <si>
    <t>030382</t>
  </si>
  <si>
    <t>3,37/3,09</t>
  </si>
  <si>
    <t>200097640</t>
  </si>
  <si>
    <t>040882</t>
  </si>
  <si>
    <t>3,27/3,14</t>
  </si>
  <si>
    <t>200097641</t>
  </si>
  <si>
    <t>040892</t>
  </si>
  <si>
    <t>3,17/3,43</t>
  </si>
  <si>
    <t>200097914</t>
  </si>
  <si>
    <t>050582</t>
  </si>
  <si>
    <t>3,17/3,44</t>
  </si>
  <si>
    <t>200097915</t>
  </si>
  <si>
    <t>050592</t>
  </si>
  <si>
    <t>3,04/3,41</t>
  </si>
  <si>
    <t>200098004</t>
  </si>
  <si>
    <t>051292</t>
  </si>
  <si>
    <t>3,05/3,14</t>
  </si>
  <si>
    <t>200098240</t>
  </si>
  <si>
    <t>061122</t>
  </si>
  <si>
    <t>3,28/3,19</t>
  </si>
  <si>
    <t>Mei</t>
  </si>
  <si>
    <t>200098241</t>
  </si>
  <si>
    <t>061132</t>
  </si>
  <si>
    <t>3,04/3,04</t>
  </si>
  <si>
    <t>200098242</t>
  </si>
  <si>
    <t>061142</t>
  </si>
  <si>
    <t>3,11/3,06</t>
  </si>
  <si>
    <t>200098243</t>
  </si>
  <si>
    <t>061152</t>
  </si>
  <si>
    <t>3,15/3,43</t>
  </si>
  <si>
    <t>200098368</t>
  </si>
  <si>
    <t>070712</t>
  </si>
  <si>
    <t>Juni</t>
  </si>
  <si>
    <t>3,29/3,22</t>
  </si>
  <si>
    <t>200098370</t>
  </si>
  <si>
    <t>070722</t>
  </si>
  <si>
    <t>3,14/3,06</t>
  </si>
  <si>
    <t>200098371</t>
  </si>
  <si>
    <t>070732</t>
  </si>
  <si>
    <t>3,27/3,69</t>
  </si>
  <si>
    <t>3,1/3,12</t>
  </si>
  <si>
    <t>100682</t>
  </si>
  <si>
    <t>100692</t>
  </si>
  <si>
    <t>3,44/3,04</t>
  </si>
  <si>
    <t>3,22/3,44</t>
  </si>
  <si>
    <t>3,29/3,45</t>
  </si>
  <si>
    <t>3,22/3,41</t>
  </si>
  <si>
    <t>3,15/3,36</t>
  </si>
  <si>
    <t>3,32/3,45</t>
  </si>
  <si>
    <t>3,19/3,45</t>
  </si>
  <si>
    <t>O</t>
  </si>
  <si>
    <t>H</t>
  </si>
  <si>
    <t>011193</t>
  </si>
  <si>
    <t>3,18/3,35</t>
  </si>
  <si>
    <t>011203</t>
  </si>
  <si>
    <t>3,48/3,40</t>
  </si>
  <si>
    <t>011213</t>
  </si>
  <si>
    <t>3,29/3,00</t>
  </si>
  <si>
    <t>020433</t>
  </si>
  <si>
    <t>3,05/3,27</t>
  </si>
  <si>
    <t>020443</t>
  </si>
  <si>
    <t>3,06/3,17</t>
  </si>
  <si>
    <t>020453</t>
  </si>
  <si>
    <t>3,09/3,24</t>
  </si>
  <si>
    <t>031263</t>
  </si>
  <si>
    <t>3,01/3,42</t>
  </si>
  <si>
    <t>031273</t>
  </si>
  <si>
    <t>3,47/3,12</t>
  </si>
  <si>
    <t>031283</t>
  </si>
  <si>
    <t>3,05/3,04</t>
  </si>
  <si>
    <t>3,47/3,28</t>
  </si>
  <si>
    <t>050853</t>
  </si>
  <si>
    <t>3,25/3,30</t>
  </si>
  <si>
    <t>050863</t>
  </si>
  <si>
    <t>3,10/3,47</t>
  </si>
  <si>
    <t xml:space="preserve">JUNI </t>
  </si>
  <si>
    <t>061063</t>
  </si>
  <si>
    <t>3,23/3,45</t>
  </si>
  <si>
    <t>061073</t>
  </si>
  <si>
    <t>3,39/3,32</t>
  </si>
  <si>
    <t>070153</t>
  </si>
  <si>
    <t>3,28/3,13</t>
  </si>
  <si>
    <t>080673</t>
  </si>
  <si>
    <t>3,09/3,49</t>
  </si>
  <si>
    <t>080683</t>
  </si>
  <si>
    <t>3,2/3,38</t>
  </si>
  <si>
    <t>080693</t>
  </si>
  <si>
    <t>3,11/3,44</t>
  </si>
  <si>
    <t>BODREX FLU&amp;BTK BDHK PE/KAP 4'S BLS (Saba 1)</t>
  </si>
  <si>
    <t>090833</t>
  </si>
  <si>
    <t>BODREX FLU&amp;BTK BDHK PE/KAP 4'S BLS ( Saba 2)</t>
  </si>
  <si>
    <t>092503</t>
  </si>
  <si>
    <t>3,36/3,12</t>
  </si>
  <si>
    <t>BODREX FLU&amp;BTK BDHK PE/KAP 4'S BLS(Saba 3)</t>
  </si>
  <si>
    <t>092513</t>
  </si>
  <si>
    <t>3,07/3,20</t>
  </si>
  <si>
    <t>BFDP/GG (Saba 1)</t>
  </si>
  <si>
    <t>BFDP/GG (Saba 2)</t>
  </si>
  <si>
    <t>BFDP/GG (Saba 3)</t>
  </si>
  <si>
    <t>3,1/3,4</t>
  </si>
  <si>
    <t>3,1/3,04</t>
  </si>
  <si>
    <t>3,04/3,38</t>
  </si>
  <si>
    <t>3,22/3,28</t>
  </si>
  <si>
    <t>3,34/3,22</t>
  </si>
  <si>
    <t>3,34/3,40</t>
  </si>
  <si>
    <t>MARET 2024</t>
  </si>
  <si>
    <t>MEI 2024</t>
  </si>
  <si>
    <t>JUNI 2024</t>
  </si>
  <si>
    <t>050594</t>
  </si>
  <si>
    <t>050604</t>
  </si>
  <si>
    <t>JULI 2024</t>
  </si>
  <si>
    <t>(-) ck lapis hijau</t>
  </si>
  <si>
    <t xml:space="preserve">SEPTEMBER </t>
  </si>
  <si>
    <t>BODREX FLU&amp;BTK PE/KAP 4'S BLS</t>
  </si>
  <si>
    <t>200096635</t>
  </si>
  <si>
    <t>011212</t>
  </si>
  <si>
    <t>200096636</t>
  </si>
  <si>
    <t>011222</t>
  </si>
  <si>
    <t>Januari</t>
  </si>
  <si>
    <t>200096637</t>
  </si>
  <si>
    <t>011232</t>
  </si>
  <si>
    <t>200096638</t>
  </si>
  <si>
    <t>011242</t>
  </si>
  <si>
    <t>200096715</t>
  </si>
  <si>
    <t>020182</t>
  </si>
  <si>
    <t>4,89/5,11</t>
  </si>
  <si>
    <t>200096716</t>
  </si>
  <si>
    <t>020192</t>
  </si>
  <si>
    <t>4,56/5,71</t>
  </si>
  <si>
    <t>200096717</t>
  </si>
  <si>
    <t>020202</t>
  </si>
  <si>
    <t>3,35/3,32/3,45/3,11</t>
  </si>
  <si>
    <t>5,04/4,74</t>
  </si>
  <si>
    <t>200096718</t>
  </si>
  <si>
    <t>020212</t>
  </si>
  <si>
    <t>4,99/4,72</t>
  </si>
  <si>
    <t>200096719</t>
  </si>
  <si>
    <t>020222</t>
  </si>
  <si>
    <t>3,54/3,47/3,32/3,35</t>
  </si>
  <si>
    <t>4,99/4,90</t>
  </si>
  <si>
    <t>200096880</t>
  </si>
  <si>
    <t>020232</t>
  </si>
  <si>
    <t>4,96/4,72</t>
  </si>
  <si>
    <t>200096947</t>
  </si>
  <si>
    <t>020562</t>
  </si>
  <si>
    <t>3,45/3,52/3,35/3,27</t>
  </si>
  <si>
    <t>4,95/4,87</t>
  </si>
  <si>
    <t>200096948</t>
  </si>
  <si>
    <t>020572</t>
  </si>
  <si>
    <t>3,52/3,47/3,14/3,17</t>
  </si>
  <si>
    <t>4,97/4,73</t>
  </si>
  <si>
    <t>200096949</t>
  </si>
  <si>
    <t>020582</t>
  </si>
  <si>
    <t>3,41/3,52/3,40/3,15</t>
  </si>
  <si>
    <t>4,97/4,93</t>
  </si>
  <si>
    <t>200097055</t>
  </si>
  <si>
    <t>021252</t>
  </si>
  <si>
    <t>3,493,26/3,17/3,36</t>
  </si>
  <si>
    <t>4,68/5,09</t>
  </si>
  <si>
    <t>200097056</t>
  </si>
  <si>
    <t>021262</t>
  </si>
  <si>
    <t>3,57/3,50/3,42/3,42</t>
  </si>
  <si>
    <t>4,88/4,86</t>
  </si>
  <si>
    <t>200097205</t>
  </si>
  <si>
    <t>030212</t>
  </si>
  <si>
    <t>200097206</t>
  </si>
  <si>
    <t>030222</t>
  </si>
  <si>
    <t>200097207</t>
  </si>
  <si>
    <t>030232</t>
  </si>
  <si>
    <t>3,39/3,48/3,47/3,16</t>
  </si>
  <si>
    <t>4,85/5,08</t>
  </si>
  <si>
    <t>200097208</t>
  </si>
  <si>
    <t>030242</t>
  </si>
  <si>
    <t>5,05/5,02</t>
  </si>
  <si>
    <t>200097209</t>
  </si>
  <si>
    <t>030252</t>
  </si>
  <si>
    <t>4,7/4,58</t>
  </si>
  <si>
    <t>200097230</t>
  </si>
  <si>
    <t>030622</t>
  </si>
  <si>
    <t>3,22/3,57/3,42/3,17</t>
  </si>
  <si>
    <t>200097227</t>
  </si>
  <si>
    <t>030632</t>
  </si>
  <si>
    <t>200097228</t>
  </si>
  <si>
    <t>030642</t>
  </si>
  <si>
    <t>3,22/3,22/3,27/3,57</t>
  </si>
  <si>
    <t>4,77/5,13</t>
  </si>
  <si>
    <t>200097229</t>
  </si>
  <si>
    <t>030652</t>
  </si>
  <si>
    <t>3,55/3,23/3,44/3,51</t>
  </si>
  <si>
    <t>4,53/4,77/4,54</t>
  </si>
  <si>
    <t>030662</t>
  </si>
  <si>
    <t>3,54/3,50/3,17/3,26</t>
  </si>
  <si>
    <t>4,74/4,81</t>
  </si>
  <si>
    <t>200097304</t>
  </si>
  <si>
    <t>031532</t>
  </si>
  <si>
    <t>3,13/3,15/3,47/3,50</t>
  </si>
  <si>
    <t>5,16/4,80</t>
  </si>
  <si>
    <t>5,27/4,62</t>
  </si>
  <si>
    <t>200097489</t>
  </si>
  <si>
    <t>040162</t>
  </si>
  <si>
    <t>Maret</t>
  </si>
  <si>
    <t>4,74/4,92</t>
  </si>
  <si>
    <t>200097490</t>
  </si>
  <si>
    <t>040172</t>
  </si>
  <si>
    <t>4,87/4,84</t>
  </si>
  <si>
    <t>4,76/4,94</t>
  </si>
  <si>
    <t>200097491</t>
  </si>
  <si>
    <t>040182</t>
  </si>
  <si>
    <t>5,15/5,06</t>
  </si>
  <si>
    <t>5,08/4,84</t>
  </si>
  <si>
    <t>200097492</t>
  </si>
  <si>
    <t>040192</t>
  </si>
  <si>
    <t>3,30/3,38/3,50/3,30</t>
  </si>
  <si>
    <t>4,60/5,25</t>
  </si>
  <si>
    <t>200097493</t>
  </si>
  <si>
    <t>040202</t>
  </si>
  <si>
    <t>3,30/3,39/3,34/3,49</t>
  </si>
  <si>
    <t>4,97/4,85</t>
  </si>
  <si>
    <t>5,12/4,69</t>
  </si>
  <si>
    <t>200097275</t>
  </si>
  <si>
    <t>040562</t>
  </si>
  <si>
    <t>4,8/4,93</t>
  </si>
  <si>
    <t>4,81/5,04</t>
  </si>
  <si>
    <t>200097276</t>
  </si>
  <si>
    <t>040572</t>
  </si>
  <si>
    <t>3,14/3,22/3,32/3,22</t>
  </si>
  <si>
    <t>4,76/4,92</t>
  </si>
  <si>
    <t>4,84/4,87</t>
  </si>
  <si>
    <t>200097277</t>
  </si>
  <si>
    <t>040582</t>
  </si>
  <si>
    <t>3,37/3,52/3,42/3,57</t>
  </si>
  <si>
    <t>4,98/5,05</t>
  </si>
  <si>
    <t>4,74/4,50</t>
  </si>
  <si>
    <t>200097684</t>
  </si>
  <si>
    <t>041392</t>
  </si>
  <si>
    <t>3,48/3,49/3,55/3,39</t>
  </si>
  <si>
    <t>4,82/5,12</t>
  </si>
  <si>
    <t>4,69/5,02</t>
  </si>
  <si>
    <t>200097685</t>
  </si>
  <si>
    <t>041402</t>
  </si>
  <si>
    <t>3,54/3,32/3,51/3,54</t>
  </si>
  <si>
    <t>4,82/5,10</t>
  </si>
  <si>
    <t>4,75/5,06</t>
  </si>
  <si>
    <t>200097686</t>
  </si>
  <si>
    <t>041412</t>
  </si>
  <si>
    <t>3,44/3,27/3,29/3,30</t>
  </si>
  <si>
    <t>4,62/5,11</t>
  </si>
  <si>
    <t>4,90/4,96</t>
  </si>
  <si>
    <t>200097687</t>
  </si>
  <si>
    <t>041422</t>
  </si>
  <si>
    <t>3,23/3,44/3,43/3,32</t>
  </si>
  <si>
    <t>5,14/5,11</t>
  </si>
  <si>
    <t>5,11/5,28</t>
  </si>
  <si>
    <t>200097688</t>
  </si>
  <si>
    <t>041432</t>
  </si>
  <si>
    <t>3,50/3,52/3,47/3,41</t>
  </si>
  <si>
    <t>4,70/4,82</t>
  </si>
  <si>
    <t>4,87/5,19</t>
  </si>
  <si>
    <t>200097689</t>
  </si>
  <si>
    <t>041442</t>
  </si>
  <si>
    <t>3,36/3,22/3,49/3,17</t>
  </si>
  <si>
    <t>4,82/5,15</t>
  </si>
  <si>
    <t>4,87/5,01</t>
  </si>
  <si>
    <t>200097690</t>
  </si>
  <si>
    <t>041452</t>
  </si>
  <si>
    <t>3,14/3,53/3,52/3,54</t>
  </si>
  <si>
    <t>5,07/5,05</t>
  </si>
  <si>
    <t>5,09/4,94</t>
  </si>
  <si>
    <t>200097824</t>
  </si>
  <si>
    <t>042292</t>
  </si>
  <si>
    <t>3,47/3,53/3,25/3,52</t>
  </si>
  <si>
    <t>4,87/5,02</t>
  </si>
  <si>
    <t>4,97/4,92</t>
  </si>
  <si>
    <t>200097825</t>
  </si>
  <si>
    <t>042302</t>
  </si>
  <si>
    <t>3,52/3,42/3,54/3,17</t>
  </si>
  <si>
    <t>4,95/4,95</t>
  </si>
  <si>
    <t>4,92/4,97</t>
  </si>
  <si>
    <t>200097826</t>
  </si>
  <si>
    <t>042312</t>
  </si>
  <si>
    <t>3,46/3,16/3,54/3,55</t>
  </si>
  <si>
    <t>4,94/5,,03</t>
  </si>
  <si>
    <t>4,98/5,23</t>
  </si>
  <si>
    <t>200097827</t>
  </si>
  <si>
    <t>042322</t>
  </si>
  <si>
    <t>3,31/3,15/3,34/3,51</t>
  </si>
  <si>
    <t>5,15/5,09</t>
  </si>
  <si>
    <t>4,84/4,60</t>
  </si>
  <si>
    <t>200097752</t>
  </si>
  <si>
    <t>042562</t>
  </si>
  <si>
    <t>3,34/3,36/3,49/3,24</t>
  </si>
  <si>
    <t>5,12/4,94</t>
  </si>
  <si>
    <t>4,92/4,64</t>
  </si>
  <si>
    <t>200097753</t>
  </si>
  <si>
    <t>042572</t>
  </si>
  <si>
    <t>3,19/3,31/3,24/3,56</t>
  </si>
  <si>
    <t>4,82/5,11</t>
  </si>
  <si>
    <t>200097907</t>
  </si>
  <si>
    <t>050502</t>
  </si>
  <si>
    <t>3,17/3,46/3,19/3,52</t>
  </si>
  <si>
    <t>4,97/4,87</t>
  </si>
  <si>
    <t>4,76/4,71</t>
  </si>
  <si>
    <t>200097908</t>
  </si>
  <si>
    <t>050512</t>
  </si>
  <si>
    <t>3,42/3,22/3,45/3,35</t>
  </si>
  <si>
    <t>5,03/4,75</t>
  </si>
  <si>
    <t>4,99/5,32</t>
  </si>
  <si>
    <t>200097909</t>
  </si>
  <si>
    <t>050522</t>
  </si>
  <si>
    <t>3,19/3,25/3,17/3,55</t>
  </si>
  <si>
    <t>5,09/5,06</t>
  </si>
  <si>
    <t>5,3/5,12</t>
  </si>
  <si>
    <t>200097910</t>
  </si>
  <si>
    <t>050532</t>
  </si>
  <si>
    <t>3,35/3,40/3,45/3,22</t>
  </si>
  <si>
    <t>4,88/4,99</t>
  </si>
  <si>
    <t>5,15/5,37</t>
  </si>
  <si>
    <t>200097911</t>
  </si>
  <si>
    <t>050542</t>
  </si>
  <si>
    <t>3,50/3,17/3,32/3,12</t>
  </si>
  <si>
    <t>5,10/4,91</t>
  </si>
  <si>
    <t>4,87/5,24</t>
  </si>
  <si>
    <t>200097912</t>
  </si>
  <si>
    <t>050552</t>
  </si>
  <si>
    <t>3,20/3,25/3,30/3,52</t>
  </si>
  <si>
    <t>4,84/4,94</t>
  </si>
  <si>
    <t>4,74/4,05</t>
  </si>
  <si>
    <t>200097893</t>
  </si>
  <si>
    <t>050602</t>
  </si>
  <si>
    <t>3,22/3,55/3,22/3,20</t>
  </si>
  <si>
    <t>4,91/4,89</t>
  </si>
  <si>
    <t>4,84/4,77</t>
  </si>
  <si>
    <t>200097894</t>
  </si>
  <si>
    <t>050612</t>
  </si>
  <si>
    <t>3,10/3,14/3,37/3,25</t>
  </si>
  <si>
    <t>5,08/5,11</t>
  </si>
  <si>
    <t>5,06/5,14</t>
  </si>
  <si>
    <t>200097975</t>
  </si>
  <si>
    <t>050962</t>
  </si>
  <si>
    <t>3,23/3,20/3,09/3,42</t>
  </si>
  <si>
    <t>5,14/4,84</t>
  </si>
  <si>
    <t>5,11/5,15</t>
  </si>
  <si>
    <t>200097976</t>
  </si>
  <si>
    <t>050972</t>
  </si>
  <si>
    <t>3,12/3,50/3,49/3,47</t>
  </si>
  <si>
    <t>4,84/4,92</t>
  </si>
  <si>
    <t>200097977</t>
  </si>
  <si>
    <t>050982</t>
  </si>
  <si>
    <t>3,50/3,32/3,47/3,24</t>
  </si>
  <si>
    <t>4,83/5</t>
  </si>
  <si>
    <t>200097978</t>
  </si>
  <si>
    <t>050992</t>
  </si>
  <si>
    <t>3,39/3,29/3,49/3,47</t>
  </si>
  <si>
    <t>4,90/4,82</t>
  </si>
  <si>
    <t>4,92/4,69</t>
  </si>
  <si>
    <t>200097979</t>
  </si>
  <si>
    <t>051002</t>
  </si>
  <si>
    <t>3,24/3,19/3,50/3,18</t>
  </si>
  <si>
    <t>4,98/5,12</t>
  </si>
  <si>
    <t>4,73/5,11</t>
  </si>
  <si>
    <t>200097980</t>
  </si>
  <si>
    <t>051012</t>
  </si>
  <si>
    <t>3,25/3,30/3,53/3,51</t>
  </si>
  <si>
    <t>5,15/4,97</t>
  </si>
  <si>
    <t>5/4,73</t>
  </si>
  <si>
    <t>200097981</t>
  </si>
  <si>
    <t>051022</t>
  </si>
  <si>
    <t>3,48/3,35/3,40/3,38</t>
  </si>
  <si>
    <t>5,16/5,05</t>
  </si>
  <si>
    <t>200097933</t>
  </si>
  <si>
    <t>051712</t>
  </si>
  <si>
    <t>3,37/3,37/3,52/3,55</t>
  </si>
  <si>
    <t>4,82/5,13</t>
  </si>
  <si>
    <t>4,93/5,13</t>
  </si>
  <si>
    <t>200097934</t>
  </si>
  <si>
    <t>051722</t>
  </si>
  <si>
    <t>3,44/3,59/3,13/3,33</t>
  </si>
  <si>
    <t>4,71/5,16</t>
  </si>
  <si>
    <t>5,11/5,19</t>
  </si>
  <si>
    <t>200098184</t>
  </si>
  <si>
    <t>060712</t>
  </si>
  <si>
    <t>3,54/3,24/3,47</t>
  </si>
  <si>
    <t>4,86/4,88</t>
  </si>
  <si>
    <t>4,84/4,72</t>
  </si>
  <si>
    <t>200098185</t>
  </si>
  <si>
    <t>060722</t>
  </si>
  <si>
    <t>3,55/3,28/3,27/3,55</t>
  </si>
  <si>
    <t>4,90/4,75</t>
  </si>
  <si>
    <t>4,70/4,76</t>
  </si>
  <si>
    <t>200098244</t>
  </si>
  <si>
    <t>061162</t>
  </si>
  <si>
    <t>3,55/3,50/3,44/3,35</t>
  </si>
  <si>
    <t>5,02/4,76</t>
  </si>
  <si>
    <t>5,20/4,72</t>
  </si>
  <si>
    <t>200098245</t>
  </si>
  <si>
    <t>061172</t>
  </si>
  <si>
    <t>3,55/3,50/3,32/3,52</t>
  </si>
  <si>
    <t>5,02/5,06</t>
  </si>
  <si>
    <t>4,91/5,12</t>
  </si>
  <si>
    <t>200098246</t>
  </si>
  <si>
    <t>061182</t>
  </si>
  <si>
    <t>3,55/3,43/3,35/3,55,</t>
  </si>
  <si>
    <t>4,95/4,72</t>
  </si>
  <si>
    <t>4,99/4,66</t>
  </si>
  <si>
    <t>200098247</t>
  </si>
  <si>
    <t>061192</t>
  </si>
  <si>
    <t>3,32/3,57/3,30/3,59</t>
  </si>
  <si>
    <t>4,86/5,00</t>
  </si>
  <si>
    <t>4,89/4,87</t>
  </si>
  <si>
    <t>200098248</t>
  </si>
  <si>
    <t>061202</t>
  </si>
  <si>
    <t>3,39/3,22/3,56/3,39</t>
  </si>
  <si>
    <t>5,02/4,71</t>
  </si>
  <si>
    <t>5,22/4,62</t>
  </si>
  <si>
    <t>200098249</t>
  </si>
  <si>
    <t>061212</t>
  </si>
  <si>
    <t>3,24/3,12/3,51/,3,37</t>
  </si>
  <si>
    <t>5,26/4,84</t>
  </si>
  <si>
    <t>4,59/4,69</t>
  </si>
  <si>
    <t>200098250</t>
  </si>
  <si>
    <t>061222</t>
  </si>
  <si>
    <t>3,35/3,51/3,21/3,29</t>
  </si>
  <si>
    <t>4,82/4,70</t>
  </si>
  <si>
    <t>4,84/4,53</t>
  </si>
  <si>
    <t>200098251</t>
  </si>
  <si>
    <t>3,57/3,51/3,24/3,17</t>
  </si>
  <si>
    <t>4,97/5,06</t>
  </si>
  <si>
    <t>200098252</t>
  </si>
  <si>
    <t>3,13/3,56/3,25/3,5</t>
  </si>
  <si>
    <t>5,07/5,04</t>
  </si>
  <si>
    <t>200098253</t>
  </si>
  <si>
    <t>3,45/3,39/3,22/3,09</t>
  </si>
  <si>
    <t>4,74/4,13</t>
  </si>
  <si>
    <t>200098260</t>
  </si>
  <si>
    <t>3,42/3,26/3,41/3,42</t>
  </si>
  <si>
    <t>4,93/4,97</t>
  </si>
  <si>
    <t>200098431</t>
  </si>
  <si>
    <t>3,47/3,49/3,27/3,40</t>
  </si>
  <si>
    <t>4,94/5,14</t>
  </si>
  <si>
    <t>200098432</t>
  </si>
  <si>
    <t>3,51/3,20/3,39/3,42</t>
  </si>
  <si>
    <t>200098433</t>
  </si>
  <si>
    <t>3,52/2,23/3,44/3,21</t>
  </si>
  <si>
    <t>5,16/4,82</t>
  </si>
  <si>
    <t>200098434</t>
  </si>
  <si>
    <t>3,48/3,42/3,37/3,14</t>
  </si>
  <si>
    <t>4,8/4,70</t>
  </si>
  <si>
    <t>4,73/4,92</t>
  </si>
  <si>
    <t>200098566</t>
  </si>
  <si>
    <t>3,37/3,19/3,54/3,45</t>
  </si>
  <si>
    <t>4,77/5,17</t>
  </si>
  <si>
    <t>4,99/4,81</t>
  </si>
  <si>
    <t>200098567</t>
  </si>
  <si>
    <t>3,46/3,22/3,12/3,46</t>
  </si>
  <si>
    <t>4,78/5,08</t>
  </si>
  <si>
    <t>4,90/4,99</t>
  </si>
  <si>
    <t>200098568</t>
  </si>
  <si>
    <t>3,14/3,44/3,51/3,34</t>
  </si>
  <si>
    <t>4,85/4,72</t>
  </si>
  <si>
    <t>4,67/4,82</t>
  </si>
  <si>
    <t>200098569</t>
  </si>
  <si>
    <t>3,34/3,56/3,47/3,34</t>
  </si>
  <si>
    <t>200098570</t>
  </si>
  <si>
    <t>3,12/3,39/3,57/3,12</t>
  </si>
  <si>
    <t>5,00/5,09</t>
  </si>
  <si>
    <t>200098571</t>
  </si>
  <si>
    <t>3,15/3,52/3,16/3,34</t>
  </si>
  <si>
    <t>5,14/5,17</t>
  </si>
  <si>
    <t>4,88/4,78</t>
  </si>
  <si>
    <t>200098645</t>
  </si>
  <si>
    <t>Juli</t>
  </si>
  <si>
    <t>3,54/3,49/5,19/3,51</t>
  </si>
  <si>
    <t>4,83/4,06</t>
  </si>
  <si>
    <t>4,97/5,18</t>
  </si>
  <si>
    <t>200098646</t>
  </si>
  <si>
    <t>3,29/3,12/3,55/3,45</t>
  </si>
  <si>
    <t>4,96/4,97</t>
  </si>
  <si>
    <t>5,13/4,70</t>
  </si>
  <si>
    <t>200098647</t>
  </si>
  <si>
    <t>3,49/3,43/3,17/3,49</t>
  </si>
  <si>
    <t>4,88/4,75</t>
  </si>
  <si>
    <t>5,21/4,67</t>
  </si>
  <si>
    <t>200098892</t>
  </si>
  <si>
    <t>3,1/3,54/3,11/3,35</t>
  </si>
  <si>
    <t>5,14/4,71</t>
  </si>
  <si>
    <t>4,53/5,15</t>
  </si>
  <si>
    <t>200098956</t>
  </si>
  <si>
    <t>3,44/3,52/3,47/3,54</t>
  </si>
  <si>
    <t>5,11/4,87</t>
  </si>
  <si>
    <t>4,82/4,83</t>
  </si>
  <si>
    <t>200098957</t>
  </si>
  <si>
    <t>3,52/3,28/3,27/3,16</t>
  </si>
  <si>
    <t>4,75/5,15</t>
  </si>
  <si>
    <t>4,85/5,02</t>
  </si>
  <si>
    <t>200098958</t>
  </si>
  <si>
    <t>3,32/3,28/3,39/3,42</t>
  </si>
  <si>
    <t>4,62/5,12</t>
  </si>
  <si>
    <t>4,69/4,82</t>
  </si>
  <si>
    <t>200098959</t>
  </si>
  <si>
    <t>3,57/3,19/3,17/3,32</t>
  </si>
  <si>
    <t>4,85/4,83</t>
  </si>
  <si>
    <t>200098980</t>
  </si>
  <si>
    <t>3,52/3,41/3,22/3,1</t>
  </si>
  <si>
    <t>5,1/4,8</t>
  </si>
  <si>
    <t>4,94/4,84</t>
  </si>
  <si>
    <t>200098981</t>
  </si>
  <si>
    <t>3,21/3,49/3,53/3,18</t>
  </si>
  <si>
    <t>4,79/4,98</t>
  </si>
  <si>
    <t>4,72/4,87</t>
  </si>
  <si>
    <t>200098982</t>
  </si>
  <si>
    <t>3,39/3,38/3,41/3,38</t>
  </si>
  <si>
    <t>4,67/5,04</t>
  </si>
  <si>
    <t>4,78/4,99</t>
  </si>
  <si>
    <t>200098989</t>
  </si>
  <si>
    <t>3,51/3,29/3,17/3,38</t>
  </si>
  <si>
    <t>5,17/4,75</t>
  </si>
  <si>
    <t>5,17/4,67</t>
  </si>
  <si>
    <t>200098990</t>
  </si>
  <si>
    <t>3,47/3,27/3,27/3,12</t>
  </si>
  <si>
    <t>5,02/4,87</t>
  </si>
  <si>
    <t>200099560</t>
  </si>
  <si>
    <t>3,20/3,50/3,46/3,1</t>
  </si>
  <si>
    <t>5,05/4,99</t>
  </si>
  <si>
    <t>200099561</t>
  </si>
  <si>
    <t>3,47/3,47/3,29/3,39</t>
  </si>
  <si>
    <t>4,85/4,90</t>
  </si>
  <si>
    <t>200099562</t>
  </si>
  <si>
    <t>3,55/3,52/3,26/3,35</t>
  </si>
  <si>
    <t>4,82/4,65</t>
  </si>
  <si>
    <t>200099563</t>
  </si>
  <si>
    <t>3,56/3,37/3,44/3,17</t>
  </si>
  <si>
    <t>4,84/5,12</t>
  </si>
  <si>
    <t>200099564</t>
  </si>
  <si>
    <t>3,40/3,27/3,37</t>
  </si>
  <si>
    <t>4,92/4,92</t>
  </si>
  <si>
    <t>200099865</t>
  </si>
  <si>
    <t>3,47/3,17/3,23/3,34</t>
  </si>
  <si>
    <t>5,02/5,02</t>
  </si>
  <si>
    <t>200099866</t>
  </si>
  <si>
    <t>3,44/3,39/3,50/3,40</t>
  </si>
  <si>
    <t>200099867</t>
  </si>
  <si>
    <t>3,52/3,45/3,19/3,44</t>
  </si>
  <si>
    <t>5,06/4,72</t>
  </si>
  <si>
    <t>200099868</t>
  </si>
  <si>
    <t>3,27/3,48/3,42/3,26</t>
  </si>
  <si>
    <t>5,04/4,81</t>
  </si>
  <si>
    <t>200099869</t>
  </si>
  <si>
    <t>3,45/3,27/3,52/3,40</t>
  </si>
  <si>
    <t>50,5/4,88</t>
  </si>
  <si>
    <t>200099946</t>
  </si>
  <si>
    <t>3,32/3,50/3,47/3,15</t>
  </si>
  <si>
    <t>5,04/5,14</t>
  </si>
  <si>
    <t>200099947</t>
  </si>
  <si>
    <t>306.8</t>
  </si>
  <si>
    <t>3,45/3,30/3,11/3,46</t>
  </si>
  <si>
    <t>4,89/5,17</t>
  </si>
  <si>
    <t>200099948</t>
  </si>
  <si>
    <t>3,52/5,42/3,40/3,55</t>
  </si>
  <si>
    <t>4,89/5,15</t>
  </si>
  <si>
    <t>200099967</t>
  </si>
  <si>
    <t>3,17/3,20/3,54/3,47</t>
  </si>
  <si>
    <t>5,03/4,79</t>
  </si>
  <si>
    <t>200099968</t>
  </si>
  <si>
    <t>3,48/3,14/3,42/3,14</t>
  </si>
  <si>
    <t>4,72/5,11</t>
  </si>
  <si>
    <t>111692</t>
  </si>
  <si>
    <t>3,48/3,41/3,24/3,35</t>
  </si>
  <si>
    <t>4,75/5,18</t>
  </si>
  <si>
    <t>111702</t>
  </si>
  <si>
    <t>3,54/3,57/3,44/3,35</t>
  </si>
  <si>
    <t>4,97/5,15</t>
  </si>
  <si>
    <t>111712</t>
  </si>
  <si>
    <t>3,57/3,17/3,17/3,41</t>
  </si>
  <si>
    <t>5,17/5,11</t>
  </si>
  <si>
    <t>111722</t>
  </si>
  <si>
    <t>3,42/3,32/3,24/3,13</t>
  </si>
  <si>
    <t>5,17/4,86</t>
  </si>
  <si>
    <t>111732</t>
  </si>
  <si>
    <t>3,35/3,36/3,51/3,51</t>
  </si>
  <si>
    <t>4,82/4,86</t>
  </si>
  <si>
    <t>111742</t>
  </si>
  <si>
    <t>3,54/3,35/3,34/3,14</t>
  </si>
  <si>
    <t>5,07/5,17</t>
  </si>
  <si>
    <t>3,25/3,25/3,47/3,5</t>
  </si>
  <si>
    <t>4,74/7,85</t>
  </si>
  <si>
    <t>3,32/3,12/3,49/3,41</t>
  </si>
  <si>
    <t>4,75/4,60</t>
  </si>
  <si>
    <t>3,35/3,5/3,44/3,39</t>
  </si>
  <si>
    <t>4,82/4,74</t>
  </si>
  <si>
    <t>3,35/3,35/3,47/3,37</t>
  </si>
  <si>
    <t>3,17/3,52/3,46/3,54</t>
  </si>
  <si>
    <t>4,96/4,87</t>
  </si>
  <si>
    <t>3,42/3,35/3,19/3,43</t>
  </si>
  <si>
    <t>4,73/4,76</t>
  </si>
  <si>
    <t>3,50/3,56/3,17/3,55</t>
  </si>
  <si>
    <t>4,85/4,8</t>
  </si>
  <si>
    <t>3,24/3,21/3,56/3,15</t>
  </si>
  <si>
    <t>4,75/4,97</t>
  </si>
  <si>
    <t>3,45/3,44/3,42/3,31</t>
  </si>
  <si>
    <t>4,97/5,01</t>
  </si>
  <si>
    <t>3,44/3,32/3,13/3,28</t>
  </si>
  <si>
    <t>5,04/4,72</t>
  </si>
  <si>
    <t>4,73/5,00</t>
  </si>
  <si>
    <t>3,34/3,52/3,16/3,49</t>
  </si>
  <si>
    <t>3,45/3,32/3,23/3,40</t>
  </si>
  <si>
    <t>5,09/4,87</t>
  </si>
  <si>
    <t>3,41/3,27/3,37/3,29</t>
  </si>
  <si>
    <t>5,15/5,19</t>
  </si>
  <si>
    <t>3,24/3,24/3,34/3,41</t>
  </si>
  <si>
    <t>3,25/3,42/3,36/3,51</t>
  </si>
  <si>
    <t>4,8/5,12</t>
  </si>
  <si>
    <t>3,50/3,44/3,12/3,43</t>
  </si>
  <si>
    <t>4,89/4,75</t>
  </si>
  <si>
    <t>K</t>
  </si>
  <si>
    <t>010813</t>
  </si>
  <si>
    <t>3,40/3,30/3,19/3,32</t>
  </si>
  <si>
    <t>4,93/4,90</t>
  </si>
  <si>
    <t>010823</t>
  </si>
  <si>
    <t>3,42/3,55/3,47/3,20</t>
  </si>
  <si>
    <t>4,94/5,02</t>
  </si>
  <si>
    <t>010833</t>
  </si>
  <si>
    <t>3,22/3,24/3,55/3,30</t>
  </si>
  <si>
    <t>010843</t>
  </si>
  <si>
    <t>3,54/3,12/3,14/3,17</t>
  </si>
  <si>
    <t>4,76/4,70</t>
  </si>
  <si>
    <t>010853</t>
  </si>
  <si>
    <t>3,24/3,14/3,30/3,39</t>
  </si>
  <si>
    <t>4,97/5,05</t>
  </si>
  <si>
    <t>011433</t>
  </si>
  <si>
    <t>3,25/3,45/3,39/3,34</t>
  </si>
  <si>
    <t>5,00/4,72</t>
  </si>
  <si>
    <t>011443</t>
  </si>
  <si>
    <t>3,47/3,46/3,40/3,46</t>
  </si>
  <si>
    <t>011453</t>
  </si>
  <si>
    <t>3,46/3,22/3,24/3,18</t>
  </si>
  <si>
    <t>5,18/4,80</t>
  </si>
  <si>
    <t>011463</t>
  </si>
  <si>
    <t>3,50/3,58/3,24/3,56</t>
  </si>
  <si>
    <t>5,01/4,70</t>
  </si>
  <si>
    <t>011473</t>
  </si>
  <si>
    <t>3,79/3,57/3,28/3,07</t>
  </si>
  <si>
    <t>4,96/4,67</t>
  </si>
  <si>
    <t>BODREX FLU&amp;BTK PE/KAP 4'S BLS (saba 1)</t>
  </si>
  <si>
    <t>011483</t>
  </si>
  <si>
    <t>diosna L3 LT1</t>
  </si>
  <si>
    <t>SELESAI( SABA)</t>
  </si>
  <si>
    <t>2,82/3,48/2,87/3,16</t>
  </si>
  <si>
    <t>5,09/4,80</t>
  </si>
  <si>
    <t>proses pengerjaan di lantai 1</t>
  </si>
  <si>
    <t>SELESAI ( SABA)</t>
  </si>
  <si>
    <t>012263</t>
  </si>
  <si>
    <t>3,54/3,37/3,32/3,52</t>
  </si>
  <si>
    <t>4,72/4,78</t>
  </si>
  <si>
    <t>012273</t>
  </si>
  <si>
    <t>3,52/3,35/3,50/3,27</t>
  </si>
  <si>
    <t>4,86/4,61</t>
  </si>
  <si>
    <t>012283</t>
  </si>
  <si>
    <t>3,17/3,30/3,37/3,28</t>
  </si>
  <si>
    <t>4,66/5,04</t>
  </si>
  <si>
    <t>012293</t>
  </si>
  <si>
    <t>3,48/3,12/3,40/3,25</t>
  </si>
  <si>
    <t>4,91/4,87</t>
  </si>
  <si>
    <t>012303</t>
  </si>
  <si>
    <t>3,50/3,48/3,35/3,12</t>
  </si>
  <si>
    <t>4,76/4,96</t>
  </si>
  <si>
    <t>012313</t>
  </si>
  <si>
    <t>3,14/3,15/3,22/3,44</t>
  </si>
  <si>
    <t>4,77/4,92</t>
  </si>
  <si>
    <t>012323</t>
  </si>
  <si>
    <t>3,37/3,35/3,44/3,47</t>
  </si>
  <si>
    <t>4,71/4,89</t>
  </si>
  <si>
    <t>012333</t>
  </si>
  <si>
    <t>3,20/3,15/3,37/3,43</t>
  </si>
  <si>
    <t>4,73/4,83</t>
  </si>
  <si>
    <t>012343</t>
  </si>
  <si>
    <t>SABA ( JALAN DI LT 1)</t>
  </si>
  <si>
    <t>012353</t>
  </si>
  <si>
    <t>020663</t>
  </si>
  <si>
    <t>3,42/3,35/3,27/3,42</t>
  </si>
  <si>
    <t>4,80/4,94</t>
  </si>
  <si>
    <t>020673</t>
  </si>
  <si>
    <t>3,43/3,42/3,33/3,25</t>
  </si>
  <si>
    <t>020683</t>
  </si>
  <si>
    <t>3,23/3,22/3,15/3,32</t>
  </si>
  <si>
    <t>5,03/5,11</t>
  </si>
  <si>
    <t>020693</t>
  </si>
  <si>
    <t>3,21/3,25/3,49/3,47</t>
  </si>
  <si>
    <t>5,02/5,05</t>
  </si>
  <si>
    <t>020703</t>
  </si>
  <si>
    <t>3,38/3,21/3,35/3,44</t>
  </si>
  <si>
    <t>5,09/4,90</t>
  </si>
  <si>
    <t>020713</t>
  </si>
  <si>
    <t>3,30/3,28/3,31/3,32</t>
  </si>
  <si>
    <t>4,96/4,84</t>
  </si>
  <si>
    <t>020723</t>
  </si>
  <si>
    <t>3,14/3,47/3,47/3,17</t>
  </si>
  <si>
    <t>4,48/4,79</t>
  </si>
  <si>
    <t>020733</t>
  </si>
  <si>
    <t>3,20/3,28/3,52/3,25</t>
  </si>
  <si>
    <t>5,06/4,94</t>
  </si>
  <si>
    <t>022073</t>
  </si>
  <si>
    <t>3,17/3,49/3,47/3,14</t>
  </si>
  <si>
    <t>4,75/4,96</t>
  </si>
  <si>
    <t>022083</t>
  </si>
  <si>
    <t>3,14/3,12/3,13/3,48</t>
  </si>
  <si>
    <t>022093</t>
  </si>
  <si>
    <t>3,20/3,20/3,16/3,21</t>
  </si>
  <si>
    <t>4,74/5,15</t>
  </si>
  <si>
    <t>022103</t>
  </si>
  <si>
    <t>3,36/3,39/3,16/3,51</t>
  </si>
  <si>
    <t>4,92/4,86</t>
  </si>
  <si>
    <t>022113</t>
  </si>
  <si>
    <t>3,49/3,42/3,56/3,31</t>
  </si>
  <si>
    <t>4,97/5,10</t>
  </si>
  <si>
    <t>022123</t>
  </si>
  <si>
    <t>3,42/3,32/3,59/3,29</t>
  </si>
  <si>
    <t>4,83/5,14</t>
  </si>
  <si>
    <t>022143</t>
  </si>
  <si>
    <t>3,27/3,19/3,25/3,42</t>
  </si>
  <si>
    <t>5,14/4,62</t>
  </si>
  <si>
    <t>022513</t>
  </si>
  <si>
    <t>3,38/3,48/3,32/3,27</t>
  </si>
  <si>
    <t>4,95/5,04</t>
  </si>
  <si>
    <t>022523</t>
  </si>
  <si>
    <t>3,21/3,27/3,12/3,07</t>
  </si>
  <si>
    <t>5,09/5,17</t>
  </si>
  <si>
    <t>030863</t>
  </si>
  <si>
    <t>3,16/3,31/3,19/3,24</t>
  </si>
  <si>
    <t>4,87/5,03</t>
  </si>
  <si>
    <t>030873</t>
  </si>
  <si>
    <t>3,17/3,31/3,36/3,24</t>
  </si>
  <si>
    <t>4,72/4,82</t>
  </si>
  <si>
    <t>030883</t>
  </si>
  <si>
    <t>3,31/3,47/3,39/3,21</t>
  </si>
  <si>
    <t>4,79/4,94</t>
  </si>
  <si>
    <t>030893</t>
  </si>
  <si>
    <t>3,25/3,29/3,30/3,27</t>
  </si>
  <si>
    <t>4,79/5,02</t>
  </si>
  <si>
    <t>030903</t>
  </si>
  <si>
    <t>3,32/3,42/3,51/3,29</t>
  </si>
  <si>
    <t>4,48/5,05</t>
  </si>
  <si>
    <t>030913</t>
  </si>
  <si>
    <t>3,48/3,56/3,45/3,40</t>
  </si>
  <si>
    <t>4,82/5,02</t>
  </si>
  <si>
    <t>030923</t>
  </si>
  <si>
    <t>3,21/3,44/3,30/3,34</t>
  </si>
  <si>
    <t>4,83/4,95</t>
  </si>
  <si>
    <t>030933</t>
  </si>
  <si>
    <t>3,22/3,17/3,21/3,19</t>
  </si>
  <si>
    <t>5,14/5,14</t>
  </si>
  <si>
    <t>030943</t>
  </si>
  <si>
    <t>3,39/3,39/3,32/3,34</t>
  </si>
  <si>
    <t>5,15/5,15</t>
  </si>
  <si>
    <t>031893</t>
  </si>
  <si>
    <t>3,22/3,12/3,55/3,17</t>
  </si>
  <si>
    <t>5,15/4,93</t>
  </si>
  <si>
    <t>031903</t>
  </si>
  <si>
    <t>3,32/3,27/3,45/3,22</t>
  </si>
  <si>
    <t>4,79/5,11</t>
  </si>
  <si>
    <t>032523</t>
  </si>
  <si>
    <t>3,52/3,24/3,43/3,20</t>
  </si>
  <si>
    <t>4,78/4,89</t>
  </si>
  <si>
    <t>032533</t>
  </si>
  <si>
    <t>3,30/3,25/3,55/3,47</t>
  </si>
  <si>
    <t>5,06/4,74</t>
  </si>
  <si>
    <t>032543</t>
  </si>
  <si>
    <t>3,39/3,19/3,20/3,27</t>
  </si>
  <si>
    <t>5,04/4,82</t>
  </si>
  <si>
    <t>032553</t>
  </si>
  <si>
    <t>3,49/3,93/3,52/3,38</t>
  </si>
  <si>
    <t>4,73/5,15</t>
  </si>
  <si>
    <t>032563</t>
  </si>
  <si>
    <t>3,22/3,47/3,27/3,15</t>
  </si>
  <si>
    <t>5,00/4,78</t>
  </si>
  <si>
    <t>032573</t>
  </si>
  <si>
    <t>3,27/3,17/3,34/3,30</t>
  </si>
  <si>
    <t>4,81/4,96</t>
  </si>
  <si>
    <t>032583</t>
  </si>
  <si>
    <t>3,29/3,34/3,12/3,44</t>
  </si>
  <si>
    <t>4,85/4,94</t>
  </si>
  <si>
    <t>032593</t>
  </si>
  <si>
    <t>3,27/3,22/3,54/3,29</t>
  </si>
  <si>
    <t>5,08/4,78</t>
  </si>
  <si>
    <t>032603</t>
  </si>
  <si>
    <t>3,42/3,49/3,44/3,42</t>
  </si>
  <si>
    <t>4,93/5,11</t>
  </si>
  <si>
    <t>032613</t>
  </si>
  <si>
    <t>3,44/3,12/3,19/3,32</t>
  </si>
  <si>
    <t>5,13/4,90</t>
  </si>
  <si>
    <t>032623</t>
  </si>
  <si>
    <t>3,22/3,46/3,10/3,32</t>
  </si>
  <si>
    <t>4,88/5,11</t>
  </si>
  <si>
    <t>040213</t>
  </si>
  <si>
    <t>3,20/3,40/3,22/3,52</t>
  </si>
  <si>
    <t>4,85/4,99</t>
  </si>
  <si>
    <t>040223</t>
  </si>
  <si>
    <t>3,44/3,42/3,46/3,55</t>
  </si>
  <si>
    <t>5,02/4,82</t>
  </si>
  <si>
    <t>050823</t>
  </si>
  <si>
    <t>3,55/3,39/3,59/3,22</t>
  </si>
  <si>
    <t>5,01/5,14</t>
  </si>
  <si>
    <t>050833</t>
  </si>
  <si>
    <t>3,50/3,34/3,22/3,12</t>
  </si>
  <si>
    <t>050843</t>
  </si>
  <si>
    <t>3,15/3,49/3,15/3,42</t>
  </si>
  <si>
    <t>061923</t>
  </si>
  <si>
    <t>3,20/3,25/3,27/3,37</t>
  </si>
  <si>
    <t>4,76/4,85</t>
  </si>
  <si>
    <t>061933</t>
  </si>
  <si>
    <t>3,44/3,22/3,31/3,20</t>
  </si>
  <si>
    <t>061943</t>
  </si>
  <si>
    <t>3,48/3,5/3,36/3,4</t>
  </si>
  <si>
    <t>4,75/4,85</t>
  </si>
  <si>
    <t>061953</t>
  </si>
  <si>
    <t>3,12/3,56/3,30/3,22</t>
  </si>
  <si>
    <t>4,72/4,75</t>
  </si>
  <si>
    <t>061963</t>
  </si>
  <si>
    <t>4,87/4,98</t>
  </si>
  <si>
    <t>062143</t>
  </si>
  <si>
    <t>3,42/3,17/3,02/3,59</t>
  </si>
  <si>
    <t>5,05/5,11</t>
  </si>
  <si>
    <t>062153</t>
  </si>
  <si>
    <t>3,29/3,37/3,27/3,55</t>
  </si>
  <si>
    <t>4,80/4,85</t>
  </si>
  <si>
    <t>062163</t>
  </si>
  <si>
    <t>3,48/3,55/3,54/3,14</t>
  </si>
  <si>
    <t>4,86/5,11</t>
  </si>
  <si>
    <t>062173</t>
  </si>
  <si>
    <t>3,57/3,47/3,07/3,47</t>
  </si>
  <si>
    <t>5,02/5,10</t>
  </si>
  <si>
    <t>081233</t>
  </si>
  <si>
    <t>3,34/3,52/3,37/3,35</t>
  </si>
  <si>
    <t>4,79/5,08</t>
  </si>
  <si>
    <t>081243</t>
  </si>
  <si>
    <t>3,15/3,57/3,5/3,27</t>
  </si>
  <si>
    <t>081253</t>
  </si>
  <si>
    <t>3,35/3,44/3,24/3,51</t>
  </si>
  <si>
    <t>5,01/5,10</t>
  </si>
  <si>
    <t>081263</t>
  </si>
  <si>
    <t>3,42/3,53/3,49/3,76</t>
  </si>
  <si>
    <t>082613</t>
  </si>
  <si>
    <t>3,47/3,38/3,38/3,24</t>
  </si>
  <si>
    <t>5,16/5,07</t>
  </si>
  <si>
    <t>082623</t>
  </si>
  <si>
    <t>3,32/3,49/3,31/3,52</t>
  </si>
  <si>
    <t>082633</t>
  </si>
  <si>
    <t>3,29/3,47/3,15/3,55</t>
  </si>
  <si>
    <t>4,99/4,99</t>
  </si>
  <si>
    <t>082643</t>
  </si>
  <si>
    <t>3,52/3,20/3,20/3,22</t>
  </si>
  <si>
    <t>5,06/4,82</t>
  </si>
  <si>
    <t>082653</t>
  </si>
  <si>
    <t>3,30/3,49/3,14/3,14</t>
  </si>
  <si>
    <t>4,98/5,11</t>
  </si>
  <si>
    <t>090283</t>
  </si>
  <si>
    <t>3,17/3,47/3,20/3,54</t>
  </si>
  <si>
    <t>5,12/4,96</t>
  </si>
  <si>
    <t>091123</t>
  </si>
  <si>
    <t>3,37/3,35/3,37/3,53</t>
  </si>
  <si>
    <t>4,88/4,97</t>
  </si>
  <si>
    <t>091133</t>
  </si>
  <si>
    <t>3,42/3,40/3,50/3,39</t>
  </si>
  <si>
    <t>4,83/5,17</t>
  </si>
  <si>
    <t>091143</t>
  </si>
  <si>
    <t>3,26/3,29/3,32/3,29</t>
  </si>
  <si>
    <t>4,77/4,77</t>
  </si>
  <si>
    <t>091153</t>
  </si>
  <si>
    <t>3,25/3,41/3,48/3,34</t>
  </si>
  <si>
    <t>5,01/4,99</t>
  </si>
  <si>
    <t>091163</t>
  </si>
  <si>
    <t>3,12/3,21/3,11/3,10</t>
  </si>
  <si>
    <t>5,10/5,11</t>
  </si>
  <si>
    <t>091173</t>
  </si>
  <si>
    <t>3,32/3,44/3,37/3,54</t>
  </si>
  <si>
    <t>091183</t>
  </si>
  <si>
    <t>3,25/3,41/3,31/3,26</t>
  </si>
  <si>
    <t>5,02/5,00</t>
  </si>
  <si>
    <t>091193</t>
  </si>
  <si>
    <t>3,47/3,54/3,19/3,39</t>
  </si>
  <si>
    <t>5,06/5,10</t>
  </si>
  <si>
    <t>091203</t>
  </si>
  <si>
    <t>3,42/3,35/3,39/3,51</t>
  </si>
  <si>
    <t>4,97/4,83</t>
  </si>
  <si>
    <t>092523</t>
  </si>
  <si>
    <t>3,35/3,12/3,44/3,22</t>
  </si>
  <si>
    <t>4,83/4,9</t>
  </si>
  <si>
    <t>092533</t>
  </si>
  <si>
    <t>3,48/3,20/3,45/3,22</t>
  </si>
  <si>
    <t>4,8/4,91</t>
  </si>
  <si>
    <t>092543</t>
  </si>
  <si>
    <t>3,32/3,14/3,45/3,17</t>
  </si>
  <si>
    <t>4,79/4,85</t>
  </si>
  <si>
    <t>092553</t>
  </si>
  <si>
    <t>3,44/3,54/3,27/3,50</t>
  </si>
  <si>
    <t>4,77/5,15</t>
  </si>
  <si>
    <t>092563</t>
  </si>
  <si>
    <t>3,47/3,34/3,25/3,17</t>
  </si>
  <si>
    <t>092573</t>
  </si>
  <si>
    <t>3,47/3,17/3,29/3,24</t>
  </si>
  <si>
    <t>4,94/4,86</t>
  </si>
  <si>
    <t>092583</t>
  </si>
  <si>
    <t>3,42/3,27/3,35/3,37</t>
  </si>
  <si>
    <t>4,79/5,13</t>
  </si>
  <si>
    <t>092633</t>
  </si>
  <si>
    <t>3,20/3,27/3,42/3,48</t>
  </si>
  <si>
    <t>5,01/4,7</t>
  </si>
  <si>
    <t>092643</t>
  </si>
  <si>
    <t>3,59/3,50/3,20/3,47</t>
  </si>
  <si>
    <t>5,12/5,09</t>
  </si>
  <si>
    <t>092793</t>
  </si>
  <si>
    <t>3,12/3,47/3,39/3,14</t>
  </si>
  <si>
    <t>4,85/4,75</t>
  </si>
  <si>
    <t>092803</t>
  </si>
  <si>
    <t>3,14/3,28/3,45/3,50</t>
  </si>
  <si>
    <t>5,07/4,87</t>
  </si>
  <si>
    <t>3,31/3,45/3,45/3,35</t>
  </si>
  <si>
    <t>5,11/4,85</t>
  </si>
  <si>
    <t>3,47/3,30/3,45/3,47</t>
  </si>
  <si>
    <t>3,17/3,10/3,50/3,17</t>
  </si>
  <si>
    <t>5,12/4,84</t>
  </si>
  <si>
    <t>3,47/3,28/3,4/3,27</t>
  </si>
  <si>
    <t>4,86/4,96</t>
  </si>
  <si>
    <t>3,30/3,12/3,44/3,54</t>
  </si>
  <si>
    <t>5,00/4,83</t>
  </si>
  <si>
    <t>3,47/3,51/3,10/3,50</t>
  </si>
  <si>
    <t>4,95/5,02</t>
  </si>
  <si>
    <t>3,42/3,50/3,54/3,45</t>
  </si>
  <si>
    <t>3,52/3,32/3,25/3,47</t>
  </si>
  <si>
    <t>4,83/4,71</t>
  </si>
  <si>
    <t>3,36/3,46/3,47/3,31</t>
  </si>
  <si>
    <t>3,42/3,18/3,25/3,50</t>
  </si>
  <si>
    <t>4,89/5,01</t>
  </si>
  <si>
    <t>3,44/3,15/3,15/3,48</t>
  </si>
  <si>
    <t>4,72/5,07</t>
  </si>
  <si>
    <t>3,5/3,49/3,12/3,5</t>
  </si>
  <si>
    <t>5,04/5,06</t>
  </si>
  <si>
    <t>3,32/3,28/3,48/3,15</t>
  </si>
  <si>
    <t>3,40/3,47/3,35/3,42</t>
  </si>
  <si>
    <t>4,99/5,08</t>
  </si>
  <si>
    <t>3,/3,44/3,36/3,49</t>
  </si>
  <si>
    <t>4,80/4,87</t>
  </si>
  <si>
    <t>3,47/3,39/3,49/3,10</t>
  </si>
  <si>
    <t>3,44/3,14/3,50/3,22</t>
  </si>
  <si>
    <t>5,09/4,73</t>
  </si>
  <si>
    <t>3,47/3,47/3,10/3,39</t>
  </si>
  <si>
    <t>4,97/4,75</t>
  </si>
  <si>
    <t>3,46/3,37/3,12/3,22</t>
  </si>
  <si>
    <t>4,70/4,87</t>
  </si>
  <si>
    <t>3,17/3,42/3,25/3,20</t>
  </si>
  <si>
    <t>5,10/4,88</t>
  </si>
  <si>
    <t>3,49/3,30/3,15/3,29</t>
  </si>
  <si>
    <t>3,19/3,40/3,31/3,12</t>
  </si>
  <si>
    <t>5,10/4,94</t>
  </si>
  <si>
    <t>3,46/3,38/3,26/3,19</t>
  </si>
  <si>
    <t>6,16/5,96</t>
  </si>
  <si>
    <t>JANUARY</t>
  </si>
  <si>
    <t>BTTP</t>
  </si>
  <si>
    <t>APRIL 2024</t>
  </si>
  <si>
    <t>040314</t>
  </si>
  <si>
    <t>050324</t>
  </si>
  <si>
    <t>AGUSTUS  2024</t>
  </si>
  <si>
    <t>'09</t>
  </si>
  <si>
    <t>BODREX MIGRA/KAP 4'S BLS</t>
  </si>
  <si>
    <t>200096488</t>
  </si>
  <si>
    <t>010122</t>
  </si>
  <si>
    <t>200096489</t>
  </si>
  <si>
    <t>010132</t>
  </si>
  <si>
    <t>200096490</t>
  </si>
  <si>
    <t>010142</t>
  </si>
  <si>
    <t>200096491</t>
  </si>
  <si>
    <t>010152</t>
  </si>
  <si>
    <t>200096492</t>
  </si>
  <si>
    <t>010162</t>
  </si>
  <si>
    <t>200096830</t>
  </si>
  <si>
    <t>5,73% / 5,62%</t>
  </si>
  <si>
    <t>5,55% / 5,55%</t>
  </si>
  <si>
    <t>5,79% / 5,095%</t>
  </si>
  <si>
    <t>200096827</t>
  </si>
  <si>
    <t>020012</t>
  </si>
  <si>
    <t>5,16% /5,36%</t>
  </si>
  <si>
    <t>5,26% / 5,31%</t>
  </si>
  <si>
    <t>5,26% / 5,35%</t>
  </si>
  <si>
    <t>200096828</t>
  </si>
  <si>
    <t>020022</t>
  </si>
  <si>
    <t>200096829</t>
  </si>
  <si>
    <t>020032</t>
  </si>
  <si>
    <t>200096831</t>
  </si>
  <si>
    <t>020042</t>
  </si>
  <si>
    <t>5,58 / 5,04</t>
  </si>
  <si>
    <t>5,40 / 5,10</t>
  </si>
  <si>
    <t>5,52 / 5,17</t>
  </si>
  <si>
    <t>200097052</t>
  </si>
  <si>
    <t>020052</t>
  </si>
  <si>
    <t>5,45 /4,94</t>
  </si>
  <si>
    <t>5,67 / 5,24</t>
  </si>
  <si>
    <t>5,55 / 5,9</t>
  </si>
  <si>
    <t>200097173</t>
  </si>
  <si>
    <t>021212</t>
  </si>
  <si>
    <t>4,56/4,37/4,06</t>
  </si>
  <si>
    <t>5,16/5,11</t>
  </si>
  <si>
    <t>200097171</t>
  </si>
  <si>
    <t>030012</t>
  </si>
  <si>
    <t>4,32/4,44/4,50</t>
  </si>
  <si>
    <t>5,3/5,64</t>
  </si>
  <si>
    <t>200097172</t>
  </si>
  <si>
    <t>030022</t>
  </si>
  <si>
    <t>4,33/4,44/4,53</t>
  </si>
  <si>
    <t>030032</t>
  </si>
  <si>
    <t>4,34/4,46/4,52</t>
  </si>
  <si>
    <t>5,49/5,68</t>
  </si>
  <si>
    <t>200097174</t>
  </si>
  <si>
    <t>030042</t>
  </si>
  <si>
    <t>4,45/4,34/4,02</t>
  </si>
  <si>
    <t>5,55/5,57</t>
  </si>
  <si>
    <t>200097175</t>
  </si>
  <si>
    <t>030052</t>
  </si>
  <si>
    <t>4,29/4,43/4,04</t>
  </si>
  <si>
    <t>5,30/5,20</t>
  </si>
  <si>
    <t>200097176</t>
  </si>
  <si>
    <t>030062</t>
  </si>
  <si>
    <t>4,39/4,29/4,46</t>
  </si>
  <si>
    <t>5,35/5,53</t>
  </si>
  <si>
    <t>200097177</t>
  </si>
  <si>
    <t>030072</t>
  </si>
  <si>
    <t>4,36/4,10/4,34</t>
  </si>
  <si>
    <t>5,45/5,44</t>
  </si>
  <si>
    <t>200097393</t>
  </si>
  <si>
    <t>032092</t>
  </si>
  <si>
    <t>4,54/4,27/4,32</t>
  </si>
  <si>
    <t>200097394</t>
  </si>
  <si>
    <t>032102</t>
  </si>
  <si>
    <t>4,04/4,13/4,50</t>
  </si>
  <si>
    <t>200097395</t>
  </si>
  <si>
    <t>032112</t>
  </si>
  <si>
    <t>200097396</t>
  </si>
  <si>
    <t>032122</t>
  </si>
  <si>
    <t>4,40/4,14/4,52</t>
  </si>
  <si>
    <t>5,37/5,6</t>
  </si>
  <si>
    <t>200097484</t>
  </si>
  <si>
    <t>040112</t>
  </si>
  <si>
    <t>200097485</t>
  </si>
  <si>
    <t>040122</t>
  </si>
  <si>
    <t>5,62/5,56</t>
  </si>
  <si>
    <t>5,91/5,87</t>
  </si>
  <si>
    <t>200097486</t>
  </si>
  <si>
    <t>040132</t>
  </si>
  <si>
    <t>5,64/5,63</t>
  </si>
  <si>
    <t>6,16/6,59</t>
  </si>
  <si>
    <t>200097487</t>
  </si>
  <si>
    <t>040142</t>
  </si>
  <si>
    <t>4,29/4,51/4,46</t>
  </si>
  <si>
    <t>5,09/5,59</t>
  </si>
  <si>
    <t>200097488</t>
  </si>
  <si>
    <t>040152</t>
  </si>
  <si>
    <t>5,77/5,34</t>
  </si>
  <si>
    <t>200097562</t>
  </si>
  <si>
    <t>040512</t>
  </si>
  <si>
    <t>4,4/4,43/4,11</t>
  </si>
  <si>
    <t>5,45/5,40</t>
  </si>
  <si>
    <t>4,96/5,37</t>
  </si>
  <si>
    <t>200097563</t>
  </si>
  <si>
    <t>040522</t>
  </si>
  <si>
    <t>4,35/4,48/4,24</t>
  </si>
  <si>
    <t>5,54/5,17</t>
  </si>
  <si>
    <t>5/5,39</t>
  </si>
  <si>
    <t>200097564</t>
  </si>
  <si>
    <t>040532</t>
  </si>
  <si>
    <t>4,53/4,40/4,29</t>
  </si>
  <si>
    <t>5,60/5,78</t>
  </si>
  <si>
    <t>5,46/5,72</t>
  </si>
  <si>
    <t>200097565</t>
  </si>
  <si>
    <t>040542</t>
  </si>
  <si>
    <t>4,47/4,49/4,38</t>
  </si>
  <si>
    <t>5,38/5,21</t>
  </si>
  <si>
    <t>200097566</t>
  </si>
  <si>
    <t>040552</t>
  </si>
  <si>
    <t>4,54/4,15/4,32</t>
  </si>
  <si>
    <t>5,45/5,53</t>
  </si>
  <si>
    <t>5,76/5,454</t>
  </si>
  <si>
    <t>200097621</t>
  </si>
  <si>
    <t>040822</t>
  </si>
  <si>
    <t>4,02/4,49/4,54</t>
  </si>
  <si>
    <t>5,57/5,36</t>
  </si>
  <si>
    <t>200097622</t>
  </si>
  <si>
    <t>040832</t>
  </si>
  <si>
    <t>4,39/4,05/4,38</t>
  </si>
  <si>
    <t>5,64/5,58</t>
  </si>
  <si>
    <t>200097623</t>
  </si>
  <si>
    <t>040842</t>
  </si>
  <si>
    <t>4,17/4,52/4,02</t>
  </si>
  <si>
    <t>5,12/5,32</t>
  </si>
  <si>
    <t>200097624</t>
  </si>
  <si>
    <t>040852</t>
  </si>
  <si>
    <t>4,51/4,50/4,39</t>
  </si>
  <si>
    <t>5,49/5</t>
  </si>
  <si>
    <t>5,30/4,95</t>
  </si>
  <si>
    <t>200097625</t>
  </si>
  <si>
    <t>040862</t>
  </si>
  <si>
    <t>4,27/4,39/4,52</t>
  </si>
  <si>
    <t>5,37/5,54</t>
  </si>
  <si>
    <t>5,24/5,44</t>
  </si>
  <si>
    <t>200097743</t>
  </si>
  <si>
    <t>041802</t>
  </si>
  <si>
    <t>4,21/4,28/4,15</t>
  </si>
  <si>
    <t>5,12/5,67</t>
  </si>
  <si>
    <t>4,93/5,70</t>
  </si>
  <si>
    <t>200097744</t>
  </si>
  <si>
    <t>041812</t>
  </si>
  <si>
    <t>4,39/4,55/4,28</t>
  </si>
  <si>
    <t>5,17/5,22</t>
  </si>
  <si>
    <t>5,12/5,30</t>
  </si>
  <si>
    <t>200097745</t>
  </si>
  <si>
    <t>041822</t>
  </si>
  <si>
    <t>4,09/4,33/4,39</t>
  </si>
  <si>
    <t>4,99/5,19</t>
  </si>
  <si>
    <t>5,08/4,97</t>
  </si>
  <si>
    <t>200097746</t>
  </si>
  <si>
    <t>041832</t>
  </si>
  <si>
    <t>4,54/4,16/4,22</t>
  </si>
  <si>
    <t>5,50/5,27</t>
  </si>
  <si>
    <t>5,39/5,38</t>
  </si>
  <si>
    <t>200097747</t>
  </si>
  <si>
    <t>041842</t>
  </si>
  <si>
    <t>4,46/4,15/4,24</t>
  </si>
  <si>
    <t>5,61/5,35</t>
  </si>
  <si>
    <t>5,35/5,32</t>
  </si>
  <si>
    <t>200097820</t>
  </si>
  <si>
    <t>042252</t>
  </si>
  <si>
    <t>4,52/4,22/4,25</t>
  </si>
  <si>
    <t>5,57/5,57</t>
  </si>
  <si>
    <t>5,54/5,61</t>
  </si>
  <si>
    <t>200097870</t>
  </si>
  <si>
    <t>050222</t>
  </si>
  <si>
    <t>4,55/4,39/4,45</t>
  </si>
  <si>
    <t>5,40/5,63</t>
  </si>
  <si>
    <t>5,54/5,56</t>
  </si>
  <si>
    <t>200097871</t>
  </si>
  <si>
    <t>050232</t>
  </si>
  <si>
    <t>4,11/4,54/4,29</t>
  </si>
  <si>
    <t>5,64/5,43</t>
  </si>
  <si>
    <t>200097872</t>
  </si>
  <si>
    <t>050242</t>
  </si>
  <si>
    <t>4,22/4,36/4,56</t>
  </si>
  <si>
    <t>5,52/5,35</t>
  </si>
  <si>
    <t>5,54/5,46</t>
  </si>
  <si>
    <t>200097873</t>
  </si>
  <si>
    <t>050252</t>
  </si>
  <si>
    <t>4,49/4,38/4,35</t>
  </si>
  <si>
    <t>5,10/5,64</t>
  </si>
  <si>
    <t>5,31/5,75</t>
  </si>
  <si>
    <t>200097874</t>
  </si>
  <si>
    <t>050262</t>
  </si>
  <si>
    <t>4,46/4,44/4,24</t>
  </si>
  <si>
    <t>5,65/5,46</t>
  </si>
  <si>
    <t>5,61/5,71</t>
  </si>
  <si>
    <t>200098002</t>
  </si>
  <si>
    <t>051262</t>
  </si>
  <si>
    <t>4,12/4,40/4,35</t>
  </si>
  <si>
    <t>5,03/5,24</t>
  </si>
  <si>
    <t>5,14/5,19</t>
  </si>
  <si>
    <t>200098003</t>
  </si>
  <si>
    <t>051272</t>
  </si>
  <si>
    <t>4,52/4,04/4,52</t>
  </si>
  <si>
    <t>5,10/5,22</t>
  </si>
  <si>
    <t>5,12/5,06</t>
  </si>
  <si>
    <t>200097993</t>
  </si>
  <si>
    <t>052112</t>
  </si>
  <si>
    <t>4,47/4,1/4,01</t>
  </si>
  <si>
    <t>5,15/5,54</t>
  </si>
  <si>
    <t>5,39/5,65</t>
  </si>
  <si>
    <t>200097994</t>
  </si>
  <si>
    <t>052122</t>
  </si>
  <si>
    <t>4,06/4,56/4,08</t>
  </si>
  <si>
    <t>5,32/5,21</t>
  </si>
  <si>
    <t>200097995</t>
  </si>
  <si>
    <t>052132</t>
  </si>
  <si>
    <t>4,49/4,52/4,43</t>
  </si>
  <si>
    <t>5,18/5,22</t>
  </si>
  <si>
    <t>5,45/5,34</t>
  </si>
  <si>
    <t>200098125</t>
  </si>
  <si>
    <t>060312</t>
  </si>
  <si>
    <t>4,37/4,49/4,52</t>
  </si>
  <si>
    <t>5,24/5,19</t>
  </si>
  <si>
    <t>200098126</t>
  </si>
  <si>
    <t>060322</t>
  </si>
  <si>
    <t>5,27/5,22</t>
  </si>
  <si>
    <t>5,22/5,33</t>
  </si>
  <si>
    <t>200098180</t>
  </si>
  <si>
    <t>060672</t>
  </si>
  <si>
    <t>4,46/4,42/4,03</t>
  </si>
  <si>
    <t>5,11/5,20</t>
  </si>
  <si>
    <t>5,36/5,54</t>
  </si>
  <si>
    <t>200098181</t>
  </si>
  <si>
    <t>060682</t>
  </si>
  <si>
    <t>4,50/4,40/4,45</t>
  </si>
  <si>
    <t>5,13/5,26</t>
  </si>
  <si>
    <t>5,32/5,54</t>
  </si>
  <si>
    <t>200098182</t>
  </si>
  <si>
    <t>060692</t>
  </si>
  <si>
    <t>4,47/4,15/4,52</t>
  </si>
  <si>
    <t>5,18/5,31</t>
  </si>
  <si>
    <t>200098183</t>
  </si>
  <si>
    <t>060702</t>
  </si>
  <si>
    <t>4,19/4,42/4,52</t>
  </si>
  <si>
    <t>5,22/4,83</t>
  </si>
  <si>
    <t>5,32/5,07</t>
  </si>
  <si>
    <t>200098279</t>
  </si>
  <si>
    <t>061972</t>
  </si>
  <si>
    <t>4,50/4,38/4,27</t>
  </si>
  <si>
    <t>5,10/5,25</t>
  </si>
  <si>
    <t>200098380</t>
  </si>
  <si>
    <t>061982</t>
  </si>
  <si>
    <t>4,24/4,34/4,45</t>
  </si>
  <si>
    <t>5,12/5,22</t>
  </si>
  <si>
    <t>200098381</t>
  </si>
  <si>
    <t>061992</t>
  </si>
  <si>
    <t>4,28/4,32/4,29</t>
  </si>
  <si>
    <t>5,46/5,50</t>
  </si>
  <si>
    <t>200098441</t>
  </si>
  <si>
    <t>062592</t>
  </si>
  <si>
    <t>4,22/4,32/4,27</t>
  </si>
  <si>
    <t>5,18/5,09</t>
  </si>
  <si>
    <t>200098442</t>
  </si>
  <si>
    <t>062602</t>
  </si>
  <si>
    <t>4,52/4,40/4,42</t>
  </si>
  <si>
    <t>5,20/5,14</t>
  </si>
  <si>
    <t>200098443</t>
  </si>
  <si>
    <t>062612</t>
  </si>
  <si>
    <t>4,34/4,53/4,35</t>
  </si>
  <si>
    <t>5,12/5,19</t>
  </si>
  <si>
    <t>200098444</t>
  </si>
  <si>
    <t>062622</t>
  </si>
  <si>
    <t>4,34/4,25/4,00</t>
  </si>
  <si>
    <t>200098416</t>
  </si>
  <si>
    <t>062632</t>
  </si>
  <si>
    <t>4,29/4,52/4,47</t>
  </si>
  <si>
    <t>5,06/5,29</t>
  </si>
  <si>
    <t>200098417</t>
  </si>
  <si>
    <t>062642</t>
  </si>
  <si>
    <t>4,02/4,42/4,52</t>
  </si>
  <si>
    <t>5,21/5,05</t>
  </si>
  <si>
    <t>200098418</t>
  </si>
  <si>
    <t>062652</t>
  </si>
  <si>
    <t>4,53/4,06/4,31</t>
  </si>
  <si>
    <t>5,18/5,16</t>
  </si>
  <si>
    <t>200098419</t>
  </si>
  <si>
    <t>062662</t>
  </si>
  <si>
    <t>4,37/4,23/4,40</t>
  </si>
  <si>
    <t>5,22/5,04</t>
  </si>
  <si>
    <t>5,30/5,15</t>
  </si>
  <si>
    <t>200098472</t>
  </si>
  <si>
    <t>062792</t>
  </si>
  <si>
    <t>4,27/4,41/4,30</t>
  </si>
  <si>
    <t>5,17/5,34</t>
  </si>
  <si>
    <t>200098473</t>
  </si>
  <si>
    <t>062802</t>
  </si>
  <si>
    <t>4,05/4,50/4,07</t>
  </si>
  <si>
    <t>5,04/5,03</t>
  </si>
  <si>
    <t>200098474</t>
  </si>
  <si>
    <t>062812</t>
  </si>
  <si>
    <t>4,27/4,37/4,32</t>
  </si>
  <si>
    <t>5,29/5,26</t>
  </si>
  <si>
    <t>5,12/5,27</t>
  </si>
  <si>
    <t>200098505</t>
  </si>
  <si>
    <t>062902</t>
  </si>
  <si>
    <t>4,25/4,40/4,37</t>
  </si>
  <si>
    <t>5,14/5,01</t>
  </si>
  <si>
    <t>5,12/5,01</t>
  </si>
  <si>
    <t>200098506</t>
  </si>
  <si>
    <t>062912</t>
  </si>
  <si>
    <t>4,44/4,51/4,20</t>
  </si>
  <si>
    <t>200098620</t>
  </si>
  <si>
    <t>070302</t>
  </si>
  <si>
    <t>4,51/4,10/4,56</t>
  </si>
  <si>
    <t>5,23/5,22</t>
  </si>
  <si>
    <t>200098621</t>
  </si>
  <si>
    <t>070312</t>
  </si>
  <si>
    <t>4,30/4,11/4,06</t>
  </si>
  <si>
    <t>5,24/5,26</t>
  </si>
  <si>
    <t>5,27/5,29</t>
  </si>
  <si>
    <t>200098622</t>
  </si>
  <si>
    <t>070322</t>
  </si>
  <si>
    <t>4,42/4,49/4,35</t>
  </si>
  <si>
    <t>5,23/5,25</t>
  </si>
  <si>
    <t>5,09/5,11</t>
  </si>
  <si>
    <t>200098623</t>
  </si>
  <si>
    <t>070332</t>
  </si>
  <si>
    <t>4,57/4,24/4,37</t>
  </si>
  <si>
    <t>5,29/5,01</t>
  </si>
  <si>
    <t>5,25/4,96</t>
  </si>
  <si>
    <t>200098624</t>
  </si>
  <si>
    <t>070342</t>
  </si>
  <si>
    <t>4,57/4,20/4,20</t>
  </si>
  <si>
    <t>5,07/5,08</t>
  </si>
  <si>
    <t>5,04/5,15</t>
  </si>
  <si>
    <t>200098625</t>
  </si>
  <si>
    <t>070352</t>
  </si>
  <si>
    <t>4,25/4,50/4,42</t>
  </si>
  <si>
    <t>5,14/5,10</t>
  </si>
  <si>
    <t>5,14/5,32</t>
  </si>
  <si>
    <t>200098626</t>
  </si>
  <si>
    <t>070402</t>
  </si>
  <si>
    <t>4,42/4,34/4,54</t>
  </si>
  <si>
    <t>5,00/5,15</t>
  </si>
  <si>
    <t>5,04/5,10</t>
  </si>
  <si>
    <t>200098913</t>
  </si>
  <si>
    <t>080442</t>
  </si>
  <si>
    <t>4,36/4,55/4,25</t>
  </si>
  <si>
    <t>5,13/ 5,24</t>
  </si>
  <si>
    <t>5,01/5,23</t>
  </si>
  <si>
    <t>200098914</t>
  </si>
  <si>
    <t>080452</t>
  </si>
  <si>
    <t>4,22/4,15/4,14</t>
  </si>
  <si>
    <t>5,27/5,24</t>
  </si>
  <si>
    <t>5,18/5,25</t>
  </si>
  <si>
    <t>200098915</t>
  </si>
  <si>
    <t>080462</t>
  </si>
  <si>
    <t>4,25/4,46/4,56</t>
  </si>
  <si>
    <t>5,46/5,15</t>
  </si>
  <si>
    <t>5,29/5,22</t>
  </si>
  <si>
    <t>200098916</t>
  </si>
  <si>
    <t>080472</t>
  </si>
  <si>
    <t>4,5/4,48/4,29</t>
  </si>
  <si>
    <t>5,08/5,12</t>
  </si>
  <si>
    <t>5,34/5,05</t>
  </si>
  <si>
    <t>200098917</t>
  </si>
  <si>
    <t>080482</t>
  </si>
  <si>
    <t>4,19/4,21/4,5</t>
  </si>
  <si>
    <t>5,22/5,12</t>
  </si>
  <si>
    <t>200098918</t>
  </si>
  <si>
    <t>080492</t>
  </si>
  <si>
    <t>4,32/4,49/4,45</t>
  </si>
  <si>
    <t>5,23/5,19</t>
  </si>
  <si>
    <t>5,12/5,18</t>
  </si>
  <si>
    <t>200098919</t>
  </si>
  <si>
    <t>080502</t>
  </si>
  <si>
    <t>4,49/4,39/4,2</t>
  </si>
  <si>
    <t>5,26/5,18</t>
  </si>
  <si>
    <t>5,31/5,17</t>
  </si>
  <si>
    <t>200098940</t>
  </si>
  <si>
    <t>080722</t>
  </si>
  <si>
    <t>4,25/4,38/4,16</t>
  </si>
  <si>
    <t>5,12/5,1</t>
  </si>
  <si>
    <t>5,06/5,16</t>
  </si>
  <si>
    <t>200099216</t>
  </si>
  <si>
    <t>082642</t>
  </si>
  <si>
    <t>4,52/4,29/4,12</t>
  </si>
  <si>
    <t>5,29/5,19</t>
  </si>
  <si>
    <t>200099217</t>
  </si>
  <si>
    <t>082652</t>
  </si>
  <si>
    <t>4,57/4,19/4,44</t>
  </si>
  <si>
    <t>5,03/5,17</t>
  </si>
  <si>
    <t>200099218</t>
  </si>
  <si>
    <t>082662</t>
  </si>
  <si>
    <t>4,52/4,20/4,34</t>
  </si>
  <si>
    <t>5,26/5,28</t>
  </si>
  <si>
    <t>200099219</t>
  </si>
  <si>
    <t>082672</t>
  </si>
  <si>
    <t>4,34/4,05/4,19</t>
  </si>
  <si>
    <t>5,12/5,11</t>
  </si>
  <si>
    <t>200099220</t>
  </si>
  <si>
    <t>082682</t>
  </si>
  <si>
    <t>4,12/4,34/4,32</t>
  </si>
  <si>
    <t>5,17/5,21</t>
  </si>
  <si>
    <t>5,09/5,15</t>
  </si>
  <si>
    <t>200099170</t>
  </si>
  <si>
    <t>090092</t>
  </si>
  <si>
    <t>4,36/4,49/4,16</t>
  </si>
  <si>
    <t>5,06/5,12</t>
  </si>
  <si>
    <t>4,96/5,12</t>
  </si>
  <si>
    <t>200099171</t>
  </si>
  <si>
    <t>090102</t>
  </si>
  <si>
    <t>4,37/4,33/4,47</t>
  </si>
  <si>
    <t>5,27/5,17</t>
  </si>
  <si>
    <t>5,22/5,31</t>
  </si>
  <si>
    <t>200099313</t>
  </si>
  <si>
    <t>091252</t>
  </si>
  <si>
    <t>4,32/4,40/4,22</t>
  </si>
  <si>
    <t>5,22/5,09</t>
  </si>
  <si>
    <t>5,06/5,27</t>
  </si>
  <si>
    <t>200099314</t>
  </si>
  <si>
    <t>091262</t>
  </si>
  <si>
    <t>4,17/4,03/4,00</t>
  </si>
  <si>
    <t>5,04/5,13</t>
  </si>
  <si>
    <t>4,99/4,60</t>
  </si>
  <si>
    <t>200099315</t>
  </si>
  <si>
    <t>091272</t>
  </si>
  <si>
    <t>4,39/4,32/4,42</t>
  </si>
  <si>
    <t>5,38/5,57</t>
  </si>
  <si>
    <t>5,34/5,39</t>
  </si>
  <si>
    <t>200099434</t>
  </si>
  <si>
    <t>091952</t>
  </si>
  <si>
    <t>4,49/4,29/4,10</t>
  </si>
  <si>
    <t>5,40/5,33</t>
  </si>
  <si>
    <t>5,17,5,32/5,25,5,19</t>
  </si>
  <si>
    <t>200099588</t>
  </si>
  <si>
    <t>100932</t>
  </si>
  <si>
    <t>5,25/5,05</t>
  </si>
  <si>
    <t>200099589</t>
  </si>
  <si>
    <t>100942</t>
  </si>
  <si>
    <t>4,99/5,30</t>
  </si>
  <si>
    <t>4,16/4,47/4,51</t>
  </si>
  <si>
    <t>200099590</t>
  </si>
  <si>
    <t>100952</t>
  </si>
  <si>
    <t>4,25/4,44/4,36</t>
  </si>
  <si>
    <t>5,27/5,15</t>
  </si>
  <si>
    <t>200099591</t>
  </si>
  <si>
    <t>100962</t>
  </si>
  <si>
    <t>4,37/4,46/4,07</t>
  </si>
  <si>
    <t>5,12/5,16</t>
  </si>
  <si>
    <t>200099592</t>
  </si>
  <si>
    <t>100972</t>
  </si>
  <si>
    <t>4,44/4,22/4,16</t>
  </si>
  <si>
    <t>5,19/5,26</t>
  </si>
  <si>
    <t>200099593</t>
  </si>
  <si>
    <t>100982</t>
  </si>
  <si>
    <t>4,49/4,37/4,57</t>
  </si>
  <si>
    <t>5,26/5,27</t>
  </si>
  <si>
    <t>200099600</t>
  </si>
  <si>
    <t>100992</t>
  </si>
  <si>
    <t>4,37/4,42/4,22</t>
  </si>
  <si>
    <t>5,24/5,16</t>
  </si>
  <si>
    <t>200099601</t>
  </si>
  <si>
    <t>101002</t>
  </si>
  <si>
    <t>4,09/452/4,53</t>
  </si>
  <si>
    <t>5,02/5,12</t>
  </si>
  <si>
    <t>200099602</t>
  </si>
  <si>
    <t>101012</t>
  </si>
  <si>
    <t>4,54/4,5/4,14</t>
  </si>
  <si>
    <t>5,24/5,22</t>
  </si>
  <si>
    <t>200099603</t>
  </si>
  <si>
    <t>101022</t>
  </si>
  <si>
    <t>4,05/4,34/4,27</t>
  </si>
  <si>
    <t>5,00/5,27</t>
  </si>
  <si>
    <t>200099764</t>
  </si>
  <si>
    <t>102322</t>
  </si>
  <si>
    <t>4,46/4,42/4,49</t>
  </si>
  <si>
    <t>5,25/5,29</t>
  </si>
  <si>
    <t>200099765</t>
  </si>
  <si>
    <t>102332</t>
  </si>
  <si>
    <t>3,67/4,47/4,21</t>
  </si>
  <si>
    <t>5,17/5,17</t>
  </si>
  <si>
    <t>200099766</t>
  </si>
  <si>
    <t>102342</t>
  </si>
  <si>
    <t>3,33/4,26/4,4</t>
  </si>
  <si>
    <t>5,26/5,01</t>
  </si>
  <si>
    <t>200099767</t>
  </si>
  <si>
    <t>102352</t>
  </si>
  <si>
    <t>4,17/4,05/4,13</t>
  </si>
  <si>
    <t>5,06/5,02</t>
  </si>
  <si>
    <t>200099768</t>
  </si>
  <si>
    <t>102362</t>
  </si>
  <si>
    <t>4,43/4,42/4,25</t>
  </si>
  <si>
    <t>200099769</t>
  </si>
  <si>
    <t>102372</t>
  </si>
  <si>
    <t>4,15/403/4,17</t>
  </si>
  <si>
    <t>5,08/5,22</t>
  </si>
  <si>
    <t>200099770</t>
  </si>
  <si>
    <t>102382</t>
  </si>
  <si>
    <t>4,26/4,32/4,21</t>
  </si>
  <si>
    <t>5,22/514</t>
  </si>
  <si>
    <t>200099771</t>
  </si>
  <si>
    <t>102392</t>
  </si>
  <si>
    <t>4,10/4,34/4,27</t>
  </si>
  <si>
    <t>200099772</t>
  </si>
  <si>
    <t>102402</t>
  </si>
  <si>
    <t>4,29/4,35/4,41</t>
  </si>
  <si>
    <t>5,17/5,24</t>
  </si>
  <si>
    <t>200099773</t>
  </si>
  <si>
    <t>102412</t>
  </si>
  <si>
    <t>4,29/4,16/4,51</t>
  </si>
  <si>
    <t>5,22/5,17</t>
  </si>
  <si>
    <t>200099774</t>
  </si>
  <si>
    <t>102422</t>
  </si>
  <si>
    <t>4,37/4,19/4,43</t>
  </si>
  <si>
    <t>5,04/5,02</t>
  </si>
  <si>
    <t>200099775</t>
  </si>
  <si>
    <t>102432</t>
  </si>
  <si>
    <t>4,29/4,30/4,32</t>
  </si>
  <si>
    <t>200099776</t>
  </si>
  <si>
    <t>102442</t>
  </si>
  <si>
    <t>4,41/4,33/4,51</t>
  </si>
  <si>
    <t>4,90/5,12</t>
  </si>
  <si>
    <t>200099812</t>
  </si>
  <si>
    <t>111402</t>
  </si>
  <si>
    <t>4,45/4,5/4,27</t>
  </si>
  <si>
    <t>5,12/5,24</t>
  </si>
  <si>
    <t>200099813</t>
  </si>
  <si>
    <t>111412</t>
  </si>
  <si>
    <t>4,48/4,04/4,12</t>
  </si>
  <si>
    <t>5,03/4,90</t>
  </si>
  <si>
    <t>200099814</t>
  </si>
  <si>
    <t>111422</t>
  </si>
  <si>
    <t>4,44/4,1/4,08</t>
  </si>
  <si>
    <t>5,21/5,10</t>
  </si>
  <si>
    <t>200099815</t>
  </si>
  <si>
    <t>111432</t>
  </si>
  <si>
    <t>4,18/4,43/4,34</t>
  </si>
  <si>
    <t>5,43/5,53</t>
  </si>
  <si>
    <t>200100093</t>
  </si>
  <si>
    <t>112362</t>
  </si>
  <si>
    <t>4,45/4,00/4,49</t>
  </si>
  <si>
    <t>5,14/5,28</t>
  </si>
  <si>
    <t>200100094</t>
  </si>
  <si>
    <t>112372</t>
  </si>
  <si>
    <t>4,59/4,41/4,02</t>
  </si>
  <si>
    <t>5,38/5,27</t>
  </si>
  <si>
    <t>200100095</t>
  </si>
  <si>
    <t>112382</t>
  </si>
  <si>
    <t>4,00/4,38/4,21</t>
  </si>
  <si>
    <t>5,19/5,19</t>
  </si>
  <si>
    <t>200100096</t>
  </si>
  <si>
    <t>112392</t>
  </si>
  <si>
    <t>4,33/4,27/4,07</t>
  </si>
  <si>
    <t>4,97/5,21</t>
  </si>
  <si>
    <t>200100143</t>
  </si>
  <si>
    <t>120312</t>
  </si>
  <si>
    <t>4,32/4,45/4,37</t>
  </si>
  <si>
    <t>200100144</t>
  </si>
  <si>
    <t>120322</t>
  </si>
  <si>
    <t>4,40/4,27/4,03</t>
  </si>
  <si>
    <t>5,27/5,28</t>
  </si>
  <si>
    <t>200100145</t>
  </si>
  <si>
    <t>120332</t>
  </si>
  <si>
    <t>4,21/4,48/4,29</t>
  </si>
  <si>
    <t>5,2/5,27</t>
  </si>
  <si>
    <t>200100146</t>
  </si>
  <si>
    <t>120342</t>
  </si>
  <si>
    <t>4,24/4,45/4,53</t>
  </si>
  <si>
    <t>5,27/5,27</t>
  </si>
  <si>
    <t>200100147</t>
  </si>
  <si>
    <t>120352</t>
  </si>
  <si>
    <t>4,45/4,37/4,52</t>
  </si>
  <si>
    <t>5,15/5,83</t>
  </si>
  <si>
    <t>200100148</t>
  </si>
  <si>
    <t>120362</t>
  </si>
  <si>
    <t>4,47/4,43/4,5</t>
  </si>
  <si>
    <t>5,27/5,04</t>
  </si>
  <si>
    <t>200100149</t>
  </si>
  <si>
    <t>120372</t>
  </si>
  <si>
    <t>4,20/4,42/4,22</t>
  </si>
  <si>
    <t>5,22/5,22</t>
  </si>
  <si>
    <t>200100019</t>
  </si>
  <si>
    <t>121112</t>
  </si>
  <si>
    <t>4,51/4,47/4,48</t>
  </si>
  <si>
    <t>5,05/5,04</t>
  </si>
  <si>
    <t>200100053</t>
  </si>
  <si>
    <t>121122</t>
  </si>
  <si>
    <t>4,03/4,4/4,32</t>
  </si>
  <si>
    <t>5,28/5,27</t>
  </si>
  <si>
    <t>200100054</t>
  </si>
  <si>
    <t>121132</t>
  </si>
  <si>
    <t>4,46/4,11/4,14</t>
  </si>
  <si>
    <t>5,14/5,05</t>
  </si>
  <si>
    <t>200100055</t>
  </si>
  <si>
    <t>121142</t>
  </si>
  <si>
    <t>4,5/4,5/4,39</t>
  </si>
  <si>
    <t>5,20/5,09</t>
  </si>
  <si>
    <t>200100338</t>
  </si>
  <si>
    <t>122072</t>
  </si>
  <si>
    <t>4,51/4,39/4,21</t>
  </si>
  <si>
    <t>5,07/5,23</t>
  </si>
  <si>
    <t>200100339</t>
  </si>
  <si>
    <t>122082</t>
  </si>
  <si>
    <t>4,42/4,10/4,37</t>
  </si>
  <si>
    <t>5,00/5,25</t>
  </si>
  <si>
    <t>200100340</t>
  </si>
  <si>
    <t>122092</t>
  </si>
  <si>
    <t>D 3 LT 1</t>
  </si>
  <si>
    <t>4,39/4,10/4,04</t>
  </si>
  <si>
    <t>5,41/4,97</t>
  </si>
  <si>
    <t>TUMBLING MIXER LT 1</t>
  </si>
  <si>
    <t>200100341</t>
  </si>
  <si>
    <t>122102</t>
  </si>
  <si>
    <t>4,40/4,24/4,33</t>
  </si>
  <si>
    <t>4,27/4,91</t>
  </si>
  <si>
    <t>200100342</t>
  </si>
  <si>
    <t>122112</t>
  </si>
  <si>
    <t>4,47/4,32/4,38</t>
  </si>
  <si>
    <t>4,99/5,27</t>
  </si>
  <si>
    <t>DI KERJAKAN DI LT 1</t>
  </si>
  <si>
    <t>M</t>
  </si>
  <si>
    <t>200100487</t>
  </si>
  <si>
    <t>010203</t>
  </si>
  <si>
    <t>4,42/4,22/4,33</t>
  </si>
  <si>
    <t>5,30/5,41</t>
  </si>
  <si>
    <t>200100488</t>
  </si>
  <si>
    <t>010213</t>
  </si>
  <si>
    <t>4,34/4,26/4,43</t>
  </si>
  <si>
    <t>5,01/5,26</t>
  </si>
  <si>
    <t>200100489</t>
  </si>
  <si>
    <t>010223</t>
  </si>
  <si>
    <t>4,46/4,45/4,31</t>
  </si>
  <si>
    <t>5,30/5,42</t>
  </si>
  <si>
    <t>200100577</t>
  </si>
  <si>
    <t>010863</t>
  </si>
  <si>
    <t>4,32/4,51/4,30</t>
  </si>
  <si>
    <t>5,29/5,05</t>
  </si>
  <si>
    <t>200100578</t>
  </si>
  <si>
    <t>010873</t>
  </si>
  <si>
    <t>4,21/4,29/4,30</t>
  </si>
  <si>
    <t>5,22/5,39</t>
  </si>
  <si>
    <t>200100579</t>
  </si>
  <si>
    <t>010883</t>
  </si>
  <si>
    <t>4,36/4,14/4,14</t>
  </si>
  <si>
    <t>5,24/5,32</t>
  </si>
  <si>
    <t>200100580</t>
  </si>
  <si>
    <t>010893</t>
  </si>
  <si>
    <t>4,05/4,30/4,47</t>
  </si>
  <si>
    <t>5,45/5,27</t>
  </si>
  <si>
    <t>200100608</t>
  </si>
  <si>
    <t>011173</t>
  </si>
  <si>
    <t>4,47/4,27/4,42</t>
  </si>
  <si>
    <t>5,26/5,29</t>
  </si>
  <si>
    <t>200100609</t>
  </si>
  <si>
    <t>011183</t>
  </si>
  <si>
    <t>4,24/4,23/4,37</t>
  </si>
  <si>
    <t>5,25/5,28</t>
  </si>
  <si>
    <t>020183</t>
  </si>
  <si>
    <t>4,38/4,05/4,34</t>
  </si>
  <si>
    <t>5,43/5,17</t>
  </si>
  <si>
    <t>020193</t>
  </si>
  <si>
    <t>4,15/4,37/4,19</t>
  </si>
  <si>
    <t>5,43/5,14</t>
  </si>
  <si>
    <t>020203</t>
  </si>
  <si>
    <t>4,19/4,12/4,32</t>
  </si>
  <si>
    <t>5,38/5,03</t>
  </si>
  <si>
    <t>020213</t>
  </si>
  <si>
    <t>4,07/4,29/4,59</t>
  </si>
  <si>
    <t>5,12/5,36</t>
  </si>
  <si>
    <t>020223</t>
  </si>
  <si>
    <t>4,52/4,02/4,24</t>
  </si>
  <si>
    <t>5,30/5,17</t>
  </si>
  <si>
    <t>020583</t>
  </si>
  <si>
    <t>4,48/4,30/4,19</t>
  </si>
  <si>
    <t>020593</t>
  </si>
  <si>
    <t>4,42/4,21/4,42</t>
  </si>
  <si>
    <t>5,21/5,21</t>
  </si>
  <si>
    <t>020603</t>
  </si>
  <si>
    <t>4,05/4,45/4,37</t>
  </si>
  <si>
    <t>5,05/5,06</t>
  </si>
  <si>
    <t>020613</t>
  </si>
  <si>
    <t>4,46/4,47/4,10</t>
  </si>
  <si>
    <t>5,21/5,20</t>
  </si>
  <si>
    <t>020623</t>
  </si>
  <si>
    <t>4,14/4,25/4,39</t>
  </si>
  <si>
    <t>5,10/5,28</t>
  </si>
  <si>
    <t>020633</t>
  </si>
  <si>
    <t>4,05/4,20/4,29</t>
  </si>
  <si>
    <t>5,03/5,12</t>
  </si>
  <si>
    <t>020643</t>
  </si>
  <si>
    <t>4,11/4,52/4,50</t>
  </si>
  <si>
    <t>5,21/5,22</t>
  </si>
  <si>
    <t>021383</t>
  </si>
  <si>
    <t>4,31/4,18/4,30</t>
  </si>
  <si>
    <t>021393</t>
  </si>
  <si>
    <t>4,41/4,36/4,30</t>
  </si>
  <si>
    <t>021403</t>
  </si>
  <si>
    <t>4,41/4,40/4,58</t>
  </si>
  <si>
    <t>021413</t>
  </si>
  <si>
    <t>4,26/4,39/4,46</t>
  </si>
  <si>
    <t>5,20/5,00</t>
  </si>
  <si>
    <t>021423</t>
  </si>
  <si>
    <t>4,37/4,01/4,01</t>
  </si>
  <si>
    <t>5,26/4,94</t>
  </si>
  <si>
    <t>030103</t>
  </si>
  <si>
    <t>4,19/4,38/4,37</t>
  </si>
  <si>
    <t>5,07/5,21</t>
  </si>
  <si>
    <t>030113</t>
  </si>
  <si>
    <t>4,04/4,07/4,20</t>
  </si>
  <si>
    <t>030123</t>
  </si>
  <si>
    <t>4,10/4,32/4,40</t>
  </si>
  <si>
    <t>5,43/5,42</t>
  </si>
  <si>
    <t>030133</t>
  </si>
  <si>
    <t>4,11/4,31/4,23</t>
  </si>
  <si>
    <t>5,28/5,25</t>
  </si>
  <si>
    <t>030143</t>
  </si>
  <si>
    <t>4,24/4,28/4,06</t>
  </si>
  <si>
    <t>030153</t>
  </si>
  <si>
    <t>4,09/4,17/4,38</t>
  </si>
  <si>
    <t>031823</t>
  </si>
  <si>
    <t>4,50/4,24/4,43</t>
  </si>
  <si>
    <t>5,29/5,15</t>
  </si>
  <si>
    <t>031833</t>
  </si>
  <si>
    <t>4,32/4,00/4,24</t>
  </si>
  <si>
    <t>5,29/5,14</t>
  </si>
  <si>
    <t>031843</t>
  </si>
  <si>
    <t>4,46/4,35/4,14</t>
  </si>
  <si>
    <t>031853</t>
  </si>
  <si>
    <t>4,40/4,36/4,37</t>
  </si>
  <si>
    <t>5,25/5,20</t>
  </si>
  <si>
    <t>031863</t>
  </si>
  <si>
    <t>4,42/4,20/4,25</t>
  </si>
  <si>
    <t>5,20/5,25</t>
  </si>
  <si>
    <t>040323</t>
  </si>
  <si>
    <t>4,07/4,17/4,15</t>
  </si>
  <si>
    <t>040333</t>
  </si>
  <si>
    <t>4,45/4,26/4,44</t>
  </si>
  <si>
    <t>5,20/5,19</t>
  </si>
  <si>
    <t>040343</t>
  </si>
  <si>
    <t>4,49/4,44/4,07</t>
  </si>
  <si>
    <t>040353</t>
  </si>
  <si>
    <t>CB  2/CB 1</t>
  </si>
  <si>
    <t>24 &amp; 27 March 2023</t>
  </si>
  <si>
    <t>4,32/4,34/4,57</t>
  </si>
  <si>
    <t>5,14/5,27</t>
  </si>
  <si>
    <t>040363</t>
  </si>
  <si>
    <t>4,29/4,12/4,27</t>
  </si>
  <si>
    <t>040373</t>
  </si>
  <si>
    <t>4,43/4,18/4,21</t>
  </si>
  <si>
    <t>5,22/5,29</t>
  </si>
  <si>
    <t>040383</t>
  </si>
  <si>
    <t>4,35/4,08/4,36</t>
  </si>
  <si>
    <t>5,16/5,23</t>
  </si>
  <si>
    <t>040393</t>
  </si>
  <si>
    <t>4,49/4,40/4,53</t>
  </si>
  <si>
    <t>5,3/5,0</t>
  </si>
  <si>
    <t>041103</t>
  </si>
  <si>
    <t>4,34/4,05/4,37</t>
  </si>
  <si>
    <t>5,05/5,14</t>
  </si>
  <si>
    <t>041123</t>
  </si>
  <si>
    <t>4,39/4,29/4,34</t>
  </si>
  <si>
    <t>5,02/5,20</t>
  </si>
  <si>
    <t>050123</t>
  </si>
  <si>
    <t>4,44/4,04/4,29</t>
  </si>
  <si>
    <t>050273</t>
  </si>
  <si>
    <t>4,07/4,28/4,20</t>
  </si>
  <si>
    <t>5,12/5,17</t>
  </si>
  <si>
    <t>050283</t>
  </si>
  <si>
    <t>4,29/4,44/4,29</t>
  </si>
  <si>
    <t>5,00/5,22</t>
  </si>
  <si>
    <t>050293</t>
  </si>
  <si>
    <t>4,17/4,51/4,55</t>
  </si>
  <si>
    <t>060483</t>
  </si>
  <si>
    <t>4,49/4,44/4,21</t>
  </si>
  <si>
    <t>5,11/5,29</t>
  </si>
  <si>
    <t>060493</t>
  </si>
  <si>
    <t>4,52/4,25/4,35</t>
  </si>
  <si>
    <t>5,04/5,29</t>
  </si>
  <si>
    <t>060503</t>
  </si>
  <si>
    <t>4,14/4,48/4,12</t>
  </si>
  <si>
    <t>5,11/5,02</t>
  </si>
  <si>
    <t>060513</t>
  </si>
  <si>
    <t>4,21/4,52/4,02</t>
  </si>
  <si>
    <t>060523</t>
  </si>
  <si>
    <t>4,22/4,32/4,52</t>
  </si>
  <si>
    <t>060533</t>
  </si>
  <si>
    <t>061093</t>
  </si>
  <si>
    <t>4,31/4,30/4,00</t>
  </si>
  <si>
    <t>5,19/5,23</t>
  </si>
  <si>
    <t>061103</t>
  </si>
  <si>
    <t>4,25/4,01/4,55</t>
  </si>
  <si>
    <t>5,14/5,02</t>
  </si>
  <si>
    <t>061113</t>
  </si>
  <si>
    <t>4,48/4,54/4,27</t>
  </si>
  <si>
    <t>5,25/5,26</t>
  </si>
  <si>
    <t>061123</t>
  </si>
  <si>
    <t>4,00/4,49/4,17</t>
  </si>
  <si>
    <t>061133</t>
  </si>
  <si>
    <t>4,07/4,38/4,42</t>
  </si>
  <si>
    <t>5,21/5,23</t>
  </si>
  <si>
    <t>061143</t>
  </si>
  <si>
    <t>4,38/4,43/4,23</t>
  </si>
  <si>
    <t>5,08/5,29</t>
  </si>
  <si>
    <t>061583</t>
  </si>
  <si>
    <t>4,27/4,29/4,50</t>
  </si>
  <si>
    <t>5,22/5,07</t>
  </si>
  <si>
    <t>061593</t>
  </si>
  <si>
    <t>4,52/4,39/4,43</t>
  </si>
  <si>
    <t>061603</t>
  </si>
  <si>
    <t>4,53/4,22/4,20</t>
  </si>
  <si>
    <t>061613</t>
  </si>
  <si>
    <t>4,36/4,02/4,32</t>
  </si>
  <si>
    <t>5,13/5,39</t>
  </si>
  <si>
    <t>070783</t>
  </si>
  <si>
    <t>4,34/4,35/4,52</t>
  </si>
  <si>
    <t>5,29/5,27</t>
  </si>
  <si>
    <t>070793</t>
  </si>
  <si>
    <t>4,46/4,24/4,32</t>
  </si>
  <si>
    <t>070803</t>
  </si>
  <si>
    <t>4,07/4,14/4,17</t>
  </si>
  <si>
    <t>5,24/5,09</t>
  </si>
  <si>
    <t>070813</t>
  </si>
  <si>
    <t>4,38/4,39/4,09</t>
  </si>
  <si>
    <t>5,17/5,33</t>
  </si>
  <si>
    <t>080563</t>
  </si>
  <si>
    <t>4,27/4,43/4,11</t>
  </si>
  <si>
    <t>5,22/5,15</t>
  </si>
  <si>
    <t>080573</t>
  </si>
  <si>
    <t>4,46/4,29/4,45</t>
  </si>
  <si>
    <t>080583</t>
  </si>
  <si>
    <t>4,43/4,40/4,39</t>
  </si>
  <si>
    <t>5,04/4,99</t>
  </si>
  <si>
    <t>080593</t>
  </si>
  <si>
    <t>4,34/4,37/4,34</t>
  </si>
  <si>
    <t>4,95/5,22</t>
  </si>
  <si>
    <t>080603</t>
  </si>
  <si>
    <t>4,13/4,09/4,24</t>
  </si>
  <si>
    <t>5,23/5,02</t>
  </si>
  <si>
    <t>080613</t>
  </si>
  <si>
    <t>4,15/4,41/4,30</t>
  </si>
  <si>
    <t>5,05/5,20</t>
  </si>
  <si>
    <t>080623</t>
  </si>
  <si>
    <t>4,36/4,32/4,34</t>
  </si>
  <si>
    <t>5,25/5,15</t>
  </si>
  <si>
    <t>080633</t>
  </si>
  <si>
    <t>4,44/4,55/4,14</t>
  </si>
  <si>
    <t>080643</t>
  </si>
  <si>
    <t>4,09/4,21/4,27</t>
  </si>
  <si>
    <t>5,11/5,27</t>
  </si>
  <si>
    <t>081153</t>
  </si>
  <si>
    <t>4,37/4,11/4,01</t>
  </si>
  <si>
    <t>5,17/5,00</t>
  </si>
  <si>
    <t>081163</t>
  </si>
  <si>
    <t>4,41/4,40/4,09</t>
  </si>
  <si>
    <t>5,24/5,29</t>
  </si>
  <si>
    <t>081173</t>
  </si>
  <si>
    <t>4,22/4,25/4,28</t>
  </si>
  <si>
    <t>5,00/5,26</t>
  </si>
  <si>
    <t>081183</t>
  </si>
  <si>
    <t>4,41/4,37/4,54</t>
  </si>
  <si>
    <t>081193</t>
  </si>
  <si>
    <t>4,51/4,43/4,24</t>
  </si>
  <si>
    <t>5,02/5,24</t>
  </si>
  <si>
    <t>081203</t>
  </si>
  <si>
    <t>4,35/4,40/4,27</t>
  </si>
  <si>
    <t>5,24/5,24</t>
  </si>
  <si>
    <t>081213</t>
  </si>
  <si>
    <t>4,32/4,28/4,28</t>
  </si>
  <si>
    <t>5,24/5,25</t>
  </si>
  <si>
    <t>081223</t>
  </si>
  <si>
    <t>4,19/4,54/4,52</t>
  </si>
  <si>
    <t>082433</t>
  </si>
  <si>
    <t>4,19/4,34/4,11</t>
  </si>
  <si>
    <t>5,38/5,07</t>
  </si>
  <si>
    <t>082443</t>
  </si>
  <si>
    <t>4,41/4,10/4,12</t>
  </si>
  <si>
    <t>5,19/5,11</t>
  </si>
  <si>
    <t>082453</t>
  </si>
  <si>
    <t>4,1/4,07/4,07</t>
  </si>
  <si>
    <t>082463</t>
  </si>
  <si>
    <t>4,07/4,47/4,40</t>
  </si>
  <si>
    <t>5,11/5,37</t>
  </si>
  <si>
    <t>082473</t>
  </si>
  <si>
    <t>4,07/4,27/4,32</t>
  </si>
  <si>
    <t>5,39/5,19</t>
  </si>
  <si>
    <t>082483</t>
  </si>
  <si>
    <t>4,34/4,43/4,29</t>
  </si>
  <si>
    <t>5,20/5,29</t>
  </si>
  <si>
    <t>082493</t>
  </si>
  <si>
    <t>4,35/4,39/4,17</t>
  </si>
  <si>
    <t>5,04/5,04</t>
  </si>
  <si>
    <t>082503</t>
  </si>
  <si>
    <t>4,30/4,20/4,54</t>
  </si>
  <si>
    <t>082513</t>
  </si>
  <si>
    <t>4,26/4,27/4,22</t>
  </si>
  <si>
    <t>5,16/5,24</t>
  </si>
  <si>
    <t>082523</t>
  </si>
  <si>
    <t>PRODUKSI JALAN DI GRANULASI LT 1 (SABA)</t>
  </si>
  <si>
    <t>082533</t>
  </si>
  <si>
    <t>082543</t>
  </si>
  <si>
    <t>090793</t>
  </si>
  <si>
    <t>4,00/4,19/4,35</t>
  </si>
  <si>
    <t>5,32/5,23</t>
  </si>
  <si>
    <t>090803</t>
  </si>
  <si>
    <t>4,52/4,48/4,50</t>
  </si>
  <si>
    <t>5,38/5,13</t>
  </si>
  <si>
    <t>090813</t>
  </si>
  <si>
    <t>4,45/4,04/4,06</t>
  </si>
  <si>
    <t>5,00/5,13</t>
  </si>
  <si>
    <t>090823</t>
  </si>
  <si>
    <t>4,09/4,49/4,44</t>
  </si>
  <si>
    <t>5,01/5,33</t>
  </si>
  <si>
    <t>091463</t>
  </si>
  <si>
    <t>4,39/4,30/4,02</t>
  </si>
  <si>
    <t>5,12/5,20</t>
  </si>
  <si>
    <t>091473</t>
  </si>
  <si>
    <t>4,49/4,45/4,22</t>
  </si>
  <si>
    <t>091483</t>
  </si>
  <si>
    <t>4,41/4,14,4,32</t>
  </si>
  <si>
    <t>5,51/5,37</t>
  </si>
  <si>
    <t>091743</t>
  </si>
  <si>
    <t>4,22/4,19/4,03</t>
  </si>
  <si>
    <t>5,31/5,14</t>
  </si>
  <si>
    <t>091753</t>
  </si>
  <si>
    <t>4,53/4,09/4,45</t>
  </si>
  <si>
    <t>091763</t>
  </si>
  <si>
    <t>4,17/4,54/4,06</t>
  </si>
  <si>
    <t>5,25/2,14</t>
  </si>
  <si>
    <t>091773</t>
  </si>
  <si>
    <t>4,12/4,10/4,15</t>
  </si>
  <si>
    <t>5,22/5,11</t>
  </si>
  <si>
    <t>092413</t>
  </si>
  <si>
    <t>4,33/4,33/4,24</t>
  </si>
  <si>
    <t>5,19/5,00</t>
  </si>
  <si>
    <t>092423</t>
  </si>
  <si>
    <t>4,22/4,11/4,49</t>
  </si>
  <si>
    <t>092433</t>
  </si>
  <si>
    <t>4,51/4,34/4,29</t>
  </si>
  <si>
    <t>5,02/5,30</t>
  </si>
  <si>
    <t>092443</t>
  </si>
  <si>
    <t>4,21/4,22/4,47</t>
  </si>
  <si>
    <t>5,27/5,19</t>
  </si>
  <si>
    <t>092453</t>
  </si>
  <si>
    <t>4,01/4,28/4,32</t>
  </si>
  <si>
    <t>5,28/5,19</t>
  </si>
  <si>
    <t>4,22/4,07/4,17</t>
  </si>
  <si>
    <t>5,14/5,22</t>
  </si>
  <si>
    <t>4,32/4,47/4,51</t>
  </si>
  <si>
    <t>5,22/5,28</t>
  </si>
  <si>
    <t>4,05/4,14/4,32</t>
  </si>
  <si>
    <t>5,19/5,01</t>
  </si>
  <si>
    <t>4,22/4,30/4,41</t>
  </si>
  <si>
    <t>5,16/5,19</t>
  </si>
  <si>
    <t>4,39/4,37/4,39</t>
  </si>
  <si>
    <t>4,22/4,39/4,32</t>
  </si>
  <si>
    <t>5,49/5,39</t>
  </si>
  <si>
    <t>4,03/4,07/4,49</t>
  </si>
  <si>
    <t>5,08/5,23</t>
  </si>
  <si>
    <t>4,43/4,26/4,36</t>
  </si>
  <si>
    <t>5,1/5,24</t>
  </si>
  <si>
    <t>4,33/4,43/4,19</t>
  </si>
  <si>
    <t>5,18/5,03</t>
  </si>
  <si>
    <t>4,09/4,44/4,42</t>
  </si>
  <si>
    <t>5,03/5,2</t>
  </si>
  <si>
    <t>4,39/4,28/4,44</t>
  </si>
  <si>
    <t>5,23/5,04</t>
  </si>
  <si>
    <t>4,23/4,39/4,45</t>
  </si>
  <si>
    <t>5,12/5,12</t>
  </si>
  <si>
    <t>4,27/4,22/4,21</t>
  </si>
  <si>
    <t>5,22/5,19</t>
  </si>
  <si>
    <t>4,29/4,34/4,42</t>
  </si>
  <si>
    <t>5,22/5,20</t>
  </si>
  <si>
    <t>4,48/4,37/4,49</t>
  </si>
  <si>
    <t>4,01/4,43/4,38</t>
  </si>
  <si>
    <t>5,23/5,21</t>
  </si>
  <si>
    <t>4,33/4,41/4,45</t>
  </si>
  <si>
    <t>5,26/5,17</t>
  </si>
  <si>
    <t>4,26/4,24/4,18</t>
  </si>
  <si>
    <t>5,2/5,19</t>
  </si>
  <si>
    <t>4,43/4,31/4,43</t>
  </si>
  <si>
    <t>5,1/5,07</t>
  </si>
  <si>
    <t>CK2-LT 1</t>
  </si>
  <si>
    <t>4,46/4,32/4,47</t>
  </si>
  <si>
    <t>5,33/5,17</t>
  </si>
  <si>
    <t>4,35/4,22/4,44</t>
  </si>
  <si>
    <t>5,27/5,23</t>
  </si>
  <si>
    <t>4,43/4,24/4,4</t>
  </si>
  <si>
    <t>5,15/5,05</t>
  </si>
  <si>
    <t>4,47/4,37/4,47</t>
  </si>
  <si>
    <t>4,31/4,35/4,27</t>
  </si>
  <si>
    <t>5,20/5,27</t>
  </si>
  <si>
    <t>4,29/4,35/4,29</t>
  </si>
  <si>
    <t>5,16/5,22</t>
  </si>
  <si>
    <t>4,27/4,39/4,44</t>
  </si>
  <si>
    <t>5,17/5,39</t>
  </si>
  <si>
    <t>BODREX PILEK KAPLET (SABA 1)</t>
  </si>
  <si>
    <t>BODREX PILEK ALERGI/KAP 4'S BLS (SABA 1)</t>
  </si>
  <si>
    <t>300018138</t>
  </si>
  <si>
    <t>021222 1</t>
  </si>
  <si>
    <t>4,24/4,37</t>
  </si>
  <si>
    <t>300018139</t>
  </si>
  <si>
    <t>021222 2</t>
  </si>
  <si>
    <t>4,44/4,39</t>
  </si>
  <si>
    <t>300018172</t>
  </si>
  <si>
    <t>021222 3</t>
  </si>
  <si>
    <t>4,47/4,51</t>
  </si>
  <si>
    <t>300018173</t>
  </si>
  <si>
    <t>021222 4</t>
  </si>
  <si>
    <t>4,39/4,32</t>
  </si>
  <si>
    <t>300018174</t>
  </si>
  <si>
    <t>021222 5</t>
  </si>
  <si>
    <t>4,44/4,33</t>
  </si>
  <si>
    <t>300018175</t>
  </si>
  <si>
    <t>021222 6</t>
  </si>
  <si>
    <t>4,37/4,49</t>
  </si>
  <si>
    <t>300018176</t>
  </si>
  <si>
    <t>021222 7</t>
  </si>
  <si>
    <t>4,42/4,3</t>
  </si>
  <si>
    <t>300018177</t>
  </si>
  <si>
    <t>021222 8</t>
  </si>
  <si>
    <t>4,45/4,22</t>
  </si>
  <si>
    <t>300018178</t>
  </si>
  <si>
    <t>021222 9</t>
  </si>
  <si>
    <t>4,36/4,34</t>
  </si>
  <si>
    <t>ck 2</t>
  </si>
  <si>
    <t>300018179</t>
  </si>
  <si>
    <t>030342 1</t>
  </si>
  <si>
    <t>4,44/4,22</t>
  </si>
  <si>
    <t>300018300</t>
  </si>
  <si>
    <t>030342 2</t>
  </si>
  <si>
    <t>4,51/4,18</t>
  </si>
  <si>
    <t>300018301</t>
  </si>
  <si>
    <t>030342 3</t>
  </si>
  <si>
    <t>4,52/4,36</t>
  </si>
  <si>
    <t>030342 4</t>
  </si>
  <si>
    <t>4,51/4,44</t>
  </si>
  <si>
    <t>030342 5</t>
  </si>
  <si>
    <t>4,14/4,45</t>
  </si>
  <si>
    <t>030342 6</t>
  </si>
  <si>
    <t>4,44/4,57</t>
  </si>
  <si>
    <t>030342 7</t>
  </si>
  <si>
    <t>4,12/4,27</t>
  </si>
  <si>
    <t>030342 8</t>
  </si>
  <si>
    <t>4,45/4,51</t>
  </si>
  <si>
    <t>030342 9</t>
  </si>
  <si>
    <t>4,52/4,42</t>
  </si>
  <si>
    <t>030702 1</t>
  </si>
  <si>
    <t>4,17/4,24</t>
  </si>
  <si>
    <t>030702 2</t>
  </si>
  <si>
    <t>4,36/4,27</t>
  </si>
  <si>
    <t>030702 3</t>
  </si>
  <si>
    <t>4,32/4,49</t>
  </si>
  <si>
    <t>060602 1</t>
  </si>
  <si>
    <t>4,38/4,10</t>
  </si>
  <si>
    <t>060602 2</t>
  </si>
  <si>
    <t>4,09/4,27</t>
  </si>
  <si>
    <t>060602 3</t>
  </si>
  <si>
    <t>4,29/4,34</t>
  </si>
  <si>
    <t>060602 4</t>
  </si>
  <si>
    <t>4,37/4,36</t>
  </si>
  <si>
    <t>060602 5</t>
  </si>
  <si>
    <t>4,24/4,07</t>
  </si>
  <si>
    <t>060602 6</t>
  </si>
  <si>
    <t>4,20/4,30</t>
  </si>
  <si>
    <t>060602 7</t>
  </si>
  <si>
    <t>4,42/4,05</t>
  </si>
  <si>
    <t>060602 8</t>
  </si>
  <si>
    <t>4,44/4,54</t>
  </si>
  <si>
    <t>060602 9</t>
  </si>
  <si>
    <t>4,55/4,20</t>
  </si>
  <si>
    <t>060612 1</t>
  </si>
  <si>
    <t>4,41/4,26</t>
  </si>
  <si>
    <t>070802 1</t>
  </si>
  <si>
    <t>4,60/4,65</t>
  </si>
  <si>
    <t>070802 2</t>
  </si>
  <si>
    <t>4,81/4,71</t>
  </si>
  <si>
    <t>070802 3</t>
  </si>
  <si>
    <t>4,33/4,69/4,76</t>
  </si>
  <si>
    <t>070802 4</t>
  </si>
  <si>
    <t>4,916/4,77/4,82</t>
  </si>
  <si>
    <t>070802 5</t>
  </si>
  <si>
    <t>4,64/4,81</t>
  </si>
  <si>
    <t>070802 6</t>
  </si>
  <si>
    <t>4,68/4,65</t>
  </si>
  <si>
    <t>070802 7</t>
  </si>
  <si>
    <t>4,66/4,64</t>
  </si>
  <si>
    <t>070802 8</t>
  </si>
  <si>
    <t>4,76/4,80</t>
  </si>
  <si>
    <t>091982 1</t>
  </si>
  <si>
    <t>4,73/4,68</t>
  </si>
  <si>
    <t>4,56/4,42/4,07</t>
  </si>
  <si>
    <t>091982 2</t>
  </si>
  <si>
    <t>4,68/4,67</t>
  </si>
  <si>
    <t>4,57/4,57/4,25</t>
  </si>
  <si>
    <t>091982 3</t>
  </si>
  <si>
    <t>4,67/4,87</t>
  </si>
  <si>
    <t>4,49/4,49/4,50</t>
  </si>
  <si>
    <t>091982 4</t>
  </si>
  <si>
    <t>4,59/4,77</t>
  </si>
  <si>
    <t>4,28/4,55/4,36</t>
  </si>
  <si>
    <t>091982 5</t>
  </si>
  <si>
    <t>4,84/4,64</t>
  </si>
  <si>
    <t>4,28/4,03/4,02</t>
  </si>
  <si>
    <t>091982 6</t>
  </si>
  <si>
    <t>4,62/4,70</t>
  </si>
  <si>
    <t>4,28/4,20/4,28</t>
  </si>
  <si>
    <t>101892 1</t>
  </si>
  <si>
    <t>4,86/4,78</t>
  </si>
  <si>
    <t>4,11/4,52/4,14</t>
  </si>
  <si>
    <t>101892 2</t>
  </si>
  <si>
    <t>4,84/4,61</t>
  </si>
  <si>
    <t>4,56/4,20/4,36</t>
  </si>
  <si>
    <t>101892 3</t>
  </si>
  <si>
    <t>4,82/4,77</t>
  </si>
  <si>
    <t>4,06/4,09/4,52</t>
  </si>
  <si>
    <t>101892 4</t>
  </si>
  <si>
    <t>4,80/4,82</t>
  </si>
  <si>
    <t>4,11/4,06/4,01</t>
  </si>
  <si>
    <t>101892 5</t>
  </si>
  <si>
    <t>4,83/4,56</t>
  </si>
  <si>
    <t>4,01/4,43/4,28</t>
  </si>
  <si>
    <t>101892 6</t>
  </si>
  <si>
    <t>4,66/4,84</t>
  </si>
  <si>
    <t>4,09/4,25/4,34</t>
  </si>
  <si>
    <t>101892 7</t>
  </si>
  <si>
    <t>4,77/4,65</t>
  </si>
  <si>
    <t>4,52/4,00/4,07</t>
  </si>
  <si>
    <t>101892 8</t>
  </si>
  <si>
    <t>4,55/4,00/4,55</t>
  </si>
  <si>
    <t>101892 9</t>
  </si>
  <si>
    <t>4,73/4,69</t>
  </si>
  <si>
    <t>4,53/4,50/4,00</t>
  </si>
  <si>
    <t>102852 1</t>
  </si>
  <si>
    <t>4,85/4,74</t>
  </si>
  <si>
    <t>4,45/4,27/4,02</t>
  </si>
  <si>
    <t>102852 2</t>
  </si>
  <si>
    <t>4,77/4,84</t>
  </si>
  <si>
    <t>4,27/4,34/4,07</t>
  </si>
  <si>
    <t>030033 1</t>
  </si>
  <si>
    <t>4,84/4,75</t>
  </si>
  <si>
    <t>4,5/4,37/4,16</t>
  </si>
  <si>
    <t>030033 2</t>
  </si>
  <si>
    <t>4,72/4,65</t>
  </si>
  <si>
    <t>4,00/4,19/4,04</t>
  </si>
  <si>
    <t>030033 3</t>
  </si>
  <si>
    <t>4,59/4,80</t>
  </si>
  <si>
    <t>4,33/4,51/4,31</t>
  </si>
  <si>
    <t>040873 1</t>
  </si>
  <si>
    <t>4,62/4,60</t>
  </si>
  <si>
    <t>4,57/4,32/4,40</t>
  </si>
  <si>
    <t>040873 2</t>
  </si>
  <si>
    <t>4,87/4,62</t>
  </si>
  <si>
    <t>4,37/4,13/4,19</t>
  </si>
  <si>
    <t>040873 3</t>
  </si>
  <si>
    <t>4,87/4,83</t>
  </si>
  <si>
    <t>4,01/4,27/4,22</t>
  </si>
  <si>
    <t>040873 4</t>
  </si>
  <si>
    <t>4,74/4,82</t>
  </si>
  <si>
    <t>4,34/4,10/4,13</t>
  </si>
  <si>
    <t>060693 1</t>
  </si>
  <si>
    <t>4,63/4,59</t>
  </si>
  <si>
    <t>4,17/4,09/4,07</t>
  </si>
  <si>
    <t>060693 2</t>
  </si>
  <si>
    <t>4,67/4,65</t>
  </si>
  <si>
    <t>4,00/4,12/4,34</t>
  </si>
  <si>
    <t>060693 3</t>
  </si>
  <si>
    <t>4,34/4,18/4,19</t>
  </si>
  <si>
    <t>060693 4</t>
  </si>
  <si>
    <t>4,77/4,72</t>
  </si>
  <si>
    <t>4,19/4,22/4,25</t>
  </si>
  <si>
    <t>070263 1</t>
  </si>
  <si>
    <t>4,73/4,82</t>
  </si>
  <si>
    <t>4,16/4,34/4,45</t>
  </si>
  <si>
    <t>070263 2</t>
  </si>
  <si>
    <t>4,84/4,79</t>
  </si>
  <si>
    <t>4,33/4,17/4,25</t>
  </si>
  <si>
    <t>070263 3</t>
  </si>
  <si>
    <t>4,76/4,61</t>
  </si>
  <si>
    <t>4,19/4,09/4,53</t>
  </si>
  <si>
    <t>070263 4</t>
  </si>
  <si>
    <t>4,67/4,58</t>
  </si>
  <si>
    <t>4,17/4,14/4,42</t>
  </si>
  <si>
    <t>070263 5</t>
  </si>
  <si>
    <t>4,62/4,82</t>
  </si>
  <si>
    <t>4,02,4,47/4,22</t>
  </si>
  <si>
    <t>082293 1</t>
  </si>
  <si>
    <t>4,69/4,56</t>
  </si>
  <si>
    <t>4,12/4,14/4,47</t>
  </si>
  <si>
    <t>082293 2</t>
  </si>
  <si>
    <t>4,52/4,23/4,37</t>
  </si>
  <si>
    <t>082293 3</t>
  </si>
  <si>
    <t>4,69/4,64</t>
  </si>
  <si>
    <t>4,09/4,15/4,27</t>
  </si>
  <si>
    <t>082293 4</t>
  </si>
  <si>
    <t>4,61/4,79</t>
  </si>
  <si>
    <t>4,16/4,22/4,33</t>
  </si>
  <si>
    <t>082293 5</t>
  </si>
  <si>
    <t>4,73/4,84</t>
  </si>
  <si>
    <t>4,44/4,04/4,50</t>
  </si>
  <si>
    <t>082293 6</t>
  </si>
  <si>
    <t>4,78/4,83</t>
  </si>
  <si>
    <t>4,36/4,04/4,24</t>
  </si>
  <si>
    <t>FMOL</t>
  </si>
  <si>
    <t>P</t>
  </si>
  <si>
    <t>FLUMOL PE KAPLET/100X10'S E MM</t>
  </si>
  <si>
    <t>300018321</t>
  </si>
  <si>
    <t>032042 1</t>
  </si>
  <si>
    <t>071522 1</t>
  </si>
  <si>
    <t>3,49/3,64/3,58/3,43</t>
  </si>
  <si>
    <t>4,50/4,46</t>
  </si>
  <si>
    <t>071522 2</t>
  </si>
  <si>
    <t>3,61/3,58/3,61/3,45</t>
  </si>
  <si>
    <t>4,54/4,56</t>
  </si>
  <si>
    <t>071522 3</t>
  </si>
  <si>
    <t>3,60/3,58/3,43/3,40</t>
  </si>
  <si>
    <t>4,5/4,00</t>
  </si>
  <si>
    <t>071522 4</t>
  </si>
  <si>
    <t>3,26/3,64/3,61/,3,31</t>
  </si>
  <si>
    <t>4,22/4,14</t>
  </si>
  <si>
    <t>071522 5</t>
  </si>
  <si>
    <t>3,51/3,43/3,69/3,59</t>
  </si>
  <si>
    <t>4,47/4,37</t>
  </si>
  <si>
    <t>101902 1</t>
  </si>
  <si>
    <t>3,67/3,54/3,55/3,25</t>
  </si>
  <si>
    <t>4,48/4,29</t>
  </si>
  <si>
    <t>101902 2</t>
  </si>
  <si>
    <t>3,35/3,42/3,56/3,54</t>
  </si>
  <si>
    <t>4,49/4,09</t>
  </si>
  <si>
    <t>022133 1</t>
  </si>
  <si>
    <t>3,57/3,43/3,57/3,39</t>
  </si>
  <si>
    <t>4,19/4,49</t>
  </si>
  <si>
    <t>022133 2</t>
  </si>
  <si>
    <t>3,52/3,20/3,33/3,33</t>
  </si>
  <si>
    <t>4,35/4,02</t>
  </si>
  <si>
    <t>022133 3</t>
  </si>
  <si>
    <t>3,47/3,57/3,62/3,57</t>
  </si>
  <si>
    <t>4,47/4,05</t>
  </si>
  <si>
    <t>022133 4</t>
  </si>
  <si>
    <t>3,20/3,22/3,44/3,50</t>
  </si>
  <si>
    <t>4,36/4,49</t>
  </si>
  <si>
    <t>022133 5</t>
  </si>
  <si>
    <t>3,65/3,60/3,45/3,34</t>
  </si>
  <si>
    <t>4,48/4,24</t>
  </si>
  <si>
    <t>SARA</t>
  </si>
  <si>
    <t>SAKURA EXTRA KAPLET/20E NF NG</t>
  </si>
  <si>
    <t>300017930</t>
  </si>
  <si>
    <t>020342-1</t>
  </si>
  <si>
    <t>CK1</t>
  </si>
  <si>
    <t>300017931</t>
  </si>
  <si>
    <t>020342-2</t>
  </si>
  <si>
    <t>300017932</t>
  </si>
  <si>
    <t>020342-3</t>
  </si>
  <si>
    <t>300017933</t>
  </si>
  <si>
    <t>020342-4</t>
  </si>
  <si>
    <t>300017939</t>
  </si>
  <si>
    <t>020342-5</t>
  </si>
  <si>
    <t>300018080</t>
  </si>
  <si>
    <t>020342-6</t>
  </si>
  <si>
    <t>300018081</t>
  </si>
  <si>
    <t>020342-7</t>
  </si>
  <si>
    <t>300018082</t>
  </si>
  <si>
    <t>020342-8</t>
  </si>
  <si>
    <t>300018083</t>
  </si>
  <si>
    <t>020342-9</t>
  </si>
  <si>
    <t>300018084</t>
  </si>
  <si>
    <t>020352 1</t>
  </si>
  <si>
    <t>300018085</t>
  </si>
  <si>
    <t>020352 2</t>
  </si>
  <si>
    <t>300018086</t>
  </si>
  <si>
    <t>020352 3</t>
  </si>
  <si>
    <t>300018087</t>
  </si>
  <si>
    <t>020352 4</t>
  </si>
  <si>
    <t>300017934</t>
  </si>
  <si>
    <t>020352 5</t>
  </si>
  <si>
    <t>300017935</t>
  </si>
  <si>
    <t>020352 6</t>
  </si>
  <si>
    <t>300017936</t>
  </si>
  <si>
    <t>020352 7</t>
  </si>
  <si>
    <t>300017937</t>
  </si>
  <si>
    <t>020352 8</t>
  </si>
  <si>
    <t>300017938</t>
  </si>
  <si>
    <t>020352 9</t>
  </si>
  <si>
    <t>082482 1</t>
  </si>
  <si>
    <t>082482 2</t>
  </si>
  <si>
    <t>082482 3</t>
  </si>
  <si>
    <t>082482 4</t>
  </si>
  <si>
    <t>082482 5</t>
  </si>
  <si>
    <t>082482 6</t>
  </si>
  <si>
    <t>082482 7</t>
  </si>
  <si>
    <t>082482 8</t>
  </si>
  <si>
    <t>082482 9</t>
  </si>
  <si>
    <t>082742 1</t>
  </si>
  <si>
    <t xml:space="preserve">STRA </t>
  </si>
  <si>
    <t>NEO RHEUMACYL/TAB 20'S BLS</t>
  </si>
  <si>
    <t>200096504</t>
  </si>
  <si>
    <t>200096505</t>
  </si>
  <si>
    <t>200096506</t>
  </si>
  <si>
    <t>200096507</t>
  </si>
  <si>
    <t>200096508</t>
  </si>
  <si>
    <t>200096609</t>
  </si>
  <si>
    <t>200096610</t>
  </si>
  <si>
    <t>200096611</t>
  </si>
  <si>
    <t>200096612</t>
  </si>
  <si>
    <t>200096613</t>
  </si>
  <si>
    <t>200096614</t>
  </si>
  <si>
    <t>012502</t>
  </si>
  <si>
    <t>012512</t>
  </si>
  <si>
    <t>012522</t>
  </si>
  <si>
    <t>012532</t>
  </si>
  <si>
    <t>012542</t>
  </si>
  <si>
    <t>012552</t>
  </si>
  <si>
    <t>012562</t>
  </si>
  <si>
    <t>012572</t>
  </si>
  <si>
    <t>012582</t>
  </si>
  <si>
    <t>012592</t>
  </si>
  <si>
    <t>012602</t>
  </si>
  <si>
    <t>012612</t>
  </si>
  <si>
    <t>012622</t>
  </si>
  <si>
    <t>012632</t>
  </si>
  <si>
    <t>012642</t>
  </si>
  <si>
    <t>012652</t>
  </si>
  <si>
    <t>012662</t>
  </si>
  <si>
    <t>012672</t>
  </si>
  <si>
    <t>012682</t>
  </si>
  <si>
    <t>012692</t>
  </si>
  <si>
    <t>012702</t>
  </si>
  <si>
    <t>012712</t>
  </si>
  <si>
    <t>012722</t>
  </si>
  <si>
    <t>020062</t>
  </si>
  <si>
    <t>020072</t>
  </si>
  <si>
    <t>020082</t>
  </si>
  <si>
    <t>020912</t>
  </si>
  <si>
    <t>METAL DETECTOR</t>
  </si>
  <si>
    <t>020922</t>
  </si>
  <si>
    <t>020932</t>
  </si>
  <si>
    <t>020952</t>
  </si>
  <si>
    <t>020962</t>
  </si>
  <si>
    <t>051872</t>
  </si>
  <si>
    <t>051882</t>
  </si>
  <si>
    <t>051892</t>
  </si>
  <si>
    <t>051902</t>
  </si>
  <si>
    <t>051912</t>
  </si>
  <si>
    <t>051922</t>
  </si>
  <si>
    <t>051932</t>
  </si>
  <si>
    <t>DIKERJAKAN DI LT 1</t>
  </si>
  <si>
    <t>082192</t>
  </si>
  <si>
    <t>082202</t>
  </si>
  <si>
    <t>082212</t>
  </si>
  <si>
    <t>082222</t>
  </si>
  <si>
    <t>082232</t>
  </si>
  <si>
    <t>090012</t>
  </si>
  <si>
    <t>090022</t>
  </si>
  <si>
    <t>090032</t>
  </si>
  <si>
    <t>090042</t>
  </si>
  <si>
    <t>090052</t>
  </si>
  <si>
    <t>090142</t>
  </si>
  <si>
    <t>090152</t>
  </si>
  <si>
    <t>090162</t>
  </si>
  <si>
    <t>090172</t>
  </si>
  <si>
    <t>090182</t>
  </si>
  <si>
    <t>090192</t>
  </si>
  <si>
    <t>090202</t>
  </si>
  <si>
    <t>090212</t>
  </si>
  <si>
    <t>090222</t>
  </si>
  <si>
    <t>090232</t>
  </si>
  <si>
    <t>090242</t>
  </si>
  <si>
    <t>090252</t>
  </si>
  <si>
    <t>090262</t>
  </si>
  <si>
    <t>090272</t>
  </si>
  <si>
    <t>090282</t>
  </si>
  <si>
    <t>090762</t>
  </si>
  <si>
    <t>090772</t>
  </si>
  <si>
    <t>090782</t>
  </si>
  <si>
    <t>090792</t>
  </si>
  <si>
    <t>091532</t>
  </si>
  <si>
    <t>091542</t>
  </si>
  <si>
    <t>091552</t>
  </si>
  <si>
    <t>091562</t>
  </si>
  <si>
    <t>091572</t>
  </si>
  <si>
    <t>091672</t>
  </si>
  <si>
    <t>091682</t>
  </si>
  <si>
    <t>091692</t>
  </si>
  <si>
    <t>091702</t>
  </si>
  <si>
    <t>091712</t>
  </si>
  <si>
    <t>091722</t>
  </si>
  <si>
    <t>091732</t>
  </si>
  <si>
    <t>091742</t>
  </si>
  <si>
    <t>091752</t>
  </si>
  <si>
    <t>091762</t>
  </si>
  <si>
    <t>091772</t>
  </si>
  <si>
    <t>020823</t>
  </si>
  <si>
    <t>020833</t>
  </si>
  <si>
    <t>021143</t>
  </si>
  <si>
    <t>021153</t>
  </si>
  <si>
    <t>021163</t>
  </si>
  <si>
    <t>021173</t>
  </si>
  <si>
    <t>021183</t>
  </si>
  <si>
    <t>021193</t>
  </si>
  <si>
    <t>021203</t>
  </si>
  <si>
    <t>021213</t>
  </si>
  <si>
    <t>021223</t>
  </si>
  <si>
    <t>021233</t>
  </si>
  <si>
    <t>021743</t>
  </si>
  <si>
    <t>021753</t>
  </si>
  <si>
    <t>124,0,</t>
  </si>
  <si>
    <t>030673</t>
  </si>
  <si>
    <t>030683</t>
  </si>
  <si>
    <t>030693</t>
  </si>
  <si>
    <t>030703</t>
  </si>
  <si>
    <t>030713</t>
  </si>
  <si>
    <t>030723</t>
  </si>
  <si>
    <t>040173</t>
  </si>
  <si>
    <t>040183</t>
  </si>
  <si>
    <t>040193</t>
  </si>
  <si>
    <t>040203</t>
  </si>
  <si>
    <t>040703</t>
  </si>
  <si>
    <t>040713</t>
  </si>
  <si>
    <t>040723</t>
  </si>
  <si>
    <t>040733</t>
  </si>
  <si>
    <t>040743</t>
  </si>
  <si>
    <t>040753</t>
  </si>
  <si>
    <t>040763</t>
  </si>
  <si>
    <t>040773</t>
  </si>
  <si>
    <t>040783</t>
  </si>
  <si>
    <t>040793</t>
  </si>
  <si>
    <t>040803</t>
  </si>
  <si>
    <t>040813</t>
  </si>
  <si>
    <t>040823</t>
  </si>
  <si>
    <t>040833</t>
  </si>
  <si>
    <t>071263</t>
  </si>
  <si>
    <t>071843</t>
  </si>
  <si>
    <t>071853</t>
  </si>
  <si>
    <t>071863</t>
  </si>
  <si>
    <t>071873</t>
  </si>
  <si>
    <t>071883</t>
  </si>
  <si>
    <t>071893</t>
  </si>
  <si>
    <t>071903</t>
  </si>
  <si>
    <t>071913</t>
  </si>
  <si>
    <t>071923</t>
  </si>
  <si>
    <t>071933</t>
  </si>
  <si>
    <t>071943</t>
  </si>
  <si>
    <t>071953</t>
  </si>
  <si>
    <t>071963</t>
  </si>
  <si>
    <t>071973</t>
  </si>
  <si>
    <t>071983</t>
  </si>
  <si>
    <t>071993</t>
  </si>
  <si>
    <t>072003</t>
  </si>
  <si>
    <t>072013</t>
  </si>
  <si>
    <t>072023</t>
  </si>
  <si>
    <t>072033</t>
  </si>
  <si>
    <t>080393</t>
  </si>
  <si>
    <t>080403</t>
  </si>
  <si>
    <t>080413</t>
  </si>
  <si>
    <t>080423</t>
  </si>
  <si>
    <t>080433</t>
  </si>
  <si>
    <t>080443</t>
  </si>
  <si>
    <t>080453</t>
  </si>
  <si>
    <t>080463</t>
  </si>
  <si>
    <t>080473</t>
  </si>
  <si>
    <t>080483</t>
  </si>
  <si>
    <t>080493</t>
  </si>
  <si>
    <t>080503</t>
  </si>
  <si>
    <t>080513</t>
  </si>
  <si>
    <t>080523</t>
  </si>
  <si>
    <t>080533</t>
  </si>
  <si>
    <t>080903</t>
  </si>
  <si>
    <t>080913</t>
  </si>
  <si>
    <t>080923</t>
  </si>
  <si>
    <t>080933</t>
  </si>
  <si>
    <t>080943</t>
  </si>
  <si>
    <t>080953</t>
  </si>
  <si>
    <t>080963</t>
  </si>
  <si>
    <t>080973</t>
  </si>
  <si>
    <t>080983</t>
  </si>
  <si>
    <t>080993</t>
  </si>
  <si>
    <t>081003</t>
  </si>
  <si>
    <t>081013</t>
  </si>
  <si>
    <t>081023</t>
  </si>
  <si>
    <t>081033</t>
  </si>
  <si>
    <t>081043</t>
  </si>
  <si>
    <t>081523</t>
  </si>
  <si>
    <t>081533</t>
  </si>
  <si>
    <t>081543</t>
  </si>
  <si>
    <t>081553</t>
  </si>
  <si>
    <t>081563</t>
  </si>
  <si>
    <t>081573</t>
  </si>
  <si>
    <t>081583</t>
  </si>
  <si>
    <t>081593</t>
  </si>
  <si>
    <t>081603</t>
  </si>
  <si>
    <t>081613</t>
  </si>
  <si>
    <t>081623</t>
  </si>
  <si>
    <t>081633</t>
  </si>
  <si>
    <t>081643</t>
  </si>
  <si>
    <t>081653</t>
  </si>
  <si>
    <t>081663</t>
  </si>
  <si>
    <t>081673</t>
  </si>
  <si>
    <t>081683</t>
  </si>
  <si>
    <t>081693</t>
  </si>
  <si>
    <t>081703</t>
  </si>
  <si>
    <t>081713</t>
  </si>
  <si>
    <t>082013</t>
  </si>
  <si>
    <t>082023</t>
  </si>
  <si>
    <t>200102843</t>
  </si>
  <si>
    <t>082033</t>
  </si>
  <si>
    <t>200102844</t>
  </si>
  <si>
    <t>082043</t>
  </si>
  <si>
    <t>200102845</t>
  </si>
  <si>
    <t>082053</t>
  </si>
  <si>
    <t>200102846</t>
  </si>
  <si>
    <t>082063</t>
  </si>
  <si>
    <t>083013</t>
  </si>
  <si>
    <t>083023</t>
  </si>
  <si>
    <t>083033</t>
  </si>
  <si>
    <t>083043</t>
  </si>
  <si>
    <t>083083</t>
  </si>
  <si>
    <t>083093</t>
  </si>
  <si>
    <t>090073</t>
  </si>
  <si>
    <t>090083</t>
  </si>
  <si>
    <t>090093</t>
  </si>
  <si>
    <t>090103</t>
  </si>
  <si>
    <t>090113</t>
  </si>
  <si>
    <t>090123</t>
  </si>
  <si>
    <t>090133</t>
  </si>
  <si>
    <t>090143</t>
  </si>
  <si>
    <t>090153</t>
  </si>
  <si>
    <t>090163</t>
  </si>
  <si>
    <t>090173</t>
  </si>
  <si>
    <t>090183</t>
  </si>
  <si>
    <t>090323</t>
  </si>
  <si>
    <t>090333</t>
  </si>
  <si>
    <t>090343</t>
  </si>
  <si>
    <t>090353</t>
  </si>
  <si>
    <t>090363</t>
  </si>
  <si>
    <t>090383</t>
  </si>
  <si>
    <t>090393</t>
  </si>
  <si>
    <t>090403</t>
  </si>
  <si>
    <t>093053</t>
  </si>
  <si>
    <t>093083</t>
  </si>
  <si>
    <t>1,47/1,59/1,8/1,49</t>
  </si>
  <si>
    <t>1,67/1,60/1,60/1,37</t>
  </si>
  <si>
    <t>1,40/1,77/1,65/1,41</t>
  </si>
  <si>
    <t>1,37/1,70/1,50/1,38</t>
  </si>
  <si>
    <t>1,70/1,77/1,47/1,64</t>
  </si>
  <si>
    <t>1,79/1,62/1,77/1,47</t>
  </si>
  <si>
    <t>1,67/1,5/1,45/1,35</t>
  </si>
  <si>
    <t>1,56/1,43/1,54/1,49</t>
  </si>
  <si>
    <t>1,59/1,50/1,54/1,47</t>
  </si>
  <si>
    <t>1,42/1,50/1,45/1,40</t>
  </si>
  <si>
    <t>1,72/1,50/1,50/1,59</t>
  </si>
  <si>
    <t>1,60/1,80/1,55/1,42</t>
  </si>
  <si>
    <t>1,55/1,47/1,77/1,67</t>
  </si>
  <si>
    <t>1,52/1,64/1,62/1,77</t>
  </si>
  <si>
    <t>1,45/1,52/1,40/1,40</t>
  </si>
  <si>
    <t>1,45/1,55/1,57/1,53</t>
  </si>
  <si>
    <t>1,55/1,42/1,44/1,49</t>
  </si>
  <si>
    <t>1,78/1,45/1,45/1,40</t>
  </si>
  <si>
    <t>1,49/1,56/1,59/1,58</t>
  </si>
  <si>
    <t>1,4/1,53/1,55/1,59</t>
  </si>
  <si>
    <t>1,40/1,80/1,58/1,47</t>
  </si>
  <si>
    <t>1,47/1,54/1,49/1,3</t>
  </si>
  <si>
    <t>1,64/1,58/1,56/1,50</t>
  </si>
  <si>
    <t>1,64/1,30/1,37/1,40</t>
  </si>
  <si>
    <t>1,5/1,3/1,47/1,37</t>
  </si>
  <si>
    <t>2,02/2,03/1,09/2,14</t>
  </si>
  <si>
    <t>1,84/1,65/1,95/1,95</t>
  </si>
  <si>
    <t>1,84/12,07/1,70/1,85</t>
  </si>
  <si>
    <t>1,75/1,80/2,02/1,97</t>
  </si>
  <si>
    <t>1,85/1,77/1,81/1,81</t>
  </si>
  <si>
    <t>1,84/1,82/2,20/2,15</t>
  </si>
  <si>
    <t>1,97/2,19/1,87/1,77</t>
  </si>
  <si>
    <t>1,86/1,94/1,81/1,80</t>
  </si>
  <si>
    <t>1,67/1,72/1,97/1,89</t>
  </si>
  <si>
    <t>1,94/2,09/1,95/1,60</t>
  </si>
  <si>
    <t>1,97/1,82/2,19/1,82</t>
  </si>
  <si>
    <t>1,95/1,79/1,91/1,76</t>
  </si>
  <si>
    <t>2,00/1,89/1,86/2,10</t>
  </si>
  <si>
    <t>1,99/1,90/1,94/1,85</t>
  </si>
  <si>
    <t>1,83/1,78/1,94/1,99</t>
  </si>
  <si>
    <t>1,98/1,84/2,17/2,09</t>
  </si>
  <si>
    <t>1,95/2,,07/1,60/2,09</t>
  </si>
  <si>
    <t>1,87/1,92/1,98/2,04</t>
  </si>
  <si>
    <t>1,97/1,77/1,70/1,70</t>
  </si>
  <si>
    <t>1,91/2,09/2,05/1,72</t>
  </si>
  <si>
    <t>November</t>
  </si>
  <si>
    <t>010104</t>
  </si>
  <si>
    <t>010114</t>
  </si>
  <si>
    <t>050124</t>
  </si>
  <si>
    <t>050134</t>
  </si>
  <si>
    <t>050144</t>
  </si>
  <si>
    <t>050154</t>
  </si>
  <si>
    <t>050164</t>
  </si>
  <si>
    <t>050174</t>
  </si>
  <si>
    <t>050254</t>
  </si>
  <si>
    <t>050264</t>
  </si>
  <si>
    <t>050274</t>
  </si>
  <si>
    <t>050284</t>
  </si>
  <si>
    <t>051044</t>
  </si>
  <si>
    <t>051054</t>
  </si>
  <si>
    <t>051064</t>
  </si>
  <si>
    <t>051074</t>
  </si>
  <si>
    <t>051084</t>
  </si>
  <si>
    <t>051094</t>
  </si>
  <si>
    <t>051104</t>
  </si>
  <si>
    <t>051114</t>
  </si>
  <si>
    <t>051124</t>
  </si>
  <si>
    <t>051434</t>
  </si>
  <si>
    <t>051444</t>
  </si>
  <si>
    <t>051454</t>
  </si>
  <si>
    <t>051464</t>
  </si>
  <si>
    <t>051474</t>
  </si>
  <si>
    <t>051484</t>
  </si>
  <si>
    <t>051494</t>
  </si>
  <si>
    <t>051504</t>
  </si>
  <si>
    <t>051514</t>
  </si>
  <si>
    <t>051524</t>
  </si>
  <si>
    <t>051534</t>
  </si>
  <si>
    <t>051864</t>
  </si>
  <si>
    <t>051874</t>
  </si>
  <si>
    <t>051884</t>
  </si>
  <si>
    <t>200096487</t>
  </si>
  <si>
    <t>010092</t>
  </si>
  <si>
    <t>200097626</t>
  </si>
  <si>
    <t>040872</t>
  </si>
  <si>
    <t>200098261</t>
  </si>
  <si>
    <t>061392</t>
  </si>
  <si>
    <t>200098262</t>
  </si>
  <si>
    <t>061402</t>
  </si>
  <si>
    <t>200098263</t>
  </si>
  <si>
    <t>061412</t>
  </si>
  <si>
    <t>200099567</t>
  </si>
  <si>
    <t>100702</t>
  </si>
  <si>
    <t>200101554</t>
  </si>
  <si>
    <t>040623</t>
  </si>
  <si>
    <t>200102535</t>
  </si>
  <si>
    <t>081293</t>
  </si>
  <si>
    <t>APC P</t>
  </si>
  <si>
    <t>300017848</t>
  </si>
  <si>
    <t>120551 1</t>
  </si>
  <si>
    <t>300017849</t>
  </si>
  <si>
    <t>120551 2</t>
  </si>
  <si>
    <t>300017850</t>
  </si>
  <si>
    <t>120551 3</t>
  </si>
  <si>
    <t>300017851</t>
  </si>
  <si>
    <t>120551 4</t>
  </si>
  <si>
    <t>300017852</t>
  </si>
  <si>
    <t>120551 5</t>
  </si>
  <si>
    <t>300017925</t>
  </si>
  <si>
    <t>120551 6</t>
  </si>
  <si>
    <t>300017926</t>
  </si>
  <si>
    <t>120551 7</t>
  </si>
  <si>
    <t>300017927</t>
  </si>
  <si>
    <t>120551 8</t>
  </si>
  <si>
    <t>300017928</t>
  </si>
  <si>
    <t>120551 9</t>
  </si>
  <si>
    <t>300017929</t>
  </si>
  <si>
    <t>120561 1</t>
  </si>
  <si>
    <t>300017853</t>
  </si>
  <si>
    <t>120561 2</t>
  </si>
  <si>
    <t>300017854</t>
  </si>
  <si>
    <t>120561 3</t>
  </si>
  <si>
    <t>300017855</t>
  </si>
  <si>
    <t>120561 4</t>
  </si>
  <si>
    <t>300017856</t>
  </si>
  <si>
    <t>120561 5</t>
  </si>
  <si>
    <t>300017857</t>
  </si>
  <si>
    <t>120561 6</t>
  </si>
  <si>
    <t>120561 7</t>
  </si>
  <si>
    <t>120561 8</t>
  </si>
  <si>
    <t>120561 9</t>
  </si>
  <si>
    <t>300018206</t>
  </si>
  <si>
    <t>030402 1</t>
  </si>
  <si>
    <t>300018207</t>
  </si>
  <si>
    <t>030402 2</t>
  </si>
  <si>
    <t>300018208</t>
  </si>
  <si>
    <t>030402 3</t>
  </si>
  <si>
    <t>300018209</t>
  </si>
  <si>
    <t>030402 4</t>
  </si>
  <si>
    <t>300018210</t>
  </si>
  <si>
    <t>030402 5</t>
  </si>
  <si>
    <t>300018211</t>
  </si>
  <si>
    <t>030402 6</t>
  </si>
  <si>
    <t>300018212</t>
  </si>
  <si>
    <t>030402 7</t>
  </si>
  <si>
    <t>300018213</t>
  </si>
  <si>
    <t>030402 8</t>
  </si>
  <si>
    <t>300018214</t>
  </si>
  <si>
    <t>030402 9</t>
  </si>
  <si>
    <t>300018215</t>
  </si>
  <si>
    <t>030412 1</t>
  </si>
  <si>
    <t>300018216</t>
  </si>
  <si>
    <t>030412 2</t>
  </si>
  <si>
    <t>300018217</t>
  </si>
  <si>
    <t>030412 3</t>
  </si>
  <si>
    <t>300018218</t>
  </si>
  <si>
    <t>030412 4</t>
  </si>
  <si>
    <t>300018219</t>
  </si>
  <si>
    <t>030412 5</t>
  </si>
  <si>
    <t>300018320</t>
  </si>
  <si>
    <t>030412 6</t>
  </si>
  <si>
    <t>300018482</t>
  </si>
  <si>
    <t>060432 1</t>
  </si>
  <si>
    <t>300018483</t>
  </si>
  <si>
    <t>060432 2</t>
  </si>
  <si>
    <t>300018484</t>
  </si>
  <si>
    <t>060432 3</t>
  </si>
  <si>
    <t>300018485</t>
  </si>
  <si>
    <t>060432 4</t>
  </si>
  <si>
    <t>300018486</t>
  </si>
  <si>
    <t>060432 5</t>
  </si>
  <si>
    <t>300018487</t>
  </si>
  <si>
    <t>060432 6</t>
  </si>
  <si>
    <t>300018488</t>
  </si>
  <si>
    <t>060432 7</t>
  </si>
  <si>
    <t>300018489</t>
  </si>
  <si>
    <t>060432 8</t>
  </si>
  <si>
    <t>300018490</t>
  </si>
  <si>
    <t>060432 9</t>
  </si>
  <si>
    <t>300018491</t>
  </si>
  <si>
    <t>060442 1</t>
  </si>
  <si>
    <t>300018492</t>
  </si>
  <si>
    <t>060442 2</t>
  </si>
  <si>
    <t>300018493</t>
  </si>
  <si>
    <t>060442 3</t>
  </si>
  <si>
    <t>300018494</t>
  </si>
  <si>
    <t>060442 4</t>
  </si>
  <si>
    <t>300018495</t>
  </si>
  <si>
    <t>060442 5</t>
  </si>
  <si>
    <t>300018496</t>
  </si>
  <si>
    <t>060442 6</t>
  </si>
  <si>
    <t>300018497</t>
  </si>
  <si>
    <t>060442 7</t>
  </si>
  <si>
    <t>300018504</t>
  </si>
  <si>
    <t>060442 8</t>
  </si>
  <si>
    <t>300018505</t>
  </si>
  <si>
    <t>060442 9</t>
  </si>
  <si>
    <t>300018807</t>
  </si>
  <si>
    <t>071922 1</t>
  </si>
  <si>
    <t>300018808</t>
  </si>
  <si>
    <t>071922 2</t>
  </si>
  <si>
    <t>300018809</t>
  </si>
  <si>
    <t>071922 3</t>
  </si>
  <si>
    <t>300018810</t>
  </si>
  <si>
    <t>071922 4</t>
  </si>
  <si>
    <t>300018811</t>
  </si>
  <si>
    <t>071922 5</t>
  </si>
  <si>
    <t>300018812</t>
  </si>
  <si>
    <t>071922 6</t>
  </si>
  <si>
    <t>300018813</t>
  </si>
  <si>
    <t>071922 7</t>
  </si>
  <si>
    <t>300018814</t>
  </si>
  <si>
    <t>071922 8</t>
  </si>
  <si>
    <t>300018815</t>
  </si>
  <si>
    <t>071922 9</t>
  </si>
  <si>
    <t>300018816</t>
  </si>
  <si>
    <t>071932 1</t>
  </si>
  <si>
    <t>300019035</t>
  </si>
  <si>
    <t>090372 1</t>
  </si>
  <si>
    <t>300019036</t>
  </si>
  <si>
    <t>090372 2</t>
  </si>
  <si>
    <t>300019037</t>
  </si>
  <si>
    <t>090372 3</t>
  </si>
  <si>
    <t>300019038</t>
  </si>
  <si>
    <t>090372 4</t>
  </si>
  <si>
    <t>300019039</t>
  </si>
  <si>
    <t>090372 5</t>
  </si>
  <si>
    <t>300019040</t>
  </si>
  <si>
    <t>090372 6</t>
  </si>
  <si>
    <t>300019041</t>
  </si>
  <si>
    <t>090372 7</t>
  </si>
  <si>
    <t>300019042</t>
  </si>
  <si>
    <t>090372 8</t>
  </si>
  <si>
    <t>300019043</t>
  </si>
  <si>
    <t>090372 9</t>
  </si>
  <si>
    <t>300019044</t>
  </si>
  <si>
    <t>090382 1</t>
  </si>
  <si>
    <t>300019045</t>
  </si>
  <si>
    <t>090382 2</t>
  </si>
  <si>
    <t>300019046</t>
  </si>
  <si>
    <t>090382 3</t>
  </si>
  <si>
    <t>300019175</t>
  </si>
  <si>
    <t>090382 4</t>
  </si>
  <si>
    <t>300019176</t>
  </si>
  <si>
    <t>090382 5</t>
  </si>
  <si>
    <t>300019177</t>
  </si>
  <si>
    <t>090382 6</t>
  </si>
  <si>
    <t>300019178</t>
  </si>
  <si>
    <t>090382 7</t>
  </si>
  <si>
    <t>300019179</t>
  </si>
  <si>
    <t>090382 8</t>
  </si>
  <si>
    <t>300019220</t>
  </si>
  <si>
    <t>090382 9</t>
  </si>
  <si>
    <t>300019221</t>
  </si>
  <si>
    <t>092002 1</t>
  </si>
  <si>
    <t>300019222</t>
  </si>
  <si>
    <t>092002 2</t>
  </si>
  <si>
    <t>300019203</t>
  </si>
  <si>
    <t>092002 3</t>
  </si>
  <si>
    <t>300019204</t>
  </si>
  <si>
    <t>092002 4</t>
  </si>
  <si>
    <t>300019205</t>
  </si>
  <si>
    <t>092002 5</t>
  </si>
  <si>
    <t>300019206</t>
  </si>
  <si>
    <t>092002 6</t>
  </si>
  <si>
    <t>300019207</t>
  </si>
  <si>
    <t>092002 7</t>
  </si>
  <si>
    <t>300019208</t>
  </si>
  <si>
    <t>092002 8</t>
  </si>
  <si>
    <t>300019209</t>
  </si>
  <si>
    <t>092002 9</t>
  </si>
  <si>
    <t>300019210</t>
  </si>
  <si>
    <t>092012 1</t>
  </si>
  <si>
    <t>300019211</t>
  </si>
  <si>
    <t>092012 2</t>
  </si>
  <si>
    <t>300019212</t>
  </si>
  <si>
    <t>092012 3</t>
  </si>
  <si>
    <t>300019213</t>
  </si>
  <si>
    <t>092012 4</t>
  </si>
  <si>
    <t>300019214</t>
  </si>
  <si>
    <t>092012 5</t>
  </si>
  <si>
    <t>300019215</t>
  </si>
  <si>
    <t>092012 6</t>
  </si>
  <si>
    <t>300019216</t>
  </si>
  <si>
    <t>092012 7</t>
  </si>
  <si>
    <t>300019217</t>
  </si>
  <si>
    <t>092012 8</t>
  </si>
  <si>
    <t>300019218</t>
  </si>
  <si>
    <t>092012 9</t>
  </si>
  <si>
    <t>300019219</t>
  </si>
  <si>
    <t>092022 1</t>
  </si>
  <si>
    <t>300019240</t>
  </si>
  <si>
    <t>092022 2</t>
  </si>
  <si>
    <t>APC PLUS TABLET/20E NF NG (SABA 1)</t>
  </si>
  <si>
    <t>300019780</t>
  </si>
  <si>
    <t>051303 1</t>
  </si>
  <si>
    <t>300019839</t>
  </si>
  <si>
    <t>061493 1</t>
  </si>
  <si>
    <t>300019920</t>
  </si>
  <si>
    <t>061493 2</t>
  </si>
  <si>
    <t>300019921</t>
  </si>
  <si>
    <t>061493 3</t>
  </si>
  <si>
    <t>300019922</t>
  </si>
  <si>
    <t>061493 4</t>
  </si>
  <si>
    <t>300019923</t>
  </si>
  <si>
    <t>061493 5</t>
  </si>
  <si>
    <t>300019944</t>
  </si>
  <si>
    <t>061493 6</t>
  </si>
  <si>
    <t>300019945</t>
  </si>
  <si>
    <t>061493 7</t>
  </si>
  <si>
    <t>300019946</t>
  </si>
  <si>
    <t>061493 8</t>
  </si>
  <si>
    <t>300019947</t>
  </si>
  <si>
    <t>061493 9</t>
  </si>
  <si>
    <t>300019948</t>
  </si>
  <si>
    <t>061523 1</t>
  </si>
  <si>
    <t>300019949</t>
  </si>
  <si>
    <t>061523 2</t>
  </si>
  <si>
    <t>300019950</t>
  </si>
  <si>
    <t>061523 3</t>
  </si>
  <si>
    <t>300019951</t>
  </si>
  <si>
    <t>061523 4</t>
  </si>
  <si>
    <t>300019952</t>
  </si>
  <si>
    <t>061523 5</t>
  </si>
  <si>
    <t>300019953</t>
  </si>
  <si>
    <t>061523 6</t>
  </si>
  <si>
    <t>300019954</t>
  </si>
  <si>
    <t>061523 7</t>
  </si>
  <si>
    <t>300019955</t>
  </si>
  <si>
    <t>061523 8</t>
  </si>
  <si>
    <t>300019956</t>
  </si>
  <si>
    <t>061523 9</t>
  </si>
  <si>
    <t>300019957</t>
  </si>
  <si>
    <t>061533 1</t>
  </si>
  <si>
    <t>300019958</t>
  </si>
  <si>
    <t>061533 2</t>
  </si>
  <si>
    <t>APC P MEI 2024</t>
  </si>
  <si>
    <t>300021182</t>
  </si>
  <si>
    <t>300021183</t>
  </si>
  <si>
    <t>300021184</t>
  </si>
  <si>
    <t>APC P JUNI 2024</t>
  </si>
  <si>
    <t>300021320</t>
  </si>
  <si>
    <t>300021321</t>
  </si>
  <si>
    <t>300021322</t>
  </si>
  <si>
    <t>300021323</t>
  </si>
  <si>
    <t>300021324</t>
  </si>
  <si>
    <t>300021325</t>
  </si>
  <si>
    <t>300021326</t>
  </si>
  <si>
    <t>300021327</t>
  </si>
  <si>
    <t>300021328</t>
  </si>
  <si>
    <t>300021329</t>
  </si>
  <si>
    <t>300021330</t>
  </si>
  <si>
    <t>300021331</t>
  </si>
  <si>
    <t xml:space="preserve"> AGUSTUS 2024</t>
  </si>
  <si>
    <t>300021499</t>
  </si>
  <si>
    <t>300021628</t>
  </si>
  <si>
    <t>300021629</t>
  </si>
  <si>
    <t>300021630</t>
  </si>
  <si>
    <t>BODREX/TAB 2X10'S FBX</t>
  </si>
  <si>
    <t>rework</t>
  </si>
  <si>
    <t>J</t>
  </si>
  <si>
    <t>BODREX/TAB 2X10'S FBX ( rework)</t>
  </si>
  <si>
    <t>200099875</t>
  </si>
  <si>
    <t>110572</t>
  </si>
  <si>
    <t>200099669</t>
  </si>
  <si>
    <t>111002</t>
  </si>
  <si>
    <t>200099903</t>
  </si>
  <si>
    <t>110662</t>
  </si>
  <si>
    <t>BDXT (rework)</t>
  </si>
  <si>
    <t>4,31/4,33</t>
  </si>
  <si>
    <t>3,12/3,20</t>
  </si>
  <si>
    <t>4,34/4,50</t>
  </si>
  <si>
    <t>3,29/3,52</t>
  </si>
  <si>
    <t>4,52/4,21</t>
  </si>
  <si>
    <t>3,56/3,44</t>
  </si>
  <si>
    <t>3,20/3,39</t>
  </si>
  <si>
    <t>4,37/4,45</t>
  </si>
  <si>
    <t>080343.</t>
  </si>
  <si>
    <t>072363.</t>
  </si>
  <si>
    <t>121203.</t>
  </si>
  <si>
    <t>4,16/4,19</t>
  </si>
  <si>
    <t>3,26/3,14</t>
  </si>
  <si>
    <t>030384</t>
  </si>
  <si>
    <t>010604</t>
  </si>
  <si>
    <t>3,47/3,51</t>
  </si>
  <si>
    <t>4,48/4,18</t>
  </si>
  <si>
    <t>020774</t>
  </si>
  <si>
    <t>3,48/3,17</t>
  </si>
  <si>
    <t>4,39/4,19</t>
  </si>
  <si>
    <t>021954</t>
  </si>
  <si>
    <t>3,51/3,43</t>
  </si>
  <si>
    <t>4,10/4,26</t>
  </si>
  <si>
    <t>042044</t>
  </si>
  <si>
    <t>SREX (rework)</t>
  </si>
  <si>
    <t>SUDREX TABLET/20E NF</t>
  </si>
  <si>
    <t>021134 4</t>
  </si>
  <si>
    <t>NODROF PE/KAP 10X10'S SLEEVE</t>
  </si>
  <si>
    <t>200096200</t>
  </si>
  <si>
    <t>120901</t>
  </si>
  <si>
    <t>300018140</t>
  </si>
  <si>
    <t>021362 1</t>
  </si>
  <si>
    <t>300018166</t>
  </si>
  <si>
    <t>021362 2</t>
  </si>
  <si>
    <t>300018167</t>
  </si>
  <si>
    <t>021362 3</t>
  </si>
  <si>
    <t>3,12/3,15/3,31/3,45</t>
  </si>
  <si>
    <t>2,29/2,15</t>
  </si>
  <si>
    <t>300019520</t>
  </si>
  <si>
    <t>SREX</t>
  </si>
  <si>
    <t>300020471</t>
  </si>
  <si>
    <t>101513 1</t>
  </si>
  <si>
    <t>4,67/4,84/4,82</t>
  </si>
  <si>
    <t>300020472</t>
  </si>
  <si>
    <t>101513 2</t>
  </si>
  <si>
    <t>4,92/4,99/4,75</t>
  </si>
  <si>
    <t>300020473</t>
  </si>
  <si>
    <t>101513 3</t>
  </si>
  <si>
    <t>4,58/4,75/4,85</t>
  </si>
  <si>
    <t>300020474</t>
  </si>
  <si>
    <t>101513 4</t>
  </si>
  <si>
    <t>4,96/4,99/4,75</t>
  </si>
  <si>
    <t>300020475</t>
  </si>
  <si>
    <t>101513 5</t>
  </si>
  <si>
    <t>4,84/4,57/4,84</t>
  </si>
  <si>
    <t>300020476</t>
  </si>
  <si>
    <t>101513 6</t>
  </si>
  <si>
    <t>4,86/4,70/4,89</t>
  </si>
  <si>
    <t>300020477</t>
  </si>
  <si>
    <t>101513 7</t>
  </si>
  <si>
    <t>4,93/4,90/4,94</t>
  </si>
  <si>
    <t>300020478</t>
  </si>
  <si>
    <t>101513 8</t>
  </si>
  <si>
    <t>4,90/4,87/4,92</t>
  </si>
  <si>
    <t>300020509</t>
  </si>
  <si>
    <t>101693 1</t>
  </si>
  <si>
    <t>4,71/4,87/4,94</t>
  </si>
  <si>
    <t>300020510</t>
  </si>
  <si>
    <t>101693 2</t>
  </si>
  <si>
    <t>4,96/4,76/4,82</t>
  </si>
  <si>
    <t>300020489</t>
  </si>
  <si>
    <t>101693 3</t>
  </si>
  <si>
    <t>300020490</t>
  </si>
  <si>
    <t>101693 4</t>
  </si>
  <si>
    <t>4,96/4,72/4,99</t>
  </si>
  <si>
    <t>300020491</t>
  </si>
  <si>
    <t>101693 5</t>
  </si>
  <si>
    <t>4,79/4,89/4,93</t>
  </si>
  <si>
    <t>SUJM</t>
  </si>
  <si>
    <t>SUDREX JOINT &amp; MUSCLE P/KAP 10'S SLEEVE</t>
  </si>
  <si>
    <t>300018168</t>
  </si>
  <si>
    <t>021372 1</t>
  </si>
  <si>
    <t>4,52/4,51/4,41</t>
  </si>
  <si>
    <t>300018169</t>
  </si>
  <si>
    <t>021372 2</t>
  </si>
  <si>
    <t>4,70/4,46/4,47</t>
  </si>
  <si>
    <t>300018170</t>
  </si>
  <si>
    <t>021372 3</t>
  </si>
  <si>
    <t>4,79/4,57/4,45</t>
  </si>
  <si>
    <t>300018171</t>
  </si>
  <si>
    <t>021372 4</t>
  </si>
  <si>
    <t>4,46/4,46/4,67</t>
  </si>
  <si>
    <t>Rencana kerja Granulasi Lt.2</t>
  </si>
  <si>
    <t>NO.</t>
  </si>
  <si>
    <t>120/07/2021</t>
  </si>
  <si>
    <t>Planning</t>
  </si>
  <si>
    <t>Aktual</t>
  </si>
  <si>
    <t>Batch ke</t>
  </si>
  <si>
    <t>aktual</t>
  </si>
  <si>
    <t>Actual</t>
  </si>
  <si>
    <t>AKTUAL</t>
  </si>
  <si>
    <t>LINE 1</t>
  </si>
  <si>
    <t>I</t>
  </si>
  <si>
    <t>BTRA M</t>
  </si>
  <si>
    <t>BFLU K</t>
  </si>
  <si>
    <t>BFTP K</t>
  </si>
  <si>
    <t>FAIN K</t>
  </si>
  <si>
    <t>FAIN  H</t>
  </si>
  <si>
    <t>BXMR M</t>
  </si>
  <si>
    <t>BFTP O</t>
  </si>
  <si>
    <t xml:space="preserve">BFDP GG </t>
  </si>
  <si>
    <t>BFDP O</t>
  </si>
  <si>
    <t>BFDP GG 1 PA</t>
  </si>
  <si>
    <t xml:space="preserve">BTRA M </t>
  </si>
  <si>
    <t xml:space="preserve">FAIN K </t>
  </si>
  <si>
    <t>26 RK 7</t>
  </si>
  <si>
    <t>230 RK 7</t>
  </si>
  <si>
    <t xml:space="preserve">BFTP K </t>
  </si>
  <si>
    <t>276 RK 7</t>
  </si>
  <si>
    <t>NRDB K</t>
  </si>
  <si>
    <t>FAIN H</t>
  </si>
  <si>
    <t>150-151 RK 8</t>
  </si>
  <si>
    <t>OFF</t>
  </si>
  <si>
    <t>BXMR O</t>
  </si>
  <si>
    <t>FBD YC</t>
  </si>
  <si>
    <t>menunggu bahan baku paracetamol</t>
  </si>
  <si>
    <t>granul ngeblok</t>
  </si>
  <si>
    <t>BATCH 82 BELUM FREWIT</t>
  </si>
  <si>
    <t>95 RK 9</t>
  </si>
  <si>
    <t>OG YC 2007 SERING EROR/MATI</t>
  </si>
  <si>
    <t>btra m</t>
  </si>
  <si>
    <t>TZIN DS</t>
  </si>
  <si>
    <t xml:space="preserve">BFDP H </t>
  </si>
  <si>
    <t>BFTP  K</t>
  </si>
  <si>
    <t>BXMR  M</t>
  </si>
  <si>
    <t>30-31 RK 10</t>
  </si>
  <si>
    <t>094-096 RK 10</t>
  </si>
  <si>
    <t>169-170 RK 10</t>
  </si>
  <si>
    <t>BFDP H</t>
  </si>
  <si>
    <t>047 RK 12</t>
  </si>
  <si>
    <t>244-245 RK 12</t>
  </si>
  <si>
    <t>127-128 RK 7</t>
  </si>
  <si>
    <t>3 PA</t>
  </si>
  <si>
    <t>1 PA</t>
  </si>
  <si>
    <t>120-122 RK 7</t>
  </si>
  <si>
    <t>129-130 RK 7</t>
  </si>
  <si>
    <t>136 LOT 2 RK 7</t>
  </si>
  <si>
    <t>131-132 RK 7</t>
  </si>
  <si>
    <t>129 RK 7 ( LOT 1)</t>
  </si>
  <si>
    <t>133-134 RK 7</t>
  </si>
  <si>
    <t>130 - 131 RK 7</t>
  </si>
  <si>
    <t>141-142 RK 7</t>
  </si>
  <si>
    <t>141  RK 7</t>
  </si>
  <si>
    <t>133-134 (LOT 1) RK 7</t>
  </si>
  <si>
    <t>149-150</t>
  </si>
  <si>
    <t>5 - 6 RK 7</t>
  </si>
  <si>
    <t>152-153</t>
  </si>
  <si>
    <t>149-151 LOT 1 RK 7</t>
  </si>
  <si>
    <t>22-23 RK 7</t>
  </si>
  <si>
    <t>52-53 RK 7</t>
  </si>
  <si>
    <t>234 RK 7</t>
  </si>
  <si>
    <t>233 - 234(1-2) RK 7</t>
  </si>
  <si>
    <t>183-184 RK 7</t>
  </si>
  <si>
    <t>183-184 (1) RK 7</t>
  </si>
  <si>
    <t>1-2 RK 8</t>
  </si>
  <si>
    <t>183-184(LOT 1)RK 7</t>
  </si>
  <si>
    <t>3-4 RK 8</t>
  </si>
  <si>
    <t>5 RK 8</t>
  </si>
  <si>
    <t>49-50 RK 8</t>
  </si>
  <si>
    <t>51-52 RK 8</t>
  </si>
  <si>
    <t>52-52 RK 8</t>
  </si>
  <si>
    <t>SABA 2</t>
  </si>
  <si>
    <t>6-7 RK 8</t>
  </si>
  <si>
    <t>06-07 RK 8</t>
  </si>
  <si>
    <t>116 RK 8</t>
  </si>
  <si>
    <t>2 PA</t>
  </si>
  <si>
    <t>93-94 RK 8</t>
  </si>
  <si>
    <t>92-93 RK 8</t>
  </si>
  <si>
    <t>54-58 RK 8</t>
  </si>
  <si>
    <t>1-4 RK 8</t>
  </si>
  <si>
    <t>155-156 RK 8</t>
  </si>
  <si>
    <t>156 RK 8</t>
  </si>
  <si>
    <t>12(1-5) RK 8</t>
  </si>
  <si>
    <t>12 RK 8</t>
  </si>
  <si>
    <t>196-197 RK 8</t>
  </si>
  <si>
    <t>184 RK 8</t>
  </si>
  <si>
    <t>185-186 RK 8</t>
  </si>
  <si>
    <t>186-187 RK 8</t>
  </si>
  <si>
    <t>187 RK 8</t>
  </si>
  <si>
    <t>192 RK 8</t>
  </si>
  <si>
    <t>ERROR</t>
  </si>
  <si>
    <t>193 RK 8</t>
  </si>
  <si>
    <t>161 RK 9</t>
  </si>
  <si>
    <t>285 RK 8</t>
  </si>
  <si>
    <t>271RK 8</t>
  </si>
  <si>
    <t>29-30 RK 9</t>
  </si>
  <si>
    <t>28-30 RK 9</t>
  </si>
  <si>
    <t>19 RK 9</t>
  </si>
  <si>
    <t>17-18 RK 9</t>
  </si>
  <si>
    <t>34 RK 9</t>
  </si>
  <si>
    <t>33-34 RK 9</t>
  </si>
  <si>
    <t>1-5 RK 9</t>
  </si>
  <si>
    <t>92-93 RK 9</t>
  </si>
  <si>
    <t>71-72 RK 9</t>
  </si>
  <si>
    <t>79-82 RK 9</t>
  </si>
  <si>
    <t>79-81 RK 9</t>
  </si>
  <si>
    <t>LOT 1-2</t>
  </si>
  <si>
    <t>20-21 RK 9</t>
  </si>
  <si>
    <t>21-23 RK 9</t>
  </si>
  <si>
    <t>23 RK 9</t>
  </si>
  <si>
    <t>22-23 RK 9</t>
  </si>
  <si>
    <t>15-16 RK 9</t>
  </si>
  <si>
    <t>167-168 RK 9</t>
  </si>
  <si>
    <t>23-24 RK 9</t>
  </si>
  <si>
    <t>198-199 RK 9</t>
  </si>
  <si>
    <t>24 RK 9</t>
  </si>
  <si>
    <t>32-33 RK 9</t>
  </si>
  <si>
    <t>132-133 RK 9</t>
  </si>
  <si>
    <t>201-203 rk 9</t>
  </si>
  <si>
    <t>21 RK 9</t>
  </si>
  <si>
    <t>207 RK 9</t>
  </si>
  <si>
    <t>276-277 RK 9</t>
  </si>
  <si>
    <t>16-17 RK 9</t>
  </si>
  <si>
    <t>36 RK 9</t>
  </si>
  <si>
    <t>193RK 9</t>
  </si>
  <si>
    <t>283 RK 9</t>
  </si>
  <si>
    <t>280 RK 9</t>
  </si>
  <si>
    <t>208-209 RK 9</t>
  </si>
  <si>
    <t>134 RK 9</t>
  </si>
  <si>
    <t>288 RK 9</t>
  </si>
  <si>
    <t>289-290 RK 9</t>
  </si>
  <si>
    <t>289 RK 9</t>
  </si>
  <si>
    <t>290-291 RK 9</t>
  </si>
  <si>
    <t>291 RK 9</t>
  </si>
  <si>
    <t>1-2 RK 10</t>
  </si>
  <si>
    <t>297 RK 9</t>
  </si>
  <si>
    <t xml:space="preserve">3-4 RK 10 </t>
  </si>
  <si>
    <t>33 RK 10</t>
  </si>
  <si>
    <t>033-032 RK 10</t>
  </si>
  <si>
    <t>104-105 RK 10</t>
  </si>
  <si>
    <t>104 RK 10</t>
  </si>
  <si>
    <t>036 RK 9</t>
  </si>
  <si>
    <t>94-96 RK 10</t>
  </si>
  <si>
    <t>98-99 RK 10</t>
  </si>
  <si>
    <t>097-099 RK 10</t>
  </si>
  <si>
    <t>166-167 RK 10</t>
  </si>
  <si>
    <t>91 RK 10</t>
  </si>
  <si>
    <t>17-18 RK 10</t>
  </si>
  <si>
    <t>172-173 RK 10</t>
  </si>
  <si>
    <t>175-176 RK 10</t>
  </si>
  <si>
    <t>9-10 RK 10</t>
  </si>
  <si>
    <t>181 RK 10</t>
  </si>
  <si>
    <t>10 RK 10</t>
  </si>
  <si>
    <t>183-184 RK 10</t>
  </si>
  <si>
    <t>12-13 RK 10</t>
  </si>
  <si>
    <t>150-153 RK 10</t>
  </si>
  <si>
    <t>1-4 RK 10</t>
  </si>
  <si>
    <t>15-16 RK 10</t>
  </si>
  <si>
    <t>21-22 RK 10</t>
  </si>
  <si>
    <t>042-043 RK 12</t>
  </si>
  <si>
    <t>44-45 RK 12</t>
  </si>
  <si>
    <t>045-046 RK 12</t>
  </si>
  <si>
    <t>46 -47 RK 12</t>
  </si>
  <si>
    <t>94 RK 12</t>
  </si>
  <si>
    <t>14 RK 12</t>
  </si>
  <si>
    <t>185 RK 12</t>
  </si>
  <si>
    <t>11-12 RK 12</t>
  </si>
  <si>
    <t>186-188 RK 12</t>
  </si>
  <si>
    <t>13-14 RK 12</t>
  </si>
  <si>
    <t>188 RK 12</t>
  </si>
  <si>
    <t>15-16 RK 12</t>
  </si>
  <si>
    <t>172 RK 12</t>
  </si>
  <si>
    <t>15-16 RK12</t>
  </si>
  <si>
    <t>4-5 RK 12</t>
  </si>
  <si>
    <t>117 RK 7</t>
  </si>
  <si>
    <t>137 - 138 RK 7</t>
  </si>
  <si>
    <t>48 RK 8</t>
  </si>
  <si>
    <t>13 RK 8</t>
  </si>
  <si>
    <t>LOT 4-6</t>
  </si>
  <si>
    <t>281 RK 8</t>
  </si>
  <si>
    <t>25 RK 9</t>
  </si>
  <si>
    <t>11 RK 9</t>
  </si>
  <si>
    <t>135 RK 9</t>
  </si>
  <si>
    <t>131 RK 9</t>
  </si>
  <si>
    <t xml:space="preserve">rwk bxmr m </t>
  </si>
  <si>
    <t xml:space="preserve">75 RK 9 </t>
  </si>
  <si>
    <t>BFTP O 2X TIUP KA NAIK DARI BATAS NORMAL</t>
  </si>
  <si>
    <t>208 RK 9</t>
  </si>
  <si>
    <t>92 RK 10</t>
  </si>
  <si>
    <t>74 RK 9</t>
  </si>
  <si>
    <t>074 RK 9</t>
  </si>
  <si>
    <t>169 RK 10</t>
  </si>
  <si>
    <t>SABA 1-2</t>
  </si>
  <si>
    <t>8 RK 12</t>
  </si>
  <si>
    <t>17 RK 12</t>
  </si>
  <si>
    <t>117-118 RK 7</t>
  </si>
  <si>
    <t>120 RK 7</t>
  </si>
  <si>
    <t>120-121 RK 7</t>
  </si>
  <si>
    <t>1-2 RK 7</t>
  </si>
  <si>
    <t>25 RK 7</t>
  </si>
  <si>
    <t>BF TP O</t>
  </si>
  <si>
    <t>53 RK 8</t>
  </si>
  <si>
    <t>88-89 RK 8</t>
  </si>
  <si>
    <t>5-6 RK 8</t>
  </si>
  <si>
    <t>9-10(1-2) RK 8</t>
  </si>
  <si>
    <t>90 (1) RK 8</t>
  </si>
  <si>
    <t xml:space="preserve">BFTP O </t>
  </si>
  <si>
    <t>117 RK 8</t>
  </si>
  <si>
    <t>27 RK 9</t>
  </si>
  <si>
    <t>32 RK 9</t>
  </si>
  <si>
    <t>20 rk 9</t>
  </si>
  <si>
    <t>285 RK 9</t>
  </si>
  <si>
    <t>278 RK 9</t>
  </si>
  <si>
    <t>290 RK 9</t>
  </si>
  <si>
    <t>53 LOT 1 RK 8</t>
  </si>
  <si>
    <t>4 RK 8</t>
  </si>
  <si>
    <t>90 RK 8</t>
  </si>
  <si>
    <t>194(1)RK 8</t>
  </si>
  <si>
    <t>42 RK 10</t>
  </si>
  <si>
    <t>15 RK 9</t>
  </si>
  <si>
    <t>II</t>
  </si>
  <si>
    <t>DEEP CLEANING</t>
  </si>
  <si>
    <t>kain filter fbd lepas 1</t>
  </si>
  <si>
    <t>NRBD K</t>
  </si>
  <si>
    <t xml:space="preserve">GG </t>
  </si>
  <si>
    <t xml:space="preserve">FAIN H </t>
  </si>
  <si>
    <t>129 RK 9</t>
  </si>
  <si>
    <t>190-193 RK 9</t>
  </si>
  <si>
    <t>90-92 RK 9</t>
  </si>
  <si>
    <t>281-282 RK 9</t>
  </si>
  <si>
    <t>278-279 RK 9</t>
  </si>
  <si>
    <t>25-26 RK 9</t>
  </si>
  <si>
    <t>280-282 RK 9</t>
  </si>
  <si>
    <t>209-210 RK 9</t>
  </si>
  <si>
    <t>288-289 RK 9</t>
  </si>
  <si>
    <t>210 RK 9</t>
  </si>
  <si>
    <t>2 RK 10</t>
  </si>
  <si>
    <t>APC I</t>
  </si>
  <si>
    <t>DEEP</t>
  </si>
  <si>
    <t>9-10 RK 7</t>
  </si>
  <si>
    <t>117-119 RK 7</t>
  </si>
  <si>
    <t>118-119 RK 7</t>
  </si>
  <si>
    <t>122 RK 7</t>
  </si>
  <si>
    <t>137-138 RK 7</t>
  </si>
  <si>
    <t>7-8 RK 7</t>
  </si>
  <si>
    <t>129 RK 7 ( LOT 2-3 )</t>
  </si>
  <si>
    <t>134-135 RK 7</t>
  </si>
  <si>
    <t>131 - 132 RK 7</t>
  </si>
  <si>
    <t>1-3 RK 7</t>
  </si>
  <si>
    <t>142 RK 7</t>
  </si>
  <si>
    <t>5-6 RK 7</t>
  </si>
  <si>
    <t>134 LOT 2-3 RK 7</t>
  </si>
  <si>
    <t>150-151</t>
  </si>
  <si>
    <t>148 - 149 (- 1 LOT)</t>
  </si>
  <si>
    <t>20-21 RK 7</t>
  </si>
  <si>
    <t>151 LOT 2-3 RK 7</t>
  </si>
  <si>
    <t>24-25 RK 7</t>
  </si>
  <si>
    <t>229-230 RK 7</t>
  </si>
  <si>
    <t>231-232 RK 7</t>
  </si>
  <si>
    <t>25-26 RK 7</t>
  </si>
  <si>
    <t>184 RK 7</t>
  </si>
  <si>
    <t>2 RK 8</t>
  </si>
  <si>
    <t>184 LOT 2-3 RK 7</t>
  </si>
  <si>
    <t>3 RK 8</t>
  </si>
  <si>
    <t>7-8 RK 8</t>
  </si>
  <si>
    <t>08 RK 8</t>
  </si>
  <si>
    <t>199,302 RK 7</t>
  </si>
  <si>
    <t>10(2-3)  RK 8</t>
  </si>
  <si>
    <t>91 RK 8</t>
  </si>
  <si>
    <t>90(2) - 92 RK 8</t>
  </si>
  <si>
    <t>54-55 RK 8</t>
  </si>
  <si>
    <t>94 RK 8</t>
  </si>
  <si>
    <t>12(6) RK 8</t>
  </si>
  <si>
    <t>14-15 RK 8</t>
  </si>
  <si>
    <t>194(2) - 195 RK 8</t>
  </si>
  <si>
    <t>198 RK 8</t>
  </si>
  <si>
    <t>197-198 RK 8</t>
  </si>
  <si>
    <t>117-118 RK 8</t>
  </si>
  <si>
    <t>188 RK 8</t>
  </si>
  <si>
    <t>282-283 RK 8</t>
  </si>
  <si>
    <t>27-28 RK 9</t>
  </si>
  <si>
    <t>30-31 RK 9</t>
  </si>
  <si>
    <t>18 RK 9</t>
  </si>
  <si>
    <t>11-12 RK 9</t>
  </si>
  <si>
    <t>6-9 RK 9</t>
  </si>
  <si>
    <t>93-94 RK 9</t>
  </si>
  <si>
    <t>73 RK 9</t>
  </si>
  <si>
    <t>72-73 RK 9</t>
  </si>
  <si>
    <t>160 RK 9</t>
  </si>
  <si>
    <t>136-137 RK 9</t>
  </si>
  <si>
    <t>168-169 RK 9</t>
  </si>
  <si>
    <t>199 RK 9</t>
  </si>
  <si>
    <t>200-201 RK 9</t>
  </si>
  <si>
    <t>19-20 RK 9</t>
  </si>
  <si>
    <t>203-204 rk 9</t>
  </si>
  <si>
    <t>166 RK 9</t>
  </si>
  <si>
    <t>197 RK 9</t>
  </si>
  <si>
    <t>31 RK 10</t>
  </si>
  <si>
    <t>92-93 RK 10</t>
  </si>
  <si>
    <t>032 RK 10</t>
  </si>
  <si>
    <t>106-107 RK 10</t>
  </si>
  <si>
    <t>94-95 RK 10</t>
  </si>
  <si>
    <t>093-094 RK 10</t>
  </si>
  <si>
    <t>96 RK 10</t>
  </si>
  <si>
    <t>096-097 RK 10</t>
  </si>
  <si>
    <t>100 RK 10</t>
  </si>
  <si>
    <t>99-100 RK 10</t>
  </si>
  <si>
    <t>167-168 RK 10</t>
  </si>
  <si>
    <t>170-171 RK 10</t>
  </si>
  <si>
    <t>18-19 RK 10</t>
  </si>
  <si>
    <t>173-174 RK 10</t>
  </si>
  <si>
    <t>176-177 RK 10</t>
  </si>
  <si>
    <t>10-11 RK 10</t>
  </si>
  <si>
    <t>182 RK 10</t>
  </si>
  <si>
    <t>11 RK 10</t>
  </si>
  <si>
    <t>187-188 RK 10</t>
  </si>
  <si>
    <t>185-186 RK 10</t>
  </si>
  <si>
    <t>14-15 RK 10</t>
  </si>
  <si>
    <t>20 RK 10</t>
  </si>
  <si>
    <t>22-23 RK 10</t>
  </si>
  <si>
    <t>43-44 RK 12</t>
  </si>
  <si>
    <t>043-045 RK 12</t>
  </si>
  <si>
    <t>92-93 RK 12</t>
  </si>
  <si>
    <t>47 RK 12</t>
  </si>
  <si>
    <t>14-15 RK 12</t>
  </si>
  <si>
    <t>186-187 RK 12</t>
  </si>
  <si>
    <t>16 RK 12</t>
  </si>
  <si>
    <t>55 RK 12</t>
  </si>
  <si>
    <t>245-246 RK 12</t>
  </si>
  <si>
    <t>CLEANING</t>
  </si>
  <si>
    <t>18 RK 12</t>
  </si>
  <si>
    <t>RK 7</t>
  </si>
  <si>
    <t>13-14 RK 8</t>
  </si>
  <si>
    <t>15-16 RK 8</t>
  </si>
  <si>
    <t>88 RK 8</t>
  </si>
  <si>
    <t>PENGERINGAN</t>
  </si>
  <si>
    <t>69-70 RK 8</t>
  </si>
  <si>
    <t>155 RK 8</t>
  </si>
  <si>
    <t>LOT 1-3</t>
  </si>
  <si>
    <t>BFLU H</t>
  </si>
  <si>
    <t>SANITASI</t>
  </si>
  <si>
    <t>68 RK 9</t>
  </si>
  <si>
    <t>rework bxmr m 241 rk 9</t>
  </si>
  <si>
    <t>295 RK 9</t>
  </si>
  <si>
    <t>296 RK 9</t>
  </si>
  <si>
    <t>1 RK 10</t>
  </si>
  <si>
    <t>30 RK 10</t>
  </si>
  <si>
    <t>kurang 1 lot batch 30/10</t>
  </si>
  <si>
    <t>092 RK 10</t>
  </si>
  <si>
    <t>12 RK 12</t>
  </si>
  <si>
    <t>6 RK 12</t>
  </si>
  <si>
    <t>LOT 6</t>
  </si>
  <si>
    <t>135 RK 7</t>
  </si>
  <si>
    <t>064(4) RK 7</t>
  </si>
  <si>
    <t>152 RK 7</t>
  </si>
  <si>
    <t>REWORK</t>
  </si>
  <si>
    <t>ULANG</t>
  </si>
  <si>
    <t>277 RK 7</t>
  </si>
  <si>
    <t>190 RK 8</t>
  </si>
  <si>
    <t>28 RK 9</t>
  </si>
  <si>
    <t>77-78 RK 9</t>
  </si>
  <si>
    <t>95 RK 9 LOT 1</t>
  </si>
  <si>
    <t>20 RK 9</t>
  </si>
  <si>
    <t>131-132</t>
  </si>
  <si>
    <t>CAMPAIGN</t>
  </si>
  <si>
    <t>169 RK 12</t>
  </si>
  <si>
    <t>150 RK 8</t>
  </si>
  <si>
    <t>97 RK 10</t>
  </si>
  <si>
    <t>III</t>
  </si>
  <si>
    <t>FBD CONTAINER ALARM</t>
  </si>
  <si>
    <t>TEAM</t>
  </si>
  <si>
    <t>12(1-3) RK 8</t>
  </si>
  <si>
    <t>276 RK 9</t>
  </si>
  <si>
    <t>2-3 RK 10</t>
  </si>
  <si>
    <t>LT 1</t>
  </si>
  <si>
    <t>LINE 2</t>
  </si>
  <si>
    <t xml:space="preserve">ZINC </t>
  </si>
  <si>
    <t>APC+</t>
  </si>
  <si>
    <t xml:space="preserve">BXMR O </t>
  </si>
  <si>
    <t>SARA M</t>
  </si>
  <si>
    <t>SUJM M</t>
  </si>
  <si>
    <t>PLACEBO</t>
  </si>
  <si>
    <t>HNOF</t>
  </si>
  <si>
    <t>48-49 RK 8</t>
  </si>
  <si>
    <t>6-9</t>
  </si>
  <si>
    <t>050 LOT 3 RK 8</t>
  </si>
  <si>
    <t>52 RK 8</t>
  </si>
  <si>
    <t>51-52 (1-3) RK 8</t>
  </si>
  <si>
    <t>121 RK 5</t>
  </si>
  <si>
    <t>ZINC</t>
  </si>
  <si>
    <t>ZIST</t>
  </si>
  <si>
    <t>perbaikan selang pneumeric fbd ,selang pecah</t>
  </si>
  <si>
    <t>ALEX R300 N SERING MATI</t>
  </si>
  <si>
    <t xml:space="preserve">mesin diosna rtak pada bagian bawah baling-baling </t>
  </si>
  <si>
    <t xml:space="preserve">194 RK 9 </t>
  </si>
  <si>
    <t>bftp o</t>
  </si>
  <si>
    <t>18-19 RK 9</t>
  </si>
  <si>
    <t>24-25 RK 9</t>
  </si>
  <si>
    <t>DIOSNA RUSAK</t>
  </si>
  <si>
    <t>NOFE</t>
  </si>
  <si>
    <t>2941-295 RK 9</t>
  </si>
  <si>
    <t>102 RK 10</t>
  </si>
  <si>
    <t>044-045 RK 10</t>
  </si>
  <si>
    <t>MENUNGGU FILTERBAG</t>
  </si>
  <si>
    <t>109 RK 10</t>
  </si>
  <si>
    <t>OSKADON</t>
  </si>
  <si>
    <t>BDMM P/H</t>
  </si>
  <si>
    <t>APCP +</t>
  </si>
  <si>
    <t xml:space="preserve">APC+ </t>
  </si>
  <si>
    <t>173 RK 12</t>
  </si>
  <si>
    <t>9 RK 7</t>
  </si>
  <si>
    <t>126-127 RK 7</t>
  </si>
  <si>
    <t>117 - 119 RK 7</t>
  </si>
  <si>
    <t>135-136 RK7</t>
  </si>
  <si>
    <t>135-136 RK 7</t>
  </si>
  <si>
    <t>137 - 138 (LOT 1) RK 7</t>
  </si>
  <si>
    <t>141 K 7</t>
  </si>
  <si>
    <t>1-4 RK 7</t>
  </si>
  <si>
    <t>064(1-2) RK 7</t>
  </si>
  <si>
    <t>4-6 RK 7</t>
  </si>
  <si>
    <t>064 (5-6) RK 7</t>
  </si>
  <si>
    <t>1 RK 7</t>
  </si>
  <si>
    <t>065-1 RK 7</t>
  </si>
  <si>
    <t>188 RK 7</t>
  </si>
  <si>
    <t>2-4 RK 8</t>
  </si>
  <si>
    <t>1 RK 8</t>
  </si>
  <si>
    <t>6 RK 8</t>
  </si>
  <si>
    <t>89-90 RK 8</t>
  </si>
  <si>
    <t>8 RK 8</t>
  </si>
  <si>
    <t>90(4) -91 RK 8</t>
  </si>
  <si>
    <t>5-8 RK 8</t>
  </si>
  <si>
    <t>15-18 RK 8</t>
  </si>
  <si>
    <t>93 RK 8</t>
  </si>
  <si>
    <t>93 - 94(1-2) RK 8</t>
  </si>
  <si>
    <t>122 RK 5</t>
  </si>
  <si>
    <t>194-195 RK 8</t>
  </si>
  <si>
    <t>123-124 RK 5</t>
  </si>
  <si>
    <t>185 RK 8</t>
  </si>
  <si>
    <t>125-126 RK 5</t>
  </si>
  <si>
    <t>189 -190 RK 8</t>
  </si>
  <si>
    <t>281-282 RK 8</t>
  </si>
  <si>
    <t>284 RK 8</t>
  </si>
  <si>
    <t>284-285 RK 8</t>
  </si>
  <si>
    <t>17 RK 9</t>
  </si>
  <si>
    <t>18  RK 9</t>
  </si>
  <si>
    <t>125-127 RK 5</t>
  </si>
  <si>
    <t xml:space="preserve">bahan granul belum ditimbang </t>
  </si>
  <si>
    <t>5-6  RK 9</t>
  </si>
  <si>
    <t>6-7 RK 9</t>
  </si>
  <si>
    <t>70 RK 9</t>
  </si>
  <si>
    <t>71-73 RK 9</t>
  </si>
  <si>
    <t>73  RK 9</t>
  </si>
  <si>
    <t>128-129 RK 5</t>
  </si>
  <si>
    <t>137-138 RK 9</t>
  </si>
  <si>
    <t>165 RK 9</t>
  </si>
  <si>
    <t>88-89 RK 9</t>
  </si>
  <si>
    <t>88-90 RK 9</t>
  </si>
  <si>
    <t>rework bxmr  m</t>
  </si>
  <si>
    <t>LOT 3</t>
  </si>
  <si>
    <t>138 rk 9</t>
  </si>
  <si>
    <t>279-280 RK 9</t>
  </si>
  <si>
    <t>282-283 RK 9</t>
  </si>
  <si>
    <t>293 RK 9</t>
  </si>
  <si>
    <t>294 RK 9</t>
  </si>
  <si>
    <t>295-296 RK 9</t>
  </si>
  <si>
    <t>297-298 RK 9</t>
  </si>
  <si>
    <t>042-043 RK 10</t>
  </si>
  <si>
    <t>298 RK 9</t>
  </si>
  <si>
    <t>106 RK 10</t>
  </si>
  <si>
    <t>105 RK 10</t>
  </si>
  <si>
    <t>108 RK 10</t>
  </si>
  <si>
    <t>107-108 RK 10</t>
  </si>
  <si>
    <t>43-44 RK 10</t>
  </si>
  <si>
    <t>031 RK 10</t>
  </si>
  <si>
    <t>177 RK 10</t>
  </si>
  <si>
    <t>183 RK 10</t>
  </si>
  <si>
    <t>12 RK 10</t>
  </si>
  <si>
    <t>186 RK 10</t>
  </si>
  <si>
    <t>15 RK 10</t>
  </si>
  <si>
    <t>180 RK 10</t>
  </si>
  <si>
    <t>11 RK 12</t>
  </si>
  <si>
    <t>091 RK 12</t>
  </si>
  <si>
    <t>9 RK 12</t>
  </si>
  <si>
    <t>9-10 RK 12</t>
  </si>
  <si>
    <t>56 RK 12</t>
  </si>
  <si>
    <t>16 RK12</t>
  </si>
  <si>
    <t>179-180 RK 12</t>
  </si>
  <si>
    <t>5-6 RK 12</t>
  </si>
  <si>
    <t xml:space="preserve">SARA K </t>
  </si>
  <si>
    <t xml:space="preserve">PM </t>
  </si>
  <si>
    <t>2711,280-281 RK 7</t>
  </si>
  <si>
    <t>(SABA 5)</t>
  </si>
  <si>
    <t>118 RK 8</t>
  </si>
  <si>
    <t>137 -138 RK 9</t>
  </si>
  <si>
    <t>LOT 3-6</t>
  </si>
  <si>
    <t>LOT 2-6 RK 9</t>
  </si>
  <si>
    <t>101 RK 10</t>
  </si>
  <si>
    <t>108-109 RK 10</t>
  </si>
  <si>
    <t>187 RK 10</t>
  </si>
  <si>
    <t>11-12 RK 10</t>
  </si>
  <si>
    <t>91 RK 12</t>
  </si>
  <si>
    <t>13 RK 12</t>
  </si>
  <si>
    <t>LOT 7-9</t>
  </si>
  <si>
    <t>LOT 2-4</t>
  </si>
  <si>
    <t>11-13 RK 12</t>
  </si>
  <si>
    <t>LOT 5-6</t>
  </si>
  <si>
    <t>179 RK 12</t>
  </si>
  <si>
    <t>135 - 136 RK 7</t>
  </si>
  <si>
    <t>139 RK 7</t>
  </si>
  <si>
    <t>01  RK 8</t>
  </si>
  <si>
    <t xml:space="preserve">NRDB K </t>
  </si>
  <si>
    <t>16 RK 9</t>
  </si>
  <si>
    <t>69 RK 9</t>
  </si>
  <si>
    <t>136 RK 9</t>
  </si>
  <si>
    <t>194 RK 9</t>
  </si>
  <si>
    <t>190-191 RK 9</t>
  </si>
  <si>
    <t>286 RK 9</t>
  </si>
  <si>
    <t>286-287 RK 9</t>
  </si>
  <si>
    <t>3-4 RK 10</t>
  </si>
  <si>
    <t>67 RK 8</t>
  </si>
  <si>
    <t>LOT 7</t>
  </si>
  <si>
    <t>LOT 2-3</t>
  </si>
  <si>
    <t>RAG FILTER LOSS ADA CELAH DIPINGGIR FILTER BAG,</t>
  </si>
  <si>
    <t xml:space="preserve">NOFE </t>
  </si>
  <si>
    <t>SARA K</t>
  </si>
  <si>
    <t>49 RK 8</t>
  </si>
  <si>
    <t>51 RK 8</t>
  </si>
  <si>
    <t>282 RK 7</t>
  </si>
  <si>
    <t>52(4) - 53 RK 8</t>
  </si>
  <si>
    <t>138 RK 9</t>
  </si>
  <si>
    <t>TIUP ULANG  88 RK 9</t>
  </si>
  <si>
    <t>zist</t>
  </si>
  <si>
    <t>293-294 RK 9</t>
  </si>
  <si>
    <t>287 RK 9</t>
  </si>
  <si>
    <t>TUNGGU WARNA</t>
  </si>
  <si>
    <t>10 RK 7</t>
  </si>
  <si>
    <t>271-281 RK 7</t>
  </si>
  <si>
    <t>120 - 121 RK 7</t>
  </si>
  <si>
    <t>138 (LOT 2-3) RK 7</t>
  </si>
  <si>
    <t>064-3 RK 7</t>
  </si>
  <si>
    <t>065 RK 7</t>
  </si>
  <si>
    <t>68-70 RK 8</t>
  </si>
  <si>
    <t>7 RK 8</t>
  </si>
  <si>
    <t>9 RK 8</t>
  </si>
  <si>
    <t>92 RK 8</t>
  </si>
  <si>
    <t>15 RK 8</t>
  </si>
  <si>
    <t>196 RK 8</t>
  </si>
  <si>
    <t>184-185 RK 8</t>
  </si>
  <si>
    <t>188-189 RK 8</t>
  </si>
  <si>
    <t>190-192 RK 8</t>
  </si>
  <si>
    <t>283-284 RK 8</t>
  </si>
  <si>
    <t>282-284(1)</t>
  </si>
  <si>
    <t>17-18  RK 9</t>
  </si>
  <si>
    <t>237-238 RK 8</t>
  </si>
  <si>
    <t>19  RK 9</t>
  </si>
  <si>
    <t>6  RK 9</t>
  </si>
  <si>
    <t>69-70(1-2) RK 9</t>
  </si>
  <si>
    <t>7  RK 9</t>
  </si>
  <si>
    <t>69-70 RK 9</t>
  </si>
  <si>
    <t>77 LANJUT SHIFT 1</t>
  </si>
  <si>
    <t>87-88 RK 9</t>
  </si>
  <si>
    <t>90 RK 9</t>
  </si>
  <si>
    <t>89-90RK 9</t>
  </si>
  <si>
    <t>194 rk 9</t>
  </si>
  <si>
    <t>1-3 RK 9</t>
  </si>
  <si>
    <t>164 rk 9</t>
  </si>
  <si>
    <t>209 RK 9</t>
  </si>
  <si>
    <t>192-193 RK 9</t>
  </si>
  <si>
    <t>2-3 RK 9</t>
  </si>
  <si>
    <t>296-297 RK 9</t>
  </si>
  <si>
    <t>4-5 RK 10</t>
  </si>
  <si>
    <t>101-103 RK 10</t>
  </si>
  <si>
    <t>107 RK 10</t>
  </si>
  <si>
    <t>45 RK 10</t>
  </si>
  <si>
    <t>091 RK 10</t>
  </si>
  <si>
    <t>141-143 RK 10</t>
  </si>
  <si>
    <t>171 RK 10</t>
  </si>
  <si>
    <t>181-182 RK 10</t>
  </si>
  <si>
    <t>184 RK 10</t>
  </si>
  <si>
    <t>13 RK 10</t>
  </si>
  <si>
    <t>185 RK 10</t>
  </si>
  <si>
    <t>14 RK 10</t>
  </si>
  <si>
    <t>19-20 RK 10</t>
  </si>
  <si>
    <t>91-92 RK 12</t>
  </si>
  <si>
    <t>011-091 RK 12</t>
  </si>
  <si>
    <t>10 RK 12</t>
  </si>
  <si>
    <t>185-186 RK 12</t>
  </si>
  <si>
    <t>051 RK 8</t>
  </si>
  <si>
    <t>LOT 3-5</t>
  </si>
  <si>
    <t>194 (1-2) RK 8</t>
  </si>
  <si>
    <t>1-2 RK 9</t>
  </si>
  <si>
    <t>5  RK 9</t>
  </si>
  <si>
    <t>LOT 8-10</t>
  </si>
  <si>
    <t>lot 2-3</t>
  </si>
  <si>
    <t>269-270 rk 9</t>
  </si>
  <si>
    <t>198 RK 7</t>
  </si>
  <si>
    <t>9 RK 10</t>
  </si>
  <si>
    <t>175 RK 10</t>
  </si>
  <si>
    <t>183 RK 7</t>
  </si>
  <si>
    <t>25-27 RK 5</t>
  </si>
  <si>
    <t>87 RK 9</t>
  </si>
  <si>
    <t>43 RK 10</t>
  </si>
  <si>
    <t>043 RK 10</t>
  </si>
  <si>
    <t>LOT9-10</t>
  </si>
  <si>
    <t>TAMBAHAN LINE</t>
  </si>
  <si>
    <t>101-102 RK 10</t>
  </si>
  <si>
    <t>8-9 RK 12</t>
  </si>
  <si>
    <t>277 RK 9</t>
  </si>
  <si>
    <t>CK-1</t>
  </si>
  <si>
    <t>APC II</t>
  </si>
  <si>
    <t>AYAK IBUPROFEN</t>
  </si>
  <si>
    <t>FITZMILL</t>
  </si>
  <si>
    <t>SANITASI,</t>
  </si>
  <si>
    <t>Aayak fitzmill</t>
  </si>
  <si>
    <t>APC+ II</t>
  </si>
  <si>
    <t>syarat kadar air &gt; dari syarat</t>
  </si>
  <si>
    <t>off</t>
  </si>
  <si>
    <t>BFDP H/O</t>
  </si>
  <si>
    <t>APC+ I</t>
  </si>
  <si>
    <t xml:space="preserve">55 RK 12 </t>
  </si>
  <si>
    <t>171-172 RK 7</t>
  </si>
  <si>
    <t>120-122</t>
  </si>
  <si>
    <t xml:space="preserve">BTRA O </t>
  </si>
  <si>
    <t>3-4 RK 7</t>
  </si>
  <si>
    <t>BTRA 3 BATCH</t>
  </si>
  <si>
    <t>127 RK 5</t>
  </si>
  <si>
    <t>89-90 RK 9</t>
  </si>
  <si>
    <t>LOT 9</t>
  </si>
  <si>
    <t>BTRA O</t>
  </si>
  <si>
    <t xml:space="preserve">BDFP H </t>
  </si>
  <si>
    <t>3 BATCH</t>
  </si>
  <si>
    <t>BXMR M 136 RK 7</t>
  </si>
  <si>
    <t xml:space="preserve"> 3 BATCH</t>
  </si>
  <si>
    <t>LOT 1-5</t>
  </si>
  <si>
    <t>LOT 6-9</t>
  </si>
  <si>
    <t>LOT 3-4</t>
  </si>
  <si>
    <t>LOT 8</t>
  </si>
  <si>
    <t>LOT 9-11</t>
  </si>
  <si>
    <t>9-11 RK 12</t>
  </si>
  <si>
    <t>12-15 RK 12</t>
  </si>
  <si>
    <t>LOT 7-8</t>
  </si>
  <si>
    <t>165 RK 9 LOT 9</t>
  </si>
  <si>
    <t>APCP/II</t>
  </si>
  <si>
    <t>BFLU K/H</t>
  </si>
  <si>
    <t>menghaluskan granul  yang menggumpal</t>
  </si>
  <si>
    <t>138 RK 6</t>
  </si>
  <si>
    <t>117-121 RK 7</t>
  </si>
  <si>
    <t>4-5 RK 7</t>
  </si>
  <si>
    <t>54-57 RK 8</t>
  </si>
  <si>
    <t>LOT9</t>
  </si>
  <si>
    <t>APC/I</t>
  </si>
  <si>
    <t>10-11 RK 12</t>
  </si>
  <si>
    <t>153 RK 7</t>
  </si>
  <si>
    <t>187 RK 12</t>
  </si>
  <si>
    <t>58 RK 8</t>
  </si>
  <si>
    <t>12(1-4) RK 8</t>
  </si>
  <si>
    <t>CK-2</t>
  </si>
  <si>
    <t xml:space="preserve">AYAK </t>
  </si>
  <si>
    <t xml:space="preserve">ZINST </t>
  </si>
  <si>
    <t>SUJM O</t>
  </si>
  <si>
    <t>IBUPROFEN</t>
  </si>
  <si>
    <t>123 RK 5</t>
  </si>
  <si>
    <t>124 RK 5</t>
  </si>
  <si>
    <t>123 RK 8</t>
  </si>
  <si>
    <t>186 RK 8</t>
  </si>
  <si>
    <t>16-18 RK 9</t>
  </si>
  <si>
    <t>5-7 RK 9</t>
  </si>
  <si>
    <t>87-89 RK 9</t>
  </si>
  <si>
    <t>129 RK 5</t>
  </si>
  <si>
    <t>bxmr m</t>
  </si>
  <si>
    <t>rwk bxmr m  20</t>
  </si>
  <si>
    <t xml:space="preserve">MENINGGU AEROSIL </t>
  </si>
  <si>
    <t>269 RK 9</t>
  </si>
  <si>
    <t>270 RK 9</t>
  </si>
  <si>
    <t>278-280 RK 9</t>
  </si>
  <si>
    <t>269-270 RK 9</t>
  </si>
  <si>
    <t>279 RK 9</t>
  </si>
  <si>
    <t>282 RK 9</t>
  </si>
  <si>
    <t>045 RK 12</t>
  </si>
  <si>
    <t>93 RK 12</t>
  </si>
  <si>
    <t>184-185 RK 12</t>
  </si>
  <si>
    <t>187-188 RK 12</t>
  </si>
  <si>
    <t>14-16 RK 12</t>
  </si>
  <si>
    <t>19-20 RK 12</t>
  </si>
  <si>
    <t>130 RK 7</t>
  </si>
  <si>
    <t>138 RK 7</t>
  </si>
  <si>
    <t>3 RK 7</t>
  </si>
  <si>
    <t>20-22RK 7</t>
  </si>
  <si>
    <t>ZIST (RWK)</t>
  </si>
  <si>
    <t>125 RK 5</t>
  </si>
  <si>
    <t>92 RK 9</t>
  </si>
  <si>
    <t>126 RK 5</t>
  </si>
  <si>
    <t xml:space="preserve">ZIST </t>
  </si>
  <si>
    <t>131-132 rk 9</t>
  </si>
  <si>
    <t xml:space="preserve">menunggu fase luar bxmr 131 </t>
  </si>
  <si>
    <t>164 RK 9</t>
  </si>
  <si>
    <t xml:space="preserve">MENUNGGU IBUPROFEN </t>
  </si>
  <si>
    <t>BDXT P</t>
  </si>
  <si>
    <t>103 RK 10</t>
  </si>
  <si>
    <t>96-97 RK 10</t>
  </si>
  <si>
    <t>170 RK 10</t>
  </si>
  <si>
    <t>17-18 RK 12</t>
  </si>
  <si>
    <t>2 BATCH</t>
  </si>
  <si>
    <t>30 RK 9</t>
  </si>
  <si>
    <t>128 RK 5</t>
  </si>
  <si>
    <t>128 RK 9</t>
  </si>
  <si>
    <t>199-200 RK 9</t>
  </si>
  <si>
    <t>AYAK MANUAL  ASPARTAME&amp;STRAWBERRY</t>
  </si>
  <si>
    <t>227 RK 9</t>
  </si>
  <si>
    <t>32-33 RK 10</t>
  </si>
  <si>
    <t>043-044 RK 10</t>
  </si>
  <si>
    <t>94 RK 9</t>
  </si>
  <si>
    <t>3 RK 9</t>
  </si>
  <si>
    <t>206 RK 9</t>
  </si>
  <si>
    <t>BDXT J</t>
  </si>
  <si>
    <t>033 RK 10</t>
  </si>
  <si>
    <t>097 RK 10</t>
  </si>
  <si>
    <t>Menunggu bahan BTRA O (avicel )</t>
  </si>
  <si>
    <t>ayak ibuprofen btra o</t>
  </si>
  <si>
    <t>Menunggu granul (-)</t>
  </si>
  <si>
    <t>btra o</t>
  </si>
  <si>
    <t>ayak ibuprofen</t>
  </si>
  <si>
    <t xml:space="preserve">BXMR M </t>
  </si>
  <si>
    <t>BFTP  O</t>
  </si>
  <si>
    <t>197 RK 8</t>
  </si>
  <si>
    <t>27-29 RK 9</t>
  </si>
  <si>
    <t>26-27 RK 9</t>
  </si>
  <si>
    <t>30-32 RK 9</t>
  </si>
  <si>
    <t>29 RK 9</t>
  </si>
  <si>
    <t>31 RK 9</t>
  </si>
  <si>
    <t>menghaluskan granul bftp o</t>
  </si>
  <si>
    <t>12-13 RK 9</t>
  </si>
  <si>
    <t>93 RK 9</t>
  </si>
  <si>
    <t xml:space="preserve">135-137 RK 9 </t>
  </si>
  <si>
    <t>20-22 RK 9</t>
  </si>
  <si>
    <t>166-168 rk 9</t>
  </si>
  <si>
    <t>169-198 RK 9</t>
  </si>
  <si>
    <t>AYAK BAHAN ACETYL</t>
  </si>
  <si>
    <t>201-202 RK 9</t>
  </si>
  <si>
    <t>203-205 rk 9</t>
  </si>
  <si>
    <t>280-281 RK 9</t>
  </si>
  <si>
    <t>293-295 RK 9</t>
  </si>
  <si>
    <t>042 RK 10</t>
  </si>
  <si>
    <t>31 RK 1O</t>
  </si>
  <si>
    <t>093 RK 10</t>
  </si>
  <si>
    <t>098 RK 10</t>
  </si>
  <si>
    <t>99 RK 10</t>
  </si>
  <si>
    <t>166-168 RK 10</t>
  </si>
  <si>
    <t>17 RK 10</t>
  </si>
  <si>
    <t>20-21 RK 10</t>
  </si>
  <si>
    <t>174 RK 10</t>
  </si>
  <si>
    <t>043-044 RK 12</t>
  </si>
  <si>
    <t>46-47 RK11</t>
  </si>
  <si>
    <t>135-136RK 7</t>
  </si>
  <si>
    <t>137 RK 7</t>
  </si>
  <si>
    <t>16-18 RK 7</t>
  </si>
  <si>
    <t>132 RK 7</t>
  </si>
  <si>
    <t>3-6 RK 7</t>
  </si>
  <si>
    <t>4 RK 7</t>
  </si>
  <si>
    <t>149-150 RK 7</t>
  </si>
  <si>
    <t>6 RK 7</t>
  </si>
  <si>
    <t>151-153 RK 7</t>
  </si>
  <si>
    <t>23-25 RK 7</t>
  </si>
  <si>
    <t>6-8 RK 8</t>
  </si>
  <si>
    <t>9-10 RK 8</t>
  </si>
  <si>
    <t>08-09 RK 8</t>
  </si>
  <si>
    <t>10,15,16 RK 8</t>
  </si>
  <si>
    <t>90-91 RK 8</t>
  </si>
  <si>
    <t>92-94 RK 8</t>
  </si>
  <si>
    <t>189-191 RK 8</t>
  </si>
  <si>
    <t xml:space="preserve">REWORK </t>
  </si>
  <si>
    <t>apc II</t>
  </si>
  <si>
    <t xml:space="preserve">HNOF </t>
  </si>
  <si>
    <t>XMR M</t>
  </si>
  <si>
    <t>104-106 RK 10</t>
  </si>
  <si>
    <t>98-100 RK 10</t>
  </si>
  <si>
    <t>045 RK 10</t>
  </si>
  <si>
    <t>175-177 RK 10</t>
  </si>
  <si>
    <t>9-11 RK 10</t>
  </si>
  <si>
    <t>20-22 RK 10</t>
  </si>
  <si>
    <t>25-26 RK 10</t>
  </si>
  <si>
    <t>45 RK 12</t>
  </si>
  <si>
    <t>46-47 RK 12</t>
  </si>
  <si>
    <t>169-170 RK 12</t>
  </si>
  <si>
    <t>186 RK 12</t>
  </si>
  <si>
    <t>88-89 RK 8(RWK)</t>
  </si>
  <si>
    <t>LOT 1-4</t>
  </si>
  <si>
    <t>22 RK 9</t>
  </si>
  <si>
    <t>88 RK 9</t>
  </si>
  <si>
    <t>166-167 RK 9</t>
  </si>
  <si>
    <t>133 RK 9</t>
  </si>
  <si>
    <t>011 RK 12</t>
  </si>
  <si>
    <t>129  RK 7</t>
  </si>
  <si>
    <t>133 RK 7</t>
  </si>
  <si>
    <t>*</t>
  </si>
  <si>
    <t>148-149 RK 7</t>
  </si>
  <si>
    <t>150 - 151 RK 7</t>
  </si>
  <si>
    <t>RWK</t>
  </si>
  <si>
    <t xml:space="preserve">165 RK 9 </t>
  </si>
  <si>
    <t>188 RK 10</t>
  </si>
  <si>
    <t>23-24 RK 10</t>
  </si>
  <si>
    <t>92 RK 12</t>
  </si>
  <si>
    <t>12-14 RK 12</t>
  </si>
  <si>
    <t>232-233 RK 7</t>
  </si>
  <si>
    <t>14 RK 8</t>
  </si>
  <si>
    <t>122, 139 RK 7</t>
  </si>
  <si>
    <t>192-193 RK 8</t>
  </si>
  <si>
    <t>122 RK 8</t>
  </si>
  <si>
    <t>NO</t>
  </si>
  <si>
    <t>GRANULASI LT.2</t>
  </si>
  <si>
    <t>SETATUS</t>
  </si>
  <si>
    <t>OPEN</t>
  </si>
  <si>
    <t>CLOSED</t>
  </si>
  <si>
    <t>TANGGAL</t>
  </si>
  <si>
    <t>TIME</t>
  </si>
  <si>
    <t>DIOSNA LINE 1</t>
  </si>
  <si>
    <t>13.30</t>
  </si>
  <si>
    <t>13.50</t>
  </si>
  <si>
    <t xml:space="preserve">diosna alarm tidak ada tekanan udara </t>
  </si>
  <si>
    <t>HALIS OK, LANJUT PRODUKSI</t>
  </si>
  <si>
    <t>08.20</t>
  </si>
  <si>
    <t>08.55</t>
  </si>
  <si>
    <t xml:space="preserve">filter diosna abnormal </t>
  </si>
  <si>
    <t>07.30</t>
  </si>
  <si>
    <t>09.00</t>
  </si>
  <si>
    <t>alarm mixer eror</t>
  </si>
  <si>
    <t>10.15</t>
  </si>
  <si>
    <t>angin diosna eror</t>
  </si>
  <si>
    <t>09.05</t>
  </si>
  <si>
    <t>11.30</t>
  </si>
  <si>
    <t>alaram mixer eror</t>
  </si>
  <si>
    <t>seal choper mengeluarkan kotoran</t>
  </si>
  <si>
    <t>air flow mixer eror</t>
  </si>
  <si>
    <t>07.45</t>
  </si>
  <si>
    <t>08.15</t>
  </si>
  <si>
    <t>selang angin ada bocor, bawah deck mesin</t>
  </si>
  <si>
    <t>DIOSNA LINE 2</t>
  </si>
  <si>
    <t>Suara mesin kasar, gearbox rusak harus di ganti</t>
  </si>
  <si>
    <t>Pemasangan Gearbox Diosna CES dan sparepart diosna lainnya</t>
  </si>
  <si>
    <t>Test Run dengan team Eng; hasil OK dan lanjut test produk di shift 2</t>
  </si>
  <si>
    <t>23.30</t>
  </si>
  <si>
    <t>15.00</t>
  </si>
  <si>
    <t>alarm mixer, flow choper tool min fal M305C (hasil ok dan lanjut jalan di shift 2)</t>
  </si>
  <si>
    <t xml:space="preserve">alarm mixer, flow shaft choper M305A </t>
  </si>
  <si>
    <t>08.00</t>
  </si>
  <si>
    <t>alarm choper bunyi ketika akan di gunakan ( sudah di MR)</t>
  </si>
  <si>
    <t>08.50</t>
  </si>
  <si>
    <t xml:space="preserve">alarm choper diosna </t>
  </si>
  <si>
    <t>10.05</t>
  </si>
  <si>
    <t>10.30</t>
  </si>
  <si>
    <t>selang diosna bocor</t>
  </si>
  <si>
    <t>PERBAIKAN ENG</t>
  </si>
  <si>
    <t>10.00</t>
  </si>
  <si>
    <t>12.30</t>
  </si>
  <si>
    <t xml:space="preserve">selang diosna bocor </t>
  </si>
  <si>
    <t>15.20</t>
  </si>
  <si>
    <t>15.50</t>
  </si>
  <si>
    <t xml:space="preserve">perbaikan outlet inlet </t>
  </si>
  <si>
    <t>11.00</t>
  </si>
  <si>
    <t>coper diosna patah</t>
  </si>
  <si>
    <t>wip wot complete eror</t>
  </si>
  <si>
    <t>07.35</t>
  </si>
  <si>
    <t>08.05</t>
  </si>
  <si>
    <t>YENCHEN LINE 1</t>
  </si>
  <si>
    <t>17.35</t>
  </si>
  <si>
    <t>17.40</t>
  </si>
  <si>
    <t>ALARM AIR TIRE ABNORMAL, AIR TIRE BAGIAN NEPLE ROBEK
Perbaikan mandiri menutup bagian robek dengan lakban</t>
  </si>
  <si>
    <t>19.20</t>
  </si>
  <si>
    <t>19.45</t>
  </si>
  <si>
    <t>Alarm air tire abnormal, perbaikan mandiri, pinjam air tire line 2 di pasang di line 1</t>
  </si>
  <si>
    <t>mesin breakdown, mengganti inverter ( done )</t>
  </si>
  <si>
    <t>16.05</t>
  </si>
  <si>
    <t xml:space="preserve">airflow masihh rendah </t>
  </si>
  <si>
    <t>04.15</t>
  </si>
  <si>
    <t>04.45</t>
  </si>
  <si>
    <t>mesin breakdown, karena steam uap fbd katupnya belum di buka, pinjam kunci ke eng</t>
  </si>
  <si>
    <t>11.15</t>
  </si>
  <si>
    <t>16.30</t>
  </si>
  <si>
    <t>steam trap (mt 100164830) ( tes run, hasil ok lanjut produksi shift 2)</t>
  </si>
  <si>
    <t>09.15</t>
  </si>
  <si>
    <t>14.00</t>
  </si>
  <si>
    <t xml:space="preserve">mesin breakdown, airflow rendah 0,3-0,4 </t>
  </si>
  <si>
    <t>08.30</t>
  </si>
  <si>
    <t>15.30</t>
  </si>
  <si>
    <t xml:space="preserve">Mesin FBD bermasalah pada hidrolik, panel operation, dan bocor angin bagian bawah ( valve) </t>
  </si>
  <si>
    <t>12.20</t>
  </si>
  <si>
    <t xml:space="preserve">FBD bermasalah </t>
  </si>
  <si>
    <t>15.15</t>
  </si>
  <si>
    <t>15.35</t>
  </si>
  <si>
    <t xml:space="preserve">alarm air tire </t>
  </si>
  <si>
    <t>09.25</t>
  </si>
  <si>
    <t xml:space="preserve">mesin error, cleaning outlet exproff </t>
  </si>
  <si>
    <t>13.10</t>
  </si>
  <si>
    <t>mesin fbd eror</t>
  </si>
  <si>
    <t>layar FBD eror tidak nyala saat di nyalakan</t>
  </si>
  <si>
    <t>09.30</t>
  </si>
  <si>
    <t xml:space="preserve">selenoi damper rusak </t>
  </si>
  <si>
    <t>16.40</t>
  </si>
  <si>
    <t>16.45</t>
  </si>
  <si>
    <t>air flou eror</t>
  </si>
  <si>
    <t>08.40</t>
  </si>
  <si>
    <t xml:space="preserve">slang sensor bocor </t>
  </si>
  <si>
    <t>21.00</t>
  </si>
  <si>
    <t>MCB FBD konslet</t>
  </si>
  <si>
    <t>HASIL OK, AKAN DILAKUKAN TES RUN PAGI INI ( 18/04/2024)</t>
  </si>
  <si>
    <t>YENCHEN LINE 2</t>
  </si>
  <si>
    <t>14.10</t>
  </si>
  <si>
    <t xml:space="preserve">FBD EROR PLC </t>
  </si>
  <si>
    <t>08.45</t>
  </si>
  <si>
    <t xml:space="preserve">ALARM AIR PRESURE ABNORMAL </t>
  </si>
  <si>
    <t>kerusakan HMI</t>
  </si>
  <si>
    <t>HALIS OK, LANJUT PRODUKSI( SHIFT 2)</t>
  </si>
  <si>
    <t>sensor container tidak berfungsi</t>
  </si>
  <si>
    <t>8.15</t>
  </si>
  <si>
    <t>9.45</t>
  </si>
  <si>
    <t>sensor container eror</t>
  </si>
  <si>
    <t>HALIS OK, LANJUT PRODUKSI( SHIFT 1)</t>
  </si>
  <si>
    <t>10.50</t>
  </si>
  <si>
    <t>air tire eror</t>
  </si>
  <si>
    <t>KAROHR 250</t>
  </si>
  <si>
    <t>Kerusakan pada sistem pengaman tutup output</t>
  </si>
  <si>
    <t>KAROHR 500</t>
  </si>
  <si>
    <t>LAIN LAIN</t>
  </si>
  <si>
    <t xml:space="preserve"> OG YC 2004</t>
  </si>
  <si>
    <t>PERBAIKAN BALING - BALING DAN BEARING KE VENDOR LUAR</t>
  </si>
  <si>
    <t>OG YC 2010</t>
  </si>
  <si>
    <t>BALING - BALING TIDAK SESUAI/TIDAK PAS</t>
  </si>
  <si>
    <t>Double Jacketed Tank</t>
  </si>
  <si>
    <t>Panel steam DJT ada kebocoran air; selesai perbaikan minggu, 26/3/2023</t>
  </si>
  <si>
    <t>19.40</t>
  </si>
  <si>
    <t>20.15</t>
  </si>
  <si>
    <t>pengelasan DJT oleh eng</t>
  </si>
  <si>
    <t>Alexander pgs 300</t>
  </si>
  <si>
    <t>11.10</t>
  </si>
  <si>
    <t>19.25</t>
  </si>
  <si>
    <t>roda gigi ada yang patah</t>
  </si>
  <si>
    <t>%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</si>
</sst>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(* #,##0_);_(* \(#,##0\);_(* &quot;-&quot;_);_(@_)"/>
    <numFmt numFmtId="165" formatCode="0;[Red]0"/>
    <numFmt numFmtId="166" formatCode="000000"/>
    <numFmt numFmtId="167" formatCode="_ * #,##0.00_ ;_ * \-#,##0.00_ ;_ * &quot;-&quot;??_ ;_ @_ "/>
    <numFmt numFmtId="168" formatCode="0.0000000000_ "/>
    <numFmt numFmtId="169" formatCode="0.0"/>
    <numFmt numFmtId="171" formatCode="00"/>
    <numFmt numFmtId="172" formatCode="dd\,mm\,yyyy;@"/>
    <numFmt numFmtId="173" formatCode="[$-13809]dd\ mmmm\ yyyy;@"/>
    <numFmt numFmtId="174" formatCode="d\-mmm\-yyyy;@"/>
    <numFmt numFmtId="175" formatCode="dd/mm/yyyy;@"/>
    <numFmt numFmtId="176" formatCode="[$-13809]dddd\,\ dd\ mmmm\ yyyy;@"/>
    <numFmt numFmtId="177" formatCode="0.0_ "/>
    <numFmt numFmtId="178" formatCode="[$-F800]dddd\,\ mmmm\ dd\,\ yyyy"/>
    <numFmt numFmtId="180" formatCode="[$-409]d/mmm/yyyy;@"/>
    <numFmt numFmtId="181" formatCode="_(* #,##0.00_);_(* \(#,##0.00\);_(* \-??_);_(@_)"/>
    <numFmt numFmtId="182" formatCode="0.00000000_ "/>
    <numFmt numFmtId="183" formatCode="dd\,mm\,yy;@"/>
    <numFmt numFmtId="184" formatCode="0.00_ "/>
    <numFmt numFmtId="185" formatCode="0_ "/>
    <numFmt numFmtId="186" formatCode="dd\.mm\.yy;@"/>
    <numFmt numFmtId="190" formatCode="0.00000_ "/>
  </numFmts>
  <fonts count="81">
    <font>
      <sz val="11"/>
      <color theme="1"/>
      <name val="Calibri"/>
      <charset val="134"/>
      <scheme val="minor"/>
    </font>
    <font>
      <b/>
      <sz val="11"/>
      <name val="Bookman Old Style"/>
      <charset val="134"/>
    </font>
    <font>
      <b/>
      <sz val="12"/>
      <name val="Bookman Old Style"/>
      <charset val="134"/>
    </font>
    <font>
      <b/>
      <sz val="10"/>
      <name val="Bookman Old Style"/>
      <charset val="134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28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20"/>
      <color rgb="FFFF0000"/>
      <name val="Calibri"/>
      <charset val="134"/>
      <scheme val="minor"/>
    </font>
    <font>
      <b/>
      <sz val="16"/>
      <name val="Calibri"/>
      <charset val="134"/>
    </font>
    <font>
      <b/>
      <sz val="14"/>
      <name val="Bookman Old Style"/>
      <charset val="134"/>
    </font>
    <font>
      <b/>
      <sz val="14"/>
      <color indexed="8"/>
      <name val="Calibri"/>
      <charset val="134"/>
    </font>
    <font>
      <b/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2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  <scheme val="minor"/>
    </font>
    <font>
      <sz val="20"/>
      <color rgb="FFFF0000"/>
      <name val="Calibri"/>
      <charset val="134"/>
    </font>
    <font>
      <sz val="2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0"/>
      <color indexed="8"/>
      <name val="Calibri"/>
      <charset val="134"/>
    </font>
    <font>
      <sz val="11"/>
      <color indexed="8"/>
      <name val="Calibri"/>
      <charset val="134"/>
      <scheme val="minor"/>
    </font>
    <font>
      <b/>
      <sz val="9"/>
      <color indexed="8"/>
      <name val="Calibri"/>
      <charset val="134"/>
    </font>
    <font>
      <b/>
      <sz val="12"/>
      <color rgb="FF000000"/>
      <name val="Calibri"/>
      <charset val="134"/>
    </font>
    <font>
      <b/>
      <sz val="12"/>
      <color indexed="12"/>
      <name val="Calibri"/>
      <charset val="134"/>
      <scheme val="minor"/>
    </font>
    <font>
      <b/>
      <sz val="16"/>
      <color indexed="8"/>
      <name val="Calibri"/>
      <charset val="134"/>
    </font>
    <font>
      <b/>
      <sz val="12"/>
      <color indexed="8"/>
      <name val="Bookman Old Style"/>
      <charset val="134"/>
    </font>
    <font>
      <b/>
      <sz val="13"/>
      <name val="Calibri"/>
      <charset val="134"/>
    </font>
    <font>
      <b/>
      <sz val="12"/>
      <color rgb="FFC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b/>
      <sz val="11"/>
      <color indexed="8"/>
      <name val="Calibri"/>
      <charset val="134"/>
      <scheme val="minor"/>
    </font>
    <font>
      <b/>
      <sz val="11"/>
      <color indexed="17"/>
      <name val="Calibri"/>
      <charset val="134"/>
    </font>
    <font>
      <b/>
      <sz val="12"/>
      <color rgb="FF00B050"/>
      <name val="Calibri"/>
      <charset val="134"/>
    </font>
    <font>
      <b/>
      <sz val="11"/>
      <color rgb="FF008000"/>
      <name val="Calibri"/>
      <charset val="134"/>
    </font>
    <font>
      <b/>
      <sz val="14"/>
      <color indexed="8"/>
      <name val="Bookman Old Style"/>
      <charset val="134"/>
    </font>
    <font>
      <b/>
      <sz val="12"/>
      <color indexed="10"/>
      <name val="Calibri"/>
      <charset val="134"/>
    </font>
    <font>
      <b/>
      <sz val="12"/>
      <color rgb="FFFF0000"/>
      <name val="Calibri"/>
      <charset val="134"/>
    </font>
    <font>
      <b/>
      <sz val="12"/>
      <color rgb="FF0070C0"/>
      <name val="Calibri"/>
      <charset val="134"/>
    </font>
    <font>
      <b/>
      <sz val="12"/>
      <color theme="1"/>
      <name val="Calibri"/>
      <charset val="134"/>
      <scheme val="minor"/>
    </font>
    <font>
      <sz val="11"/>
      <color rgb="FF008000"/>
      <name val="Calibri"/>
      <charset val="134"/>
    </font>
    <font>
      <b/>
      <sz val="11"/>
      <color rgb="FFC00000"/>
      <name val="Calibri"/>
      <charset val="134"/>
    </font>
    <font>
      <b/>
      <sz val="11"/>
      <color rgb="FF0000FF"/>
      <name val="Calibri"/>
      <charset val="134"/>
    </font>
    <font>
      <b/>
      <sz val="11"/>
      <color rgb="FF006600"/>
      <name val="Calibri"/>
      <charset val="134"/>
    </font>
    <font>
      <b/>
      <sz val="11"/>
      <color theme="1"/>
      <name val="Calibri"/>
      <charset val="134"/>
    </font>
    <font>
      <b/>
      <sz val="11"/>
      <color rgb="FF00B0F0"/>
      <name val="Calibri"/>
      <charset val="134"/>
    </font>
    <font>
      <b/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0"/>
      <color indexed="8"/>
      <name val="Arial1"/>
      <charset val="134"/>
    </font>
    <font>
      <b/>
      <sz val="11"/>
      <color indexed="52"/>
      <name val="Calibri"/>
      <charset val="134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imes New Roman"/>
      <charset val="134"/>
    </font>
    <font>
      <b/>
      <sz val="8"/>
      <color indexed="8"/>
      <name val="Tahoma"/>
      <charset val="134"/>
    </font>
    <font>
      <sz val="14"/>
      <name val="Times New Roman"/>
      <charset val="134"/>
    </font>
    <font>
      <sz val="15"/>
      <name val="Times New Roman"/>
      <charset val="134"/>
    </font>
  </fonts>
  <fills count="6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1"/>
        <bgColor indexed="52"/>
      </patternFill>
    </fill>
    <fill>
      <patternFill patternType="solid">
        <fgColor theme="1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rgb="FFBB645B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27"/>
      </patternFill>
    </fill>
    <fill>
      <patternFill patternType="solid">
        <fgColor rgb="FFFFFF00"/>
        <bgColor indexed="27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1"/>
        <bgColor indexed="58"/>
      </patternFill>
    </fill>
    <fill>
      <patternFill patternType="solid">
        <fgColor theme="1" tint="0.249977111117893"/>
        <bgColor indexed="58"/>
      </patternFill>
    </fill>
    <fill>
      <patternFill patternType="solid">
        <fgColor indexed="9"/>
        <bgColor indexed="39"/>
      </patternFill>
    </fill>
    <fill>
      <patternFill patternType="solid">
        <fgColor indexed="44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2299264503923"/>
        <bgColor indexed="64"/>
      </patternFill>
    </fill>
  </fills>
  <borders count="19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8"/>
      </left>
      <right style="medium">
        <color auto="1"/>
      </right>
      <top style="medium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auto="1"/>
      </right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 style="medium">
        <color indexed="8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/>
      <top style="medium">
        <color indexed="8"/>
      </top>
      <bottom style="double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8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8"/>
      </right>
      <top style="medium">
        <color auto="1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/>
      <top style="double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auto="1"/>
      </bottom>
      <diagonal/>
    </border>
    <border>
      <left style="medium">
        <color auto="1"/>
      </left>
      <right style="medium">
        <color indexed="8"/>
      </right>
      <top/>
      <bottom style="medium">
        <color auto="1"/>
      </bottom>
      <diagonal/>
    </border>
    <border>
      <left style="medium">
        <color indexed="8"/>
      </left>
      <right/>
      <top style="double">
        <color indexed="8"/>
      </top>
      <bottom style="medium">
        <color auto="1"/>
      </bottom>
      <diagonal/>
    </border>
    <border>
      <left/>
      <right style="medium">
        <color indexed="8"/>
      </right>
      <top style="thin">
        <color indexed="8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auto="1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auto="1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indexed="8"/>
      </right>
      <top style="medium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indexed="8"/>
      </top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auto="1"/>
      </bottom>
      <diagonal/>
    </border>
    <border>
      <left style="medium">
        <color indexed="8"/>
      </left>
      <right/>
      <top style="medium">
        <color auto="1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auto="1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 style="medium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 style="thin">
        <color indexed="8"/>
      </top>
      <bottom style="thin">
        <color auto="1"/>
      </bottom>
      <diagonal/>
    </border>
    <border>
      <left style="medium">
        <color indexed="8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8"/>
      </right>
      <top style="thin">
        <color indexed="8"/>
      </top>
      <bottom style="medium">
        <color auto="1"/>
      </bottom>
      <diagonal/>
    </border>
    <border>
      <left style="medium">
        <color indexed="8"/>
      </left>
      <right style="medium">
        <color auto="1"/>
      </right>
      <top/>
      <bottom style="medium">
        <color indexed="8"/>
      </bottom>
      <diagonal/>
    </border>
    <border>
      <left style="medium">
        <color indexed="8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auto="1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 style="medium">
        <color auto="1"/>
      </bottom>
      <diagonal/>
    </border>
    <border>
      <left/>
      <right/>
      <top style="medium">
        <color indexed="8"/>
      </top>
      <bottom style="medium">
        <color auto="1"/>
      </bottom>
      <diagonal/>
    </border>
    <border>
      <left/>
      <right style="medium">
        <color indexed="8"/>
      </right>
      <top style="medium">
        <color indexed="8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1">
    <xf numFmtId="0" fontId="0" fillId="0" borderId="0">
      <alignment vertical="center"/>
    </xf>
    <xf numFmtId="167" fontId="75" fillId="0" borderId="0" applyFont="0" applyFill="0" applyBorder="0" applyAlignment="0" applyProtection="0">
      <alignment vertical="center"/>
    </xf>
    <xf numFmtId="0" fontId="10" fillId="0" borderId="0"/>
    <xf numFmtId="0" fontId="9" fillId="0" borderId="0"/>
    <xf numFmtId="0" fontId="9" fillId="0" borderId="0">
      <alignment vertical="center"/>
    </xf>
    <xf numFmtId="0" fontId="10" fillId="0" borderId="0"/>
    <xf numFmtId="0" fontId="10" fillId="0" borderId="0"/>
    <xf numFmtId="0" fontId="73" fillId="0" borderId="0"/>
    <xf numFmtId="0" fontId="10" fillId="0" borderId="0"/>
    <xf numFmtId="0" fontId="74" fillId="2" borderId="191" applyNumberFormat="0" applyAlignment="0" applyProtection="0"/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10" fillId="0" borderId="0"/>
    <xf numFmtId="0" fontId="10" fillId="0" borderId="0"/>
  </cellStyleXfs>
  <cellXfs count="172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13" applyFon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73" fontId="0" fillId="0" borderId="0" xfId="0" applyNumberFormat="1">
      <alignment vertical="center"/>
    </xf>
    <xf numFmtId="0" fontId="5" fillId="0" borderId="1" xfId="7" applyFont="1" applyBorder="1" applyAlignment="1">
      <alignment horizontal="center" vertical="center" wrapText="1"/>
    </xf>
    <xf numFmtId="0" fontId="6" fillId="2" borderId="1" xfId="7" applyFont="1" applyFill="1" applyBorder="1" applyAlignment="1">
      <alignment horizontal="center" vertical="center" wrapText="1"/>
    </xf>
    <xf numFmtId="0" fontId="0" fillId="20" borderId="1" xfId="0" applyFill="1" applyBorder="1">
      <alignment vertical="center"/>
    </xf>
    <xf numFmtId="173" fontId="5" fillId="0" borderId="1" xfId="7" applyNumberFormat="1" applyFont="1" applyBorder="1" applyAlignment="1">
      <alignment horizontal="center" vertical="center" wrapText="1"/>
    </xf>
    <xf numFmtId="0" fontId="6" fillId="0" borderId="1" xfId="7" applyFont="1" applyBorder="1" applyAlignment="1">
      <alignment horizontal="center" vertical="center" wrapText="1"/>
    </xf>
    <xf numFmtId="0" fontId="7" fillId="0" borderId="1" xfId="7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173" fontId="7" fillId="0" borderId="1" xfId="7" applyNumberFormat="1" applyFont="1" applyBorder="1" applyAlignment="1">
      <alignment horizontal="center" vertical="center"/>
    </xf>
    <xf numFmtId="14" fontId="7" fillId="0" borderId="1" xfId="7" applyNumberFormat="1" applyFont="1" applyBorder="1" applyAlignment="1">
      <alignment horizontal="center" vertical="center"/>
    </xf>
    <xf numFmtId="174" fontId="7" fillId="0" borderId="1" xfId="7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20" fontId="7" fillId="0" borderId="1" xfId="7" applyNumberFormat="1" applyFont="1" applyBorder="1" applyAlignment="1">
      <alignment horizontal="center" vertical="center"/>
    </xf>
    <xf numFmtId="0" fontId="9" fillId="0" borderId="1" xfId="0" applyFont="1" applyBorder="1" applyAlignment="1"/>
    <xf numFmtId="0" fontId="7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/>
    </xf>
    <xf numFmtId="173" fontId="7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6" fontId="7" fillId="0" borderId="1" xfId="7" applyNumberFormat="1" applyFont="1" applyBorder="1" applyAlignment="1">
      <alignment horizontal="center" vertical="center"/>
    </xf>
    <xf numFmtId="0" fontId="7" fillId="0" borderId="1" xfId="7" applyFont="1" applyBorder="1" applyAlignment="1">
      <alignment vertical="center"/>
    </xf>
    <xf numFmtId="0" fontId="0" fillId="0" borderId="52" xfId="0" applyBorder="1">
      <alignment vertical="center"/>
    </xf>
    <xf numFmtId="20" fontId="7" fillId="0" borderId="1" xfId="1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173" fontId="7" fillId="0" borderId="52" xfId="7" applyNumberFormat="1" applyFont="1" applyBorder="1" applyAlignment="1">
      <alignment horizontal="center" vertical="center"/>
    </xf>
    <xf numFmtId="20" fontId="7" fillId="0" borderId="52" xfId="1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7" fillId="0" borderId="1" xfId="2" applyFont="1" applyBorder="1" applyAlignment="1">
      <alignment horizontal="left" vertical="center"/>
    </xf>
    <xf numFmtId="20" fontId="7" fillId="0" borderId="1" xfId="2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horizontal="center" vertical="center"/>
    </xf>
    <xf numFmtId="16" fontId="7" fillId="0" borderId="1" xfId="2" applyNumberFormat="1" applyFont="1" applyBorder="1" applyAlignment="1">
      <alignment horizontal="center" vertical="center"/>
    </xf>
    <xf numFmtId="49" fontId="7" fillId="0" borderId="1" xfId="15" applyNumberFormat="1" applyFont="1" applyBorder="1" applyAlignment="1">
      <alignment horizontal="left" vertical="center"/>
    </xf>
    <xf numFmtId="49" fontId="7" fillId="0" borderId="1" xfId="15" applyNumberFormat="1" applyFont="1" applyBorder="1" applyAlignment="1">
      <alignment horizontal="left"/>
    </xf>
    <xf numFmtId="49" fontId="7" fillId="0" borderId="1" xfId="16" applyNumberFormat="1" applyFont="1" applyBorder="1" applyAlignment="1">
      <alignment horizontal="left"/>
    </xf>
    <xf numFmtId="20" fontId="7" fillId="0" borderId="1" xfId="15" applyNumberFormat="1" applyFont="1" applyBorder="1" applyAlignment="1">
      <alignment horizontal="center" vertical="center"/>
    </xf>
    <xf numFmtId="0" fontId="10" fillId="0" borderId="0" xfId="19"/>
    <xf numFmtId="0" fontId="11" fillId="0" borderId="0" xfId="19" applyFont="1"/>
    <xf numFmtId="0" fontId="10" fillId="0" borderId="0" xfId="19" applyAlignment="1">
      <alignment horizontal="center"/>
    </xf>
    <xf numFmtId="0" fontId="10" fillId="0" borderId="17" xfId="19" applyBorder="1"/>
    <xf numFmtId="0" fontId="10" fillId="0" borderId="29" xfId="19" applyBorder="1"/>
    <xf numFmtId="0" fontId="10" fillId="0" borderId="0" xfId="19" applyAlignment="1">
      <alignment horizontal="center" vertical="center"/>
    </xf>
    <xf numFmtId="0" fontId="13" fillId="6" borderId="9" xfId="20" applyFont="1" applyFill="1" applyBorder="1" applyAlignment="1">
      <alignment horizontal="center" vertical="center"/>
    </xf>
    <xf numFmtId="0" fontId="13" fillId="6" borderId="48" xfId="20" applyFont="1" applyFill="1" applyBorder="1" applyAlignment="1">
      <alignment horizontal="center" vertical="center"/>
    </xf>
    <xf numFmtId="0" fontId="13" fillId="6" borderId="19" xfId="20" applyFont="1" applyFill="1" applyBorder="1" applyAlignment="1">
      <alignment horizontal="center" vertical="center"/>
    </xf>
    <xf numFmtId="0" fontId="13" fillId="6" borderId="12" xfId="20" applyFont="1" applyFill="1" applyBorder="1" applyAlignment="1">
      <alignment horizontal="center" vertical="center"/>
    </xf>
    <xf numFmtId="0" fontId="0" fillId="0" borderId="64" xfId="19" applyFont="1" applyBorder="1" applyAlignment="1">
      <alignment horizontal="center" vertical="center"/>
    </xf>
    <xf numFmtId="0" fontId="0" fillId="0" borderId="65" xfId="19" applyFont="1" applyBorder="1" applyAlignment="1">
      <alignment horizontal="center" vertical="center"/>
    </xf>
    <xf numFmtId="0" fontId="0" fillId="0" borderId="66" xfId="19" applyFont="1" applyBorder="1" applyAlignment="1">
      <alignment horizontal="center" vertical="center"/>
    </xf>
    <xf numFmtId="0" fontId="10" fillId="0" borderId="34" xfId="19" applyBorder="1"/>
    <xf numFmtId="0" fontId="14" fillId="5" borderId="69" xfId="19" applyFont="1" applyFill="1" applyBorder="1" applyAlignment="1">
      <alignment horizontal="center" vertical="center"/>
    </xf>
    <xf numFmtId="0" fontId="0" fillId="0" borderId="70" xfId="19" applyFont="1" applyBorder="1" applyAlignment="1">
      <alignment horizontal="center" vertical="center"/>
    </xf>
    <xf numFmtId="0" fontId="0" fillId="0" borderId="71" xfId="19" applyFont="1" applyBorder="1" applyAlignment="1">
      <alignment horizontal="center" vertical="center"/>
    </xf>
    <xf numFmtId="0" fontId="0" fillId="5" borderId="72" xfId="19" applyFont="1" applyFill="1" applyBorder="1" applyAlignment="1">
      <alignment horizontal="center" vertical="center"/>
    </xf>
    <xf numFmtId="0" fontId="0" fillId="5" borderId="73" xfId="19" applyFont="1" applyFill="1" applyBorder="1" applyAlignment="1">
      <alignment horizontal="center" vertical="center"/>
    </xf>
    <xf numFmtId="0" fontId="0" fillId="0" borderId="73" xfId="19" applyFont="1" applyBorder="1" applyAlignment="1">
      <alignment horizontal="center" vertical="center"/>
    </xf>
    <xf numFmtId="0" fontId="0" fillId="0" borderId="69" xfId="19" applyFont="1" applyBorder="1" applyAlignment="1">
      <alignment horizontal="center" vertical="center"/>
    </xf>
    <xf numFmtId="0" fontId="0" fillId="0" borderId="72" xfId="19" applyFont="1" applyBorder="1" applyAlignment="1">
      <alignment horizontal="center" vertical="center"/>
    </xf>
    <xf numFmtId="0" fontId="0" fillId="0" borderId="74" xfId="19" applyFont="1" applyBorder="1" applyAlignment="1">
      <alignment horizontal="center" vertical="center"/>
    </xf>
    <xf numFmtId="0" fontId="0" fillId="0" borderId="77" xfId="19" applyFont="1" applyBorder="1" applyAlignment="1">
      <alignment horizontal="center" vertical="center"/>
    </xf>
    <xf numFmtId="0" fontId="0" fillId="0" borderId="78" xfId="19" applyFont="1" applyBorder="1" applyAlignment="1">
      <alignment horizontal="center" vertical="center"/>
    </xf>
    <xf numFmtId="0" fontId="15" fillId="0" borderId="79" xfId="19" applyFont="1" applyBorder="1" applyAlignment="1">
      <alignment horizontal="center" vertical="center"/>
    </xf>
    <xf numFmtId="0" fontId="0" fillId="5" borderId="70" xfId="19" applyFont="1" applyFill="1" applyBorder="1" applyAlignment="1">
      <alignment horizontal="center" vertical="center"/>
    </xf>
    <xf numFmtId="0" fontId="15" fillId="0" borderId="72" xfId="19" applyFont="1" applyBorder="1" applyAlignment="1">
      <alignment horizontal="center" vertical="center"/>
    </xf>
    <xf numFmtId="0" fontId="14" fillId="0" borderId="73" xfId="19" applyFont="1" applyBorder="1" applyAlignment="1">
      <alignment horizontal="center" vertical="center"/>
    </xf>
    <xf numFmtId="0" fontId="14" fillId="5" borderId="72" xfId="19" applyFont="1" applyFill="1" applyBorder="1" applyAlignment="1">
      <alignment horizontal="center" vertical="center"/>
    </xf>
    <xf numFmtId="0" fontId="0" fillId="0" borderId="80" xfId="19" applyFont="1" applyBorder="1" applyAlignment="1">
      <alignment horizontal="center" vertical="center"/>
    </xf>
    <xf numFmtId="0" fontId="0" fillId="0" borderId="81" xfId="19" applyFont="1" applyBorder="1" applyAlignment="1">
      <alignment horizontal="center" vertical="center"/>
    </xf>
    <xf numFmtId="0" fontId="0" fillId="0" borderId="53" xfId="19" applyFont="1" applyBorder="1" applyAlignment="1">
      <alignment horizontal="center" vertical="center"/>
    </xf>
    <xf numFmtId="0" fontId="0" fillId="0" borderId="37" xfId="19" applyFont="1" applyBorder="1" applyAlignment="1">
      <alignment horizontal="center" vertical="center"/>
    </xf>
    <xf numFmtId="0" fontId="0" fillId="0" borderId="83" xfId="19" applyFont="1" applyBorder="1" applyAlignment="1">
      <alignment horizontal="center" vertical="center"/>
    </xf>
    <xf numFmtId="0" fontId="0" fillId="0" borderId="18" xfId="19" applyFont="1" applyBorder="1" applyAlignment="1">
      <alignment horizontal="center" vertical="center"/>
    </xf>
    <xf numFmtId="0" fontId="0" fillId="0" borderId="0" xfId="19" applyFont="1" applyAlignment="1">
      <alignment horizontal="center" vertical="center"/>
    </xf>
    <xf numFmtId="0" fontId="0" fillId="0" borderId="85" xfId="19" applyFont="1" applyBorder="1" applyAlignment="1">
      <alignment horizontal="center" vertical="center"/>
    </xf>
    <xf numFmtId="0" fontId="14" fillId="0" borderId="72" xfId="19" applyFont="1" applyBorder="1" applyAlignment="1">
      <alignment horizontal="center" vertical="center"/>
    </xf>
    <xf numFmtId="0" fontId="0" fillId="5" borderId="86" xfId="19" applyFont="1" applyFill="1" applyBorder="1" applyAlignment="1">
      <alignment horizontal="center" vertical="center"/>
    </xf>
    <xf numFmtId="0" fontId="10" fillId="0" borderId="1" xfId="19" applyBorder="1"/>
    <xf numFmtId="0" fontId="0" fillId="0" borderId="87" xfId="19" applyFont="1" applyBorder="1" applyAlignment="1">
      <alignment horizontal="center" vertical="center"/>
    </xf>
    <xf numFmtId="0" fontId="0" fillId="0" borderId="38" xfId="19" applyFont="1" applyBorder="1" applyAlignment="1">
      <alignment horizontal="center" vertical="center"/>
    </xf>
    <xf numFmtId="0" fontId="14" fillId="0" borderId="78" xfId="19" applyFont="1" applyBorder="1" applyAlignment="1">
      <alignment horizontal="center" vertical="center"/>
    </xf>
    <xf numFmtId="0" fontId="0" fillId="0" borderId="44" xfId="19" applyFont="1" applyBorder="1" applyAlignment="1">
      <alignment horizontal="center" vertical="center"/>
    </xf>
    <xf numFmtId="0" fontId="15" fillId="6" borderId="70" xfId="19" applyFont="1" applyFill="1" applyBorder="1" applyAlignment="1">
      <alignment horizontal="center" vertical="center"/>
    </xf>
    <xf numFmtId="0" fontId="15" fillId="6" borderId="73" xfId="19" applyFont="1" applyFill="1" applyBorder="1" applyAlignment="1">
      <alignment horizontal="center" vertical="center"/>
    </xf>
    <xf numFmtId="0" fontId="14" fillId="0" borderId="0" xfId="19" applyFont="1"/>
    <xf numFmtId="0" fontId="0" fillId="0" borderId="79" xfId="19" applyFont="1" applyBorder="1" applyAlignment="1">
      <alignment horizontal="center" vertical="center"/>
    </xf>
    <xf numFmtId="0" fontId="0" fillId="0" borderId="90" xfId="19" applyFont="1" applyBorder="1" applyAlignment="1">
      <alignment horizontal="center" vertical="center"/>
    </xf>
    <xf numFmtId="0" fontId="0" fillId="5" borderId="47" xfId="19" applyFont="1" applyFill="1" applyBorder="1" applyAlignment="1">
      <alignment horizontal="center" vertical="center"/>
    </xf>
    <xf numFmtId="0" fontId="0" fillId="0" borderId="91" xfId="19" applyFont="1" applyBorder="1" applyAlignment="1">
      <alignment horizontal="center" vertical="center"/>
    </xf>
    <xf numFmtId="0" fontId="0" fillId="0" borderId="93" xfId="19" applyFont="1" applyBorder="1" applyAlignment="1">
      <alignment horizontal="center" vertical="center"/>
    </xf>
    <xf numFmtId="0" fontId="0" fillId="0" borderId="97" xfId="19" applyFont="1" applyBorder="1" applyAlignment="1">
      <alignment horizontal="center" vertical="center"/>
    </xf>
    <xf numFmtId="0" fontId="15" fillId="0" borderId="78" xfId="19" applyFont="1" applyBorder="1" applyAlignment="1">
      <alignment horizontal="center" vertical="center"/>
    </xf>
    <xf numFmtId="0" fontId="0" fillId="0" borderId="102" xfId="19" applyFont="1" applyBorder="1" applyAlignment="1">
      <alignment horizontal="center" vertical="center"/>
    </xf>
    <xf numFmtId="0" fontId="13" fillId="21" borderId="12" xfId="20" applyFont="1" applyFill="1" applyBorder="1" applyAlignment="1">
      <alignment horizontal="center" vertical="center"/>
    </xf>
    <xf numFmtId="0" fontId="13" fillId="21" borderId="48" xfId="20" applyFont="1" applyFill="1" applyBorder="1" applyAlignment="1">
      <alignment horizontal="center" vertical="center"/>
    </xf>
    <xf numFmtId="0" fontId="13" fillId="21" borderId="19" xfId="20" applyFont="1" applyFill="1" applyBorder="1" applyAlignment="1">
      <alignment horizontal="center" vertical="center"/>
    </xf>
    <xf numFmtId="0" fontId="0" fillId="21" borderId="66" xfId="19" applyFont="1" applyFill="1" applyBorder="1" applyAlignment="1">
      <alignment horizontal="center" vertical="center"/>
    </xf>
    <xf numFmtId="0" fontId="0" fillId="21" borderId="70" xfId="19" applyFont="1" applyFill="1" applyBorder="1" applyAlignment="1">
      <alignment horizontal="center" vertical="center"/>
    </xf>
    <xf numFmtId="0" fontId="0" fillId="21" borderId="72" xfId="19" applyFont="1" applyFill="1" applyBorder="1" applyAlignment="1">
      <alignment horizontal="center" vertical="center"/>
    </xf>
    <xf numFmtId="0" fontId="0" fillId="21" borderId="73" xfId="19" applyFont="1" applyFill="1" applyBorder="1" applyAlignment="1">
      <alignment horizontal="center" vertical="center"/>
    </xf>
    <xf numFmtId="0" fontId="0" fillId="21" borderId="71" xfId="19" applyFont="1" applyFill="1" applyBorder="1" applyAlignment="1">
      <alignment horizontal="center" vertical="center"/>
    </xf>
    <xf numFmtId="0" fontId="15" fillId="6" borderId="72" xfId="19" applyFont="1" applyFill="1" applyBorder="1" applyAlignment="1">
      <alignment horizontal="center" vertical="center"/>
    </xf>
    <xf numFmtId="0" fontId="0" fillId="21" borderId="78" xfId="19" applyFont="1" applyFill="1" applyBorder="1" applyAlignment="1">
      <alignment horizontal="center" vertical="center"/>
    </xf>
    <xf numFmtId="0" fontId="15" fillId="6" borderId="86" xfId="19" applyFont="1" applyFill="1" applyBorder="1" applyAlignment="1">
      <alignment horizontal="center" vertical="center"/>
    </xf>
    <xf numFmtId="16" fontId="0" fillId="21" borderId="73" xfId="19" applyNumberFormat="1" applyFont="1" applyFill="1" applyBorder="1" applyAlignment="1">
      <alignment horizontal="center" vertical="center"/>
    </xf>
    <xf numFmtId="0" fontId="0" fillId="21" borderId="53" xfId="19" applyFont="1" applyFill="1" applyBorder="1" applyAlignment="1">
      <alignment horizontal="center" vertical="center"/>
    </xf>
    <xf numFmtId="0" fontId="0" fillId="21" borderId="103" xfId="19" applyFont="1" applyFill="1" applyBorder="1" applyAlignment="1">
      <alignment horizontal="center" vertical="center"/>
    </xf>
    <xf numFmtId="0" fontId="0" fillId="21" borderId="74" xfId="19" applyFont="1" applyFill="1" applyBorder="1" applyAlignment="1">
      <alignment horizontal="center" vertical="center"/>
    </xf>
    <xf numFmtId="0" fontId="0" fillId="21" borderId="18" xfId="19" applyFont="1" applyFill="1" applyBorder="1" applyAlignment="1">
      <alignment horizontal="center" vertical="center"/>
    </xf>
    <xf numFmtId="0" fontId="0" fillId="21" borderId="57" xfId="19" applyFont="1" applyFill="1" applyBorder="1" applyAlignment="1">
      <alignment horizontal="center" vertical="center"/>
    </xf>
    <xf numFmtId="0" fontId="0" fillId="21" borderId="83" xfId="19" applyFont="1" applyFill="1" applyBorder="1" applyAlignment="1">
      <alignment horizontal="center" vertical="center"/>
    </xf>
    <xf numFmtId="0" fontId="0" fillId="21" borderId="65" xfId="19" applyFont="1" applyFill="1" applyBorder="1" applyAlignment="1">
      <alignment horizontal="center" vertical="center"/>
    </xf>
    <xf numFmtId="0" fontId="0" fillId="21" borderId="69" xfId="19" applyFont="1" applyFill="1" applyBorder="1" applyAlignment="1">
      <alignment horizontal="center" vertical="center"/>
    </xf>
    <xf numFmtId="0" fontId="0" fillId="21" borderId="77" xfId="19" applyFont="1" applyFill="1" applyBorder="1" applyAlignment="1">
      <alignment horizontal="center" vertical="center"/>
    </xf>
    <xf numFmtId="0" fontId="0" fillId="21" borderId="104" xfId="19" applyFont="1" applyFill="1" applyBorder="1" applyAlignment="1">
      <alignment horizontal="center" vertical="center"/>
    </xf>
    <xf numFmtId="0" fontId="0" fillId="21" borderId="81" xfId="19" applyFont="1" applyFill="1" applyBorder="1" applyAlignment="1">
      <alignment horizontal="center" vertical="center"/>
    </xf>
    <xf numFmtId="0" fontId="0" fillId="21" borderId="86" xfId="19" applyFont="1" applyFill="1" applyBorder="1" applyAlignment="1">
      <alignment horizontal="center" vertical="center"/>
    </xf>
    <xf numFmtId="0" fontId="0" fillId="21" borderId="79" xfId="19" applyFont="1" applyFill="1" applyBorder="1" applyAlignment="1">
      <alignment horizontal="center" vertical="center"/>
    </xf>
    <xf numFmtId="0" fontId="0" fillId="21" borderId="105" xfId="19" applyFont="1" applyFill="1" applyBorder="1" applyAlignment="1">
      <alignment horizontal="center" vertical="center"/>
    </xf>
    <xf numFmtId="0" fontId="0" fillId="21" borderId="90" xfId="19" applyFont="1" applyFill="1" applyBorder="1" applyAlignment="1">
      <alignment horizontal="center" vertical="center"/>
    </xf>
    <xf numFmtId="0" fontId="0" fillId="21" borderId="47" xfId="19" applyFont="1" applyFill="1" applyBorder="1" applyAlignment="1">
      <alignment horizontal="center" vertical="center"/>
    </xf>
    <xf numFmtId="0" fontId="0" fillId="21" borderId="91" xfId="19" applyFont="1" applyFill="1" applyBorder="1" applyAlignment="1">
      <alignment horizontal="center" vertical="center"/>
    </xf>
    <xf numFmtId="0" fontId="0" fillId="21" borderId="93" xfId="19" applyFont="1" applyFill="1" applyBorder="1" applyAlignment="1">
      <alignment horizontal="center" vertical="center"/>
    </xf>
    <xf numFmtId="0" fontId="0" fillId="21" borderId="87" xfId="19" applyFont="1" applyFill="1" applyBorder="1" applyAlignment="1">
      <alignment horizontal="center" vertical="center"/>
    </xf>
    <xf numFmtId="0" fontId="0" fillId="21" borderId="38" xfId="19" applyFont="1" applyFill="1" applyBorder="1" applyAlignment="1">
      <alignment horizontal="center" vertical="center"/>
    </xf>
    <xf numFmtId="0" fontId="0" fillId="21" borderId="97" xfId="19" applyFont="1" applyFill="1" applyBorder="1" applyAlignment="1">
      <alignment horizontal="center" vertical="center"/>
    </xf>
    <xf numFmtId="0" fontId="15" fillId="21" borderId="78" xfId="19" applyFont="1" applyFill="1" applyBorder="1" applyAlignment="1">
      <alignment horizontal="center" vertical="center"/>
    </xf>
    <xf numFmtId="0" fontId="0" fillId="21" borderId="102" xfId="19" applyFont="1" applyFill="1" applyBorder="1" applyAlignment="1">
      <alignment horizontal="center" vertical="center"/>
    </xf>
    <xf numFmtId="0" fontId="16" fillId="21" borderId="66" xfId="19" applyFont="1" applyFill="1" applyBorder="1" applyAlignment="1">
      <alignment horizontal="center" vertical="center"/>
    </xf>
    <xf numFmtId="0" fontId="10" fillId="5" borderId="0" xfId="19" applyFill="1" applyAlignment="1">
      <alignment horizontal="center"/>
    </xf>
    <xf numFmtId="0" fontId="10" fillId="5" borderId="1" xfId="19" applyFill="1" applyBorder="1" applyAlignment="1">
      <alignment horizontal="center"/>
    </xf>
    <xf numFmtId="0" fontId="15" fillId="0" borderId="73" xfId="19" applyFont="1" applyBorder="1" applyAlignment="1">
      <alignment horizontal="center" vertical="center"/>
    </xf>
    <xf numFmtId="0" fontId="0" fillId="5" borderId="78" xfId="19" applyFont="1" applyFill="1" applyBorder="1" applyAlignment="1">
      <alignment horizontal="center" vertical="center"/>
    </xf>
    <xf numFmtId="0" fontId="0" fillId="5" borderId="91" xfId="19" applyFont="1" applyFill="1" applyBorder="1" applyAlignment="1">
      <alignment horizontal="center" vertical="center"/>
    </xf>
    <xf numFmtId="0" fontId="0" fillId="0" borderId="47" xfId="19" applyFont="1" applyBorder="1" applyAlignment="1">
      <alignment horizontal="center" vertical="center"/>
    </xf>
    <xf numFmtId="0" fontId="14" fillId="0" borderId="71" xfId="19" applyFont="1" applyBorder="1" applyAlignment="1">
      <alignment horizontal="center" vertical="center"/>
    </xf>
    <xf numFmtId="0" fontId="15" fillId="0" borderId="70" xfId="19" applyFont="1" applyBorder="1" applyAlignment="1">
      <alignment horizontal="center" vertical="center"/>
    </xf>
    <xf numFmtId="0" fontId="0" fillId="5" borderId="73" xfId="19" applyFont="1" applyFill="1" applyBorder="1" applyAlignment="1">
      <alignment horizontal="center" vertical="center" wrapText="1"/>
    </xf>
    <xf numFmtId="0" fontId="4" fillId="0" borderId="66" xfId="19" applyFont="1" applyBorder="1" applyAlignment="1">
      <alignment horizontal="center" vertical="center"/>
    </xf>
    <xf numFmtId="0" fontId="4" fillId="5" borderId="70" xfId="19" applyFont="1" applyFill="1" applyBorder="1" applyAlignment="1">
      <alignment horizontal="center" vertical="center"/>
    </xf>
    <xf numFmtId="0" fontId="14" fillId="0" borderId="70" xfId="19" applyFont="1" applyBorder="1" applyAlignment="1">
      <alignment horizontal="center" vertical="center"/>
    </xf>
    <xf numFmtId="0" fontId="4" fillId="5" borderId="73" xfId="19" applyFont="1" applyFill="1" applyBorder="1" applyAlignment="1">
      <alignment horizontal="center" vertical="center"/>
    </xf>
    <xf numFmtId="0" fontId="4" fillId="0" borderId="72" xfId="19" applyFont="1" applyBorder="1" applyAlignment="1">
      <alignment horizontal="center" vertical="center"/>
    </xf>
    <xf numFmtId="0" fontId="4" fillId="0" borderId="78" xfId="19" applyFont="1" applyBorder="1" applyAlignment="1">
      <alignment horizontal="center" vertical="center"/>
    </xf>
    <xf numFmtId="0" fontId="4" fillId="5" borderId="73" xfId="19" applyFont="1" applyFill="1" applyBorder="1" applyAlignment="1">
      <alignment horizontal="center" vertical="center" wrapText="1"/>
    </xf>
    <xf numFmtId="0" fontId="4" fillId="5" borderId="72" xfId="19" applyFont="1" applyFill="1" applyBorder="1" applyAlignment="1">
      <alignment horizontal="center" vertical="center"/>
    </xf>
    <xf numFmtId="0" fontId="4" fillId="0" borderId="70" xfId="19" applyFont="1" applyBorder="1" applyAlignment="1">
      <alignment horizontal="center" vertical="center"/>
    </xf>
    <xf numFmtId="0" fontId="4" fillId="0" borderId="73" xfId="19" applyFont="1" applyBorder="1" applyAlignment="1">
      <alignment horizontal="center" vertical="center"/>
    </xf>
    <xf numFmtId="0" fontId="4" fillId="0" borderId="74" xfId="19" applyFont="1" applyBorder="1" applyAlignment="1">
      <alignment horizontal="center" vertical="center"/>
    </xf>
    <xf numFmtId="0" fontId="4" fillId="0" borderId="83" xfId="19" applyFont="1" applyBorder="1" applyAlignment="1">
      <alignment horizontal="center" vertical="center"/>
    </xf>
    <xf numFmtId="0" fontId="17" fillId="6" borderId="70" xfId="19" applyFont="1" applyFill="1" applyBorder="1" applyAlignment="1">
      <alignment horizontal="center" vertical="center"/>
    </xf>
    <xf numFmtId="0" fontId="4" fillId="5" borderId="47" xfId="19" applyFont="1" applyFill="1" applyBorder="1" applyAlignment="1">
      <alignment horizontal="center" vertical="center"/>
    </xf>
    <xf numFmtId="0" fontId="10" fillId="5" borderId="0" xfId="19" applyFill="1"/>
    <xf numFmtId="0" fontId="14" fillId="0" borderId="106" xfId="19" applyFont="1" applyBorder="1" applyAlignment="1">
      <alignment horizontal="center" vertical="center"/>
    </xf>
    <xf numFmtId="0" fontId="0" fillId="5" borderId="1" xfId="19" applyFont="1" applyFill="1" applyBorder="1" applyAlignment="1">
      <alignment horizontal="center" vertical="center"/>
    </xf>
    <xf numFmtId="0" fontId="14" fillId="0" borderId="90" xfId="19" applyFont="1" applyBorder="1" applyAlignment="1">
      <alignment horizontal="center" vertical="center"/>
    </xf>
    <xf numFmtId="0" fontId="0" fillId="5" borderId="66" xfId="19" applyFont="1" applyFill="1" applyBorder="1" applyAlignment="1">
      <alignment horizontal="center" vertical="center"/>
    </xf>
    <xf numFmtId="0" fontId="0" fillId="6" borderId="70" xfId="19" applyFont="1" applyFill="1" applyBorder="1" applyAlignment="1">
      <alignment horizontal="center" vertical="center"/>
    </xf>
    <xf numFmtId="0" fontId="13" fillId="7" borderId="12" xfId="20" applyFont="1" applyFill="1" applyBorder="1" applyAlignment="1">
      <alignment horizontal="center" vertical="center"/>
    </xf>
    <xf numFmtId="0" fontId="13" fillId="7" borderId="48" xfId="20" applyFont="1" applyFill="1" applyBorder="1" applyAlignment="1">
      <alignment horizontal="center" vertical="center"/>
    </xf>
    <xf numFmtId="0" fontId="13" fillId="7" borderId="19" xfId="20" applyFont="1" applyFill="1" applyBorder="1" applyAlignment="1">
      <alignment horizontal="center" vertical="center"/>
    </xf>
    <xf numFmtId="0" fontId="0" fillId="7" borderId="66" xfId="19" applyFont="1" applyFill="1" applyBorder="1" applyAlignment="1">
      <alignment horizontal="center" vertical="center"/>
    </xf>
    <xf numFmtId="0" fontId="0" fillId="7" borderId="70" xfId="19" applyFont="1" applyFill="1" applyBorder="1" applyAlignment="1">
      <alignment horizontal="center" vertical="center"/>
    </xf>
    <xf numFmtId="0" fontId="10" fillId="5" borderId="0" xfId="19" applyFill="1" applyAlignment="1">
      <alignment horizontal="center" vertical="center"/>
    </xf>
    <xf numFmtId="0" fontId="0" fillId="7" borderId="73" xfId="19" applyFont="1" applyFill="1" applyBorder="1" applyAlignment="1">
      <alignment horizontal="center" vertical="center"/>
    </xf>
    <xf numFmtId="0" fontId="0" fillId="7" borderId="72" xfId="19" applyFont="1" applyFill="1" applyBorder="1" applyAlignment="1">
      <alignment horizontal="center" vertical="center"/>
    </xf>
    <xf numFmtId="0" fontId="14" fillId="7" borderId="73" xfId="19" applyFont="1" applyFill="1" applyBorder="1" applyAlignment="1">
      <alignment horizontal="center" vertical="center"/>
    </xf>
    <xf numFmtId="0" fontId="14" fillId="7" borderId="78" xfId="19" applyFont="1" applyFill="1" applyBorder="1" applyAlignment="1">
      <alignment horizontal="center" vertical="center"/>
    </xf>
    <xf numFmtId="0" fontId="0" fillId="7" borderId="78" xfId="19" applyFont="1" applyFill="1" applyBorder="1" applyAlignment="1">
      <alignment horizontal="center" vertical="center"/>
    </xf>
    <xf numFmtId="0" fontId="14" fillId="7" borderId="72" xfId="19" applyFont="1" applyFill="1" applyBorder="1" applyAlignment="1">
      <alignment horizontal="center" vertical="center"/>
    </xf>
    <xf numFmtId="0" fontId="0" fillId="21" borderId="82" xfId="19" applyFont="1" applyFill="1" applyBorder="1" applyAlignment="1">
      <alignment horizontal="center" vertical="center"/>
    </xf>
    <xf numFmtId="0" fontId="0" fillId="7" borderId="74" xfId="19" applyFont="1" applyFill="1" applyBorder="1" applyAlignment="1">
      <alignment horizontal="center" vertical="center"/>
    </xf>
    <xf numFmtId="0" fontId="0" fillId="7" borderId="83" xfId="19" applyFont="1" applyFill="1" applyBorder="1" applyAlignment="1">
      <alignment horizontal="center" vertical="center"/>
    </xf>
    <xf numFmtId="0" fontId="0" fillId="0" borderId="108" xfId="19" applyFont="1" applyBorder="1" applyAlignment="1">
      <alignment horizontal="center" vertical="center"/>
    </xf>
    <xf numFmtId="0" fontId="15" fillId="7" borderId="70" xfId="19" applyFont="1" applyFill="1" applyBorder="1" applyAlignment="1">
      <alignment horizontal="center" vertical="center"/>
    </xf>
    <xf numFmtId="0" fontId="15" fillId="7" borderId="73" xfId="19" applyFont="1" applyFill="1" applyBorder="1" applyAlignment="1">
      <alignment horizontal="center" vertical="center"/>
    </xf>
    <xf numFmtId="0" fontId="4" fillId="6" borderId="72" xfId="19" applyFont="1" applyFill="1" applyBorder="1" applyAlignment="1">
      <alignment horizontal="center" vertical="center"/>
    </xf>
    <xf numFmtId="0" fontId="15" fillId="7" borderId="72" xfId="19" applyFont="1" applyFill="1" applyBorder="1" applyAlignment="1">
      <alignment horizontal="center" vertical="center"/>
    </xf>
    <xf numFmtId="0" fontId="0" fillId="7" borderId="47" xfId="19" applyFont="1" applyFill="1" applyBorder="1" applyAlignment="1">
      <alignment horizontal="center" vertical="center"/>
    </xf>
    <xf numFmtId="0" fontId="15" fillId="0" borderId="107" xfId="19" applyFont="1" applyBorder="1" applyAlignment="1">
      <alignment horizontal="center" vertical="center"/>
    </xf>
    <xf numFmtId="0" fontId="0" fillId="7" borderId="91" xfId="19" applyFont="1" applyFill="1" applyBorder="1" applyAlignment="1">
      <alignment horizontal="center" vertical="center"/>
    </xf>
    <xf numFmtId="0" fontId="0" fillId="7" borderId="93" xfId="19" applyFont="1" applyFill="1" applyBorder="1" applyAlignment="1">
      <alignment horizontal="center" vertical="center"/>
    </xf>
    <xf numFmtId="0" fontId="0" fillId="0" borderId="109" xfId="19" applyFont="1" applyBorder="1" applyAlignment="1">
      <alignment horizontal="center" vertical="center"/>
    </xf>
    <xf numFmtId="0" fontId="10" fillId="0" borderId="108" xfId="19" applyBorder="1"/>
    <xf numFmtId="0" fontId="0" fillId="21" borderId="89" xfId="19" applyFont="1" applyFill="1" applyBorder="1" applyAlignment="1">
      <alignment horizontal="center" vertical="center"/>
    </xf>
    <xf numFmtId="0" fontId="14" fillId="0" borderId="110" xfId="19" applyFont="1" applyBorder="1" applyAlignment="1">
      <alignment horizontal="center" vertical="center"/>
    </xf>
    <xf numFmtId="0" fontId="0" fillId="0" borderId="1" xfId="19" applyFont="1" applyBorder="1" applyAlignment="1">
      <alignment horizontal="center" vertical="center"/>
    </xf>
    <xf numFmtId="0" fontId="14" fillId="0" borderId="1" xfId="19" applyFont="1" applyBorder="1" applyAlignment="1">
      <alignment horizontal="center" vertical="center"/>
    </xf>
    <xf numFmtId="0" fontId="0" fillId="21" borderId="106" xfId="19" applyFont="1" applyFill="1" applyBorder="1" applyAlignment="1">
      <alignment horizontal="center" vertical="center"/>
    </xf>
    <xf numFmtId="0" fontId="0" fillId="0" borderId="110" xfId="19" applyFont="1" applyBorder="1" applyAlignment="1">
      <alignment horizontal="center" vertical="center"/>
    </xf>
    <xf numFmtId="0" fontId="10" fillId="0" borderId="111" xfId="19" applyBorder="1"/>
    <xf numFmtId="0" fontId="10" fillId="0" borderId="112" xfId="19" applyBorder="1"/>
    <xf numFmtId="0" fontId="0" fillId="0" borderId="111" xfId="19" applyFont="1" applyBorder="1" applyAlignment="1">
      <alignment horizontal="center" vertical="center"/>
    </xf>
    <xf numFmtId="0" fontId="0" fillId="0" borderId="112" xfId="19" applyFont="1" applyBorder="1" applyAlignment="1">
      <alignment horizontal="center" vertical="center"/>
    </xf>
    <xf numFmtId="0" fontId="14" fillId="0" borderId="108" xfId="19" applyFont="1" applyBorder="1" applyAlignment="1">
      <alignment horizontal="center" vertical="center"/>
    </xf>
    <xf numFmtId="0" fontId="0" fillId="0" borderId="82" xfId="19" applyFont="1" applyBorder="1" applyAlignment="1">
      <alignment horizontal="center" vertical="center"/>
    </xf>
    <xf numFmtId="0" fontId="0" fillId="0" borderId="52" xfId="19" applyFont="1" applyBorder="1" applyAlignment="1">
      <alignment horizontal="center" vertical="center"/>
    </xf>
    <xf numFmtId="0" fontId="10" fillId="0" borderId="113" xfId="19" applyBorder="1"/>
    <xf numFmtId="0" fontId="10" fillId="0" borderId="59" xfId="19" applyBorder="1"/>
    <xf numFmtId="0" fontId="14" fillId="0" borderId="66" xfId="19" applyFont="1" applyBorder="1" applyAlignment="1">
      <alignment horizontal="center" vertical="center"/>
    </xf>
    <xf numFmtId="0" fontId="0" fillId="5" borderId="85" xfId="19" applyFont="1" applyFill="1" applyBorder="1" applyAlignment="1">
      <alignment horizontal="center" vertical="center"/>
    </xf>
    <xf numFmtId="0" fontId="15" fillId="6" borderId="104" xfId="19" applyFont="1" applyFill="1" applyBorder="1" applyAlignment="1">
      <alignment horizontal="center" vertical="center"/>
    </xf>
    <xf numFmtId="0" fontId="10" fillId="0" borderId="114" xfId="19" applyBorder="1"/>
    <xf numFmtId="0" fontId="0" fillId="5" borderId="108" xfId="19" applyFont="1" applyFill="1" applyBorder="1" applyAlignment="1">
      <alignment horizontal="center" vertical="center"/>
    </xf>
    <xf numFmtId="0" fontId="10" fillId="0" borderId="54" xfId="19" applyBorder="1"/>
    <xf numFmtId="0" fontId="15" fillId="0" borderId="86" xfId="19" applyFont="1" applyBorder="1" applyAlignment="1">
      <alignment horizontal="center" vertical="center"/>
    </xf>
    <xf numFmtId="0" fontId="0" fillId="0" borderId="86" xfId="19" applyFont="1" applyBorder="1" applyAlignment="1">
      <alignment horizontal="center" vertical="center"/>
    </xf>
    <xf numFmtId="0" fontId="10" fillId="0" borderId="115" xfId="19" applyBorder="1"/>
    <xf numFmtId="0" fontId="0" fillId="0" borderId="54" xfId="19" applyFont="1" applyBorder="1" applyAlignment="1">
      <alignment horizontal="center" vertical="center"/>
    </xf>
    <xf numFmtId="0" fontId="10" fillId="0" borderId="42" xfId="19" applyBorder="1"/>
    <xf numFmtId="0" fontId="10" fillId="0" borderId="30" xfId="19" applyBorder="1"/>
    <xf numFmtId="0" fontId="14" fillId="0" borderId="89" xfId="19" applyFont="1" applyBorder="1" applyAlignment="1">
      <alignment horizontal="center" vertical="center"/>
    </xf>
    <xf numFmtId="0" fontId="0" fillId="5" borderId="81" xfId="19" applyFont="1" applyFill="1" applyBorder="1" applyAlignment="1">
      <alignment horizontal="center" vertical="center"/>
    </xf>
    <xf numFmtId="0" fontId="0" fillId="5" borderId="69" xfId="19" applyFont="1" applyFill="1" applyBorder="1" applyAlignment="1">
      <alignment horizontal="center" vertical="center"/>
    </xf>
    <xf numFmtId="0" fontId="0" fillId="5" borderId="34" xfId="19" applyFont="1" applyFill="1" applyBorder="1" applyAlignment="1">
      <alignment horizontal="center" vertical="center"/>
    </xf>
    <xf numFmtId="0" fontId="0" fillId="0" borderId="88" xfId="19" applyFont="1" applyBorder="1" applyAlignment="1">
      <alignment horizontal="center" vertical="center"/>
    </xf>
    <xf numFmtId="0" fontId="0" fillId="0" borderId="58" xfId="19" applyFont="1" applyBorder="1" applyAlignment="1">
      <alignment horizontal="center" vertical="center"/>
    </xf>
    <xf numFmtId="0" fontId="0" fillId="0" borderId="116" xfId="19" applyFont="1" applyBorder="1" applyAlignment="1">
      <alignment horizontal="center" vertical="center"/>
    </xf>
    <xf numFmtId="0" fontId="0" fillId="0" borderId="117" xfId="19" applyFont="1" applyBorder="1" applyAlignment="1">
      <alignment horizontal="center" vertical="center"/>
    </xf>
    <xf numFmtId="0" fontId="10" fillId="0" borderId="118" xfId="19" applyBorder="1"/>
    <xf numFmtId="0" fontId="10" fillId="0" borderId="119" xfId="19" applyBorder="1"/>
    <xf numFmtId="0" fontId="10" fillId="0" borderId="109" xfId="19" applyBorder="1"/>
    <xf numFmtId="0" fontId="15" fillId="0" borderId="110" xfId="19" applyFont="1" applyBorder="1" applyAlignment="1">
      <alignment horizontal="center" vertical="center"/>
    </xf>
    <xf numFmtId="0" fontId="15" fillId="0" borderId="1" xfId="19" applyFont="1" applyBorder="1" applyAlignment="1">
      <alignment horizontal="center" vertical="center"/>
    </xf>
    <xf numFmtId="0" fontId="0" fillId="0" borderId="120" xfId="19" applyFont="1" applyBorder="1" applyAlignment="1">
      <alignment horizontal="center" vertical="center"/>
    </xf>
    <xf numFmtId="0" fontId="0" fillId="0" borderId="51" xfId="19" applyFont="1" applyBorder="1" applyAlignment="1">
      <alignment horizontal="center" vertical="center"/>
    </xf>
    <xf numFmtId="0" fontId="10" fillId="0" borderId="51" xfId="19" applyBorder="1"/>
    <xf numFmtId="0" fontId="13" fillId="6" borderId="51" xfId="20" applyFont="1" applyFill="1" applyBorder="1" applyAlignment="1">
      <alignment horizontal="center" vertical="center"/>
    </xf>
    <xf numFmtId="0" fontId="13" fillId="6" borderId="30" xfId="20" applyFont="1" applyFill="1" applyBorder="1" applyAlignment="1">
      <alignment horizontal="center" vertical="center"/>
    </xf>
    <xf numFmtId="0" fontId="14" fillId="6" borderId="1" xfId="19" applyFont="1" applyFill="1" applyBorder="1" applyAlignment="1">
      <alignment horizontal="center" vertical="center"/>
    </xf>
    <xf numFmtId="0" fontId="14" fillId="0" borderId="114" xfId="19" applyFont="1" applyBorder="1" applyAlignment="1">
      <alignment horizontal="center" vertical="center"/>
    </xf>
    <xf numFmtId="0" fontId="14" fillId="6" borderId="108" xfId="19" applyFont="1" applyFill="1" applyBorder="1" applyAlignment="1">
      <alignment horizontal="center" vertical="center"/>
    </xf>
    <xf numFmtId="0" fontId="10" fillId="5" borderId="108" xfId="19" applyFill="1" applyBorder="1" applyAlignment="1">
      <alignment horizontal="center"/>
    </xf>
    <xf numFmtId="0" fontId="14" fillId="0" borderId="54" xfId="19" applyFont="1" applyBorder="1" applyAlignment="1">
      <alignment horizontal="center" vertical="center"/>
    </xf>
    <xf numFmtId="0" fontId="14" fillId="0" borderId="104" xfId="19" applyFont="1" applyBorder="1" applyAlignment="1">
      <alignment horizontal="center" vertical="center"/>
    </xf>
    <xf numFmtId="0" fontId="0" fillId="0" borderId="121" xfId="19" applyFont="1" applyBorder="1" applyAlignment="1">
      <alignment horizontal="center" vertical="center"/>
    </xf>
    <xf numFmtId="0" fontId="0" fillId="0" borderId="122" xfId="19" applyFont="1" applyBorder="1" applyAlignment="1">
      <alignment horizontal="center" vertical="center"/>
    </xf>
    <xf numFmtId="0" fontId="0" fillId="0" borderId="100" xfId="19" applyFont="1" applyBorder="1" applyAlignment="1">
      <alignment horizontal="center" vertical="center"/>
    </xf>
    <xf numFmtId="0" fontId="0" fillId="0" borderId="75" xfId="19" applyFont="1" applyBorder="1" applyAlignment="1">
      <alignment horizontal="center" vertical="center"/>
    </xf>
    <xf numFmtId="0" fontId="0" fillId="0" borderId="104" xfId="19" applyFont="1" applyBorder="1" applyAlignment="1">
      <alignment horizontal="center" vertical="center"/>
    </xf>
    <xf numFmtId="0" fontId="0" fillId="0" borderId="123" xfId="19" applyFont="1" applyBorder="1" applyAlignment="1">
      <alignment horizontal="center" vertical="center"/>
    </xf>
    <xf numFmtId="0" fontId="0" fillId="0" borderId="124" xfId="19" applyFont="1" applyBorder="1" applyAlignment="1">
      <alignment horizontal="center" vertical="center"/>
    </xf>
    <xf numFmtId="0" fontId="0" fillId="0" borderId="105" xfId="19" applyFont="1" applyBorder="1" applyAlignment="1">
      <alignment horizontal="center" vertical="center"/>
    </xf>
    <xf numFmtId="0" fontId="15" fillId="0" borderId="54" xfId="19" applyFont="1" applyBorder="1" applyAlignment="1">
      <alignment horizontal="center" vertical="center"/>
    </xf>
    <xf numFmtId="0" fontId="0" fillId="0" borderId="115" xfId="19" applyFont="1" applyBorder="1" applyAlignment="1">
      <alignment horizontal="center" vertical="center"/>
    </xf>
    <xf numFmtId="0" fontId="0" fillId="0" borderId="125" xfId="19" applyFont="1" applyBorder="1" applyAlignment="1">
      <alignment horizontal="center" vertical="center"/>
    </xf>
    <xf numFmtId="0" fontId="0" fillId="21" borderId="15" xfId="19" applyFont="1" applyFill="1" applyBorder="1" applyAlignment="1">
      <alignment horizontal="center" vertical="center"/>
    </xf>
    <xf numFmtId="0" fontId="0" fillId="21" borderId="85" xfId="19" applyFont="1" applyFill="1" applyBorder="1" applyAlignment="1">
      <alignment horizontal="center" vertical="center"/>
    </xf>
    <xf numFmtId="0" fontId="0" fillId="21" borderId="1" xfId="19" applyFont="1" applyFill="1" applyBorder="1" applyAlignment="1">
      <alignment horizontal="center" vertical="center"/>
    </xf>
    <xf numFmtId="0" fontId="0" fillId="0" borderId="42" xfId="19" applyFont="1" applyBorder="1" applyAlignment="1">
      <alignment horizontal="center" vertical="center"/>
    </xf>
    <xf numFmtId="0" fontId="0" fillId="21" borderId="42" xfId="19" applyFont="1" applyFill="1" applyBorder="1" applyAlignment="1">
      <alignment horizontal="center" vertical="center"/>
    </xf>
    <xf numFmtId="0" fontId="10" fillId="0" borderId="125" xfId="19" applyBorder="1"/>
    <xf numFmtId="0" fontId="0" fillId="0" borderId="2" xfId="19" applyFont="1" applyBorder="1" applyAlignment="1">
      <alignment horizontal="center" vertical="center"/>
    </xf>
    <xf numFmtId="0" fontId="0" fillId="21" borderId="108" xfId="19" applyFont="1" applyFill="1" applyBorder="1" applyAlignment="1">
      <alignment horizontal="center" vertical="center"/>
    </xf>
    <xf numFmtId="0" fontId="0" fillId="5" borderId="126" xfId="19" applyFont="1" applyFill="1" applyBorder="1" applyAlignment="1">
      <alignment horizontal="center" vertical="center"/>
    </xf>
    <xf numFmtId="0" fontId="0" fillId="0" borderId="5" xfId="19" applyFont="1" applyBorder="1" applyAlignment="1">
      <alignment horizontal="center" vertical="center"/>
    </xf>
    <xf numFmtId="0" fontId="0" fillId="0" borderId="126" xfId="19" applyFont="1" applyBorder="1" applyAlignment="1">
      <alignment horizontal="center" vertical="center"/>
    </xf>
    <xf numFmtId="0" fontId="0" fillId="0" borderId="127" xfId="19" applyFont="1" applyBorder="1" applyAlignment="1">
      <alignment horizontal="center" vertical="center"/>
    </xf>
    <xf numFmtId="0" fontId="0" fillId="0" borderId="55" xfId="19" applyFont="1" applyBorder="1" applyAlignment="1">
      <alignment horizontal="center" vertical="center"/>
    </xf>
    <xf numFmtId="0" fontId="0" fillId="21" borderId="112" xfId="19" applyFont="1" applyFill="1" applyBorder="1" applyAlignment="1">
      <alignment horizontal="center" vertical="center"/>
    </xf>
    <xf numFmtId="0" fontId="0" fillId="0" borderId="114" xfId="19" applyFont="1" applyBorder="1" applyAlignment="1">
      <alignment horizontal="center" vertical="center"/>
    </xf>
    <xf numFmtId="0" fontId="0" fillId="21" borderId="114" xfId="19" applyFont="1" applyFill="1" applyBorder="1" applyAlignment="1">
      <alignment horizontal="center" vertical="center"/>
    </xf>
    <xf numFmtId="0" fontId="0" fillId="21" borderId="54" xfId="19" applyFont="1" applyFill="1" applyBorder="1" applyAlignment="1">
      <alignment horizontal="center" vertical="center"/>
    </xf>
    <xf numFmtId="0" fontId="0" fillId="0" borderId="103" xfId="19" applyFont="1" applyBorder="1" applyAlignment="1">
      <alignment horizontal="center" vertical="center"/>
    </xf>
    <xf numFmtId="0" fontId="0" fillId="21" borderId="52" xfId="19" applyFont="1" applyFill="1" applyBorder="1" applyAlignment="1">
      <alignment horizontal="center" vertical="center"/>
    </xf>
    <xf numFmtId="0" fontId="0" fillId="0" borderId="57" xfId="19" applyFont="1" applyBorder="1" applyAlignment="1">
      <alignment horizontal="center" vertical="center"/>
    </xf>
    <xf numFmtId="0" fontId="0" fillId="0" borderId="84" xfId="19" applyFont="1" applyBorder="1" applyAlignment="1">
      <alignment horizontal="center" vertical="center"/>
    </xf>
    <xf numFmtId="0" fontId="0" fillId="21" borderId="59" xfId="19" applyFont="1" applyFill="1" applyBorder="1" applyAlignment="1">
      <alignment horizontal="center" vertical="center"/>
    </xf>
    <xf numFmtId="0" fontId="0" fillId="0" borderId="15" xfId="19" applyFont="1" applyBorder="1" applyAlignment="1">
      <alignment horizontal="center" vertical="center"/>
    </xf>
    <xf numFmtId="0" fontId="0" fillId="5" borderId="15" xfId="19" applyFont="1" applyFill="1" applyBorder="1" applyAlignment="1">
      <alignment horizontal="center" vertical="center"/>
    </xf>
    <xf numFmtId="0" fontId="0" fillId="0" borderId="63" xfId="19" applyFont="1" applyBorder="1" applyAlignment="1">
      <alignment horizontal="center" vertical="center"/>
    </xf>
    <xf numFmtId="0" fontId="0" fillId="0" borderId="34" xfId="19" applyFont="1" applyBorder="1" applyAlignment="1">
      <alignment horizontal="center" vertical="center"/>
    </xf>
    <xf numFmtId="0" fontId="0" fillId="0" borderId="27" xfId="19" applyFont="1" applyBorder="1" applyAlignment="1">
      <alignment horizontal="center" vertical="center"/>
    </xf>
    <xf numFmtId="0" fontId="0" fillId="0" borderId="128" xfId="19" applyFont="1" applyBorder="1" applyAlignment="1">
      <alignment horizontal="center" vertical="center"/>
    </xf>
    <xf numFmtId="0" fontId="0" fillId="21" borderId="51" xfId="19" applyFont="1" applyFill="1" applyBorder="1" applyAlignment="1">
      <alignment horizontal="center" vertical="center"/>
    </xf>
    <xf numFmtId="0" fontId="0" fillId="21" borderId="109" xfId="19" applyFont="1" applyFill="1" applyBorder="1" applyAlignment="1">
      <alignment horizontal="center" vertical="center"/>
    </xf>
    <xf numFmtId="0" fontId="0" fillId="21" borderId="110" xfId="19" applyFont="1" applyFill="1" applyBorder="1" applyAlignment="1">
      <alignment horizontal="center" vertical="center"/>
    </xf>
    <xf numFmtId="0" fontId="0" fillId="21" borderId="111" xfId="19" applyFont="1" applyFill="1" applyBorder="1" applyAlignment="1">
      <alignment horizontal="center" vertical="center"/>
    </xf>
    <xf numFmtId="0" fontId="0" fillId="21" borderId="120" xfId="19" applyFont="1" applyFill="1" applyBorder="1" applyAlignment="1">
      <alignment horizontal="center" vertical="center"/>
    </xf>
    <xf numFmtId="0" fontId="0" fillId="0" borderId="129" xfId="19" applyFont="1" applyBorder="1" applyAlignment="1">
      <alignment horizontal="center" vertical="center"/>
    </xf>
    <xf numFmtId="0" fontId="0" fillId="21" borderId="63" xfId="19" applyFont="1" applyFill="1" applyBorder="1" applyAlignment="1">
      <alignment horizontal="center" vertical="center"/>
    </xf>
    <xf numFmtId="0" fontId="14" fillId="0" borderId="80" xfId="19" applyFont="1" applyBorder="1" applyAlignment="1">
      <alignment horizontal="center" vertical="center"/>
    </xf>
    <xf numFmtId="0" fontId="15" fillId="0" borderId="69" xfId="19" applyFont="1" applyBorder="1" applyAlignment="1">
      <alignment horizontal="center" vertical="center"/>
    </xf>
    <xf numFmtId="0" fontId="0" fillId="21" borderId="125" xfId="19" applyFont="1" applyFill="1" applyBorder="1" applyAlignment="1">
      <alignment horizontal="center" vertical="center"/>
    </xf>
    <xf numFmtId="0" fontId="0" fillId="21" borderId="126" xfId="19" applyFont="1" applyFill="1" applyBorder="1" applyAlignment="1">
      <alignment horizontal="center" vertical="center"/>
    </xf>
    <xf numFmtId="0" fontId="0" fillId="0" borderId="130" xfId="19" applyFont="1" applyBorder="1" applyAlignment="1">
      <alignment horizontal="center" vertical="center"/>
    </xf>
    <xf numFmtId="0" fontId="0" fillId="21" borderId="127" xfId="19" applyFont="1" applyFill="1" applyBorder="1" applyAlignment="1">
      <alignment horizontal="center" vertical="center"/>
    </xf>
    <xf numFmtId="0" fontId="0" fillId="0" borderId="131" xfId="19" applyFont="1" applyBorder="1" applyAlignment="1">
      <alignment horizontal="center" vertical="center"/>
    </xf>
    <xf numFmtId="0" fontId="14" fillId="0" borderId="50" xfId="19" applyFont="1" applyBorder="1" applyAlignment="1">
      <alignment horizontal="center" vertical="center"/>
    </xf>
    <xf numFmtId="0" fontId="15" fillId="0" borderId="132" xfId="19" applyFont="1" applyBorder="1" applyAlignment="1">
      <alignment horizontal="center" vertical="center"/>
    </xf>
    <xf numFmtId="0" fontId="0" fillId="0" borderId="132" xfId="19" applyFont="1" applyBorder="1" applyAlignment="1">
      <alignment horizontal="center" vertical="center"/>
    </xf>
    <xf numFmtId="0" fontId="0" fillId="0" borderId="133" xfId="19" applyFont="1" applyBorder="1" applyAlignment="1">
      <alignment horizontal="center" vertical="center"/>
    </xf>
    <xf numFmtId="0" fontId="14" fillId="0" borderId="34" xfId="19" applyFont="1" applyBorder="1" applyAlignment="1">
      <alignment horizontal="center" vertical="center"/>
    </xf>
    <xf numFmtId="0" fontId="15" fillId="0" borderId="57" xfId="19" applyFont="1" applyBorder="1" applyAlignment="1">
      <alignment horizontal="center" vertical="center"/>
    </xf>
    <xf numFmtId="0" fontId="0" fillId="0" borderId="50" xfId="19" applyFont="1" applyBorder="1" applyAlignment="1">
      <alignment horizontal="center" vertical="center"/>
    </xf>
    <xf numFmtId="0" fontId="0" fillId="0" borderId="134" xfId="19" applyFont="1" applyBorder="1" applyAlignment="1">
      <alignment horizontal="center" vertical="center"/>
    </xf>
    <xf numFmtId="0" fontId="15" fillId="0" borderId="135" xfId="19" applyFont="1" applyBorder="1" applyAlignment="1">
      <alignment horizontal="center" vertical="center"/>
    </xf>
    <xf numFmtId="0" fontId="0" fillId="0" borderId="135" xfId="19" applyFont="1" applyBorder="1" applyAlignment="1">
      <alignment horizontal="center" vertical="center"/>
    </xf>
    <xf numFmtId="0" fontId="14" fillId="0" borderId="135" xfId="19" applyFont="1" applyBorder="1" applyAlignment="1">
      <alignment horizontal="center" vertical="center"/>
    </xf>
    <xf numFmtId="0" fontId="0" fillId="21" borderId="136" xfId="19" applyFont="1" applyFill="1" applyBorder="1" applyAlignment="1">
      <alignment horizontal="center" vertical="center"/>
    </xf>
    <xf numFmtId="0" fontId="14" fillId="6" borderId="72" xfId="19" applyFont="1" applyFill="1" applyBorder="1" applyAlignment="1">
      <alignment horizontal="center" vertical="center"/>
    </xf>
    <xf numFmtId="0" fontId="14" fillId="6" borderId="70" xfId="19" applyFont="1" applyFill="1" applyBorder="1" applyAlignment="1">
      <alignment horizontal="center" vertical="center"/>
    </xf>
    <xf numFmtId="0" fontId="0" fillId="0" borderId="137" xfId="19" applyFont="1" applyBorder="1" applyAlignment="1">
      <alignment horizontal="center" vertical="center"/>
    </xf>
    <xf numFmtId="0" fontId="0" fillId="0" borderId="99" xfId="19" applyFont="1" applyBorder="1" applyAlignment="1">
      <alignment horizontal="center" vertical="center"/>
    </xf>
    <xf numFmtId="0" fontId="14" fillId="5" borderId="70" xfId="19" applyFont="1" applyFill="1" applyBorder="1" applyAlignment="1">
      <alignment horizontal="center" vertical="center"/>
    </xf>
    <xf numFmtId="0" fontId="0" fillId="0" borderId="138" xfId="19" applyFont="1" applyBorder="1" applyAlignment="1">
      <alignment horizontal="center" vertical="center"/>
    </xf>
    <xf numFmtId="0" fontId="14" fillId="0" borderId="69" xfId="19" applyFont="1" applyBorder="1" applyAlignment="1">
      <alignment horizontal="center" vertical="center"/>
    </xf>
    <xf numFmtId="0" fontId="0" fillId="0" borderId="101" xfId="19" applyFont="1" applyBorder="1" applyAlignment="1">
      <alignment horizontal="center" vertical="center"/>
    </xf>
    <xf numFmtId="0" fontId="0" fillId="0" borderId="139" xfId="19" applyFont="1" applyBorder="1" applyAlignment="1">
      <alignment horizontal="center" vertical="center"/>
    </xf>
    <xf numFmtId="0" fontId="0" fillId="6" borderId="73" xfId="19" applyFont="1" applyFill="1" applyBorder="1" applyAlignment="1">
      <alignment horizontal="center" vertical="center"/>
    </xf>
    <xf numFmtId="0" fontId="14" fillId="21" borderId="70" xfId="19" applyFont="1" applyFill="1" applyBorder="1" applyAlignment="1">
      <alignment horizontal="center" vertical="center"/>
    </xf>
    <xf numFmtId="0" fontId="14" fillId="21" borderId="72" xfId="19" applyFont="1" applyFill="1" applyBorder="1" applyAlignment="1">
      <alignment horizontal="center" vertical="center"/>
    </xf>
    <xf numFmtId="0" fontId="14" fillId="5" borderId="73" xfId="19" applyFont="1" applyFill="1" applyBorder="1" applyAlignment="1">
      <alignment horizontal="center" vertical="center"/>
    </xf>
    <xf numFmtId="0" fontId="14" fillId="21" borderId="73" xfId="19" applyFont="1" applyFill="1" applyBorder="1" applyAlignment="1">
      <alignment horizontal="center" vertical="center"/>
    </xf>
    <xf numFmtId="0" fontId="14" fillId="6" borderId="79" xfId="19" applyFont="1" applyFill="1" applyBorder="1" applyAlignment="1">
      <alignment horizontal="center" vertical="center"/>
    </xf>
    <xf numFmtId="0" fontId="14" fillId="0" borderId="93" xfId="19" applyFont="1" applyBorder="1" applyAlignment="1">
      <alignment horizontal="center" vertical="center"/>
    </xf>
    <xf numFmtId="0" fontId="0" fillId="0" borderId="89" xfId="19" applyFont="1" applyBorder="1" applyAlignment="1">
      <alignment horizontal="center" vertical="center"/>
    </xf>
    <xf numFmtId="0" fontId="0" fillId="0" borderId="106" xfId="19" applyFont="1" applyBorder="1" applyAlignment="1">
      <alignment horizontal="center" vertical="center"/>
    </xf>
    <xf numFmtId="0" fontId="14" fillId="0" borderId="91" xfId="19" applyFont="1" applyBorder="1" applyAlignment="1">
      <alignment horizontal="center" vertical="center"/>
    </xf>
    <xf numFmtId="0" fontId="15" fillId="0" borderId="38" xfId="19" applyFont="1" applyBorder="1" applyAlignment="1">
      <alignment horizontal="center" vertical="center"/>
    </xf>
    <xf numFmtId="0" fontId="0" fillId="6" borderId="72" xfId="19" applyFont="1" applyFill="1" applyBorder="1" applyAlignment="1">
      <alignment horizontal="center" vertical="center"/>
    </xf>
    <xf numFmtId="0" fontId="0" fillId="6" borderId="71" xfId="19" applyFont="1" applyFill="1" applyBorder="1" applyAlignment="1">
      <alignment horizontal="center" vertical="center"/>
    </xf>
    <xf numFmtId="0" fontId="15" fillId="21" borderId="72" xfId="19" applyFont="1" applyFill="1" applyBorder="1" applyAlignment="1">
      <alignment horizontal="center" vertical="center"/>
    </xf>
    <xf numFmtId="0" fontId="0" fillId="5" borderId="44" xfId="19" applyFont="1" applyFill="1" applyBorder="1" applyAlignment="1">
      <alignment horizontal="center" vertical="center"/>
    </xf>
    <xf numFmtId="0" fontId="0" fillId="5" borderId="0" xfId="19" applyFont="1" applyFill="1" applyAlignment="1">
      <alignment horizontal="center" vertical="center"/>
    </xf>
    <xf numFmtId="0" fontId="10" fillId="5" borderId="24" xfId="19" applyFill="1" applyBorder="1" applyAlignment="1">
      <alignment horizontal="center"/>
    </xf>
    <xf numFmtId="0" fontId="0" fillId="21" borderId="116" xfId="19" applyFont="1" applyFill="1" applyBorder="1" applyAlignment="1">
      <alignment horizontal="center" vertical="center"/>
    </xf>
    <xf numFmtId="0" fontId="0" fillId="21" borderId="117" xfId="19" applyFont="1" applyFill="1" applyBorder="1" applyAlignment="1">
      <alignment horizontal="center" vertical="center"/>
    </xf>
    <xf numFmtId="0" fontId="0" fillId="0" borderId="140" xfId="19" applyFont="1" applyBorder="1" applyAlignment="1">
      <alignment horizontal="center" vertical="center"/>
    </xf>
    <xf numFmtId="0" fontId="0" fillId="6" borderId="108" xfId="19" applyFont="1" applyFill="1" applyBorder="1" applyAlignment="1">
      <alignment horizontal="center" vertical="center"/>
    </xf>
    <xf numFmtId="0" fontId="14" fillId="5" borderId="71" xfId="19" applyFont="1" applyFill="1" applyBorder="1" applyAlignment="1">
      <alignment horizontal="center" vertical="center"/>
    </xf>
    <xf numFmtId="0" fontId="15" fillId="5" borderId="72" xfId="19" applyFont="1" applyFill="1" applyBorder="1" applyAlignment="1">
      <alignment horizontal="center" vertical="center"/>
    </xf>
    <xf numFmtId="0" fontId="15" fillId="0" borderId="71" xfId="19" applyFont="1" applyBorder="1" applyAlignment="1">
      <alignment horizontal="center" vertical="center"/>
    </xf>
    <xf numFmtId="0" fontId="14" fillId="0" borderId="79" xfId="19" applyFont="1" applyBorder="1" applyAlignment="1">
      <alignment horizontal="center" vertical="center"/>
    </xf>
    <xf numFmtId="0" fontId="0" fillId="0" borderId="10" xfId="19" applyFont="1" applyBorder="1" applyAlignment="1">
      <alignment horizontal="center" vertical="center"/>
    </xf>
    <xf numFmtId="0" fontId="14" fillId="5" borderId="66" xfId="19" applyFont="1" applyFill="1" applyBorder="1" applyAlignment="1">
      <alignment horizontal="center" vertical="center"/>
    </xf>
    <xf numFmtId="0" fontId="14" fillId="7" borderId="70" xfId="19" applyFont="1" applyFill="1" applyBorder="1" applyAlignment="1">
      <alignment horizontal="center" vertical="center"/>
    </xf>
    <xf numFmtId="0" fontId="14" fillId="0" borderId="83" xfId="19" applyFont="1" applyBorder="1" applyAlignment="1">
      <alignment horizontal="center" vertical="center"/>
    </xf>
    <xf numFmtId="0" fontId="0" fillId="0" borderId="70" xfId="19" applyFont="1" applyBorder="1" applyAlignment="1">
      <alignment horizontal="center" vertical="center" wrapText="1"/>
    </xf>
    <xf numFmtId="0" fontId="0" fillId="6" borderId="85" xfId="19" applyFont="1" applyFill="1" applyBorder="1" applyAlignment="1">
      <alignment horizontal="center" vertical="center"/>
    </xf>
    <xf numFmtId="0" fontId="14" fillId="0" borderId="85" xfId="19" applyFont="1" applyBorder="1" applyAlignment="1">
      <alignment horizontal="center" vertical="center"/>
    </xf>
    <xf numFmtId="0" fontId="14" fillId="0" borderId="72" xfId="19" applyFont="1" applyBorder="1" applyAlignment="1">
      <alignment horizontal="center" vertical="center" wrapText="1"/>
    </xf>
    <xf numFmtId="0" fontId="10" fillId="0" borderId="44" xfId="19" applyBorder="1"/>
    <xf numFmtId="0" fontId="15" fillId="0" borderId="141" xfId="19" applyFont="1" applyBorder="1" applyAlignment="1">
      <alignment horizontal="center" vertical="center"/>
    </xf>
    <xf numFmtId="0" fontId="10" fillId="0" borderId="47" xfId="19" applyBorder="1"/>
    <xf numFmtId="0" fontId="14" fillId="0" borderId="18" xfId="19" applyFont="1" applyBorder="1" applyAlignment="1">
      <alignment horizontal="center" vertical="center"/>
    </xf>
    <xf numFmtId="0" fontId="14" fillId="0" borderId="141" xfId="19" applyFont="1" applyBorder="1" applyAlignment="1">
      <alignment horizontal="center" vertical="center"/>
    </xf>
    <xf numFmtId="0" fontId="14" fillId="0" borderId="102" xfId="19" applyFont="1" applyBorder="1" applyAlignment="1">
      <alignment horizontal="center" vertical="center"/>
    </xf>
    <xf numFmtId="0" fontId="14" fillId="0" borderId="105" xfId="19" applyFont="1" applyBorder="1" applyAlignment="1">
      <alignment horizontal="center" vertical="center"/>
    </xf>
    <xf numFmtId="0" fontId="14" fillId="0" borderId="38" xfId="19" applyFont="1" applyBorder="1" applyAlignment="1">
      <alignment horizontal="center" vertical="center"/>
    </xf>
    <xf numFmtId="0" fontId="14" fillId="0" borderId="70" xfId="19" applyFont="1" applyBorder="1" applyAlignment="1">
      <alignment horizontal="center" vertical="center" wrapText="1"/>
    </xf>
    <xf numFmtId="0" fontId="14" fillId="0" borderId="21" xfId="19" applyFont="1" applyBorder="1" applyAlignment="1">
      <alignment horizontal="center" vertical="center"/>
    </xf>
    <xf numFmtId="0" fontId="14" fillId="0" borderId="65" xfId="19" applyFont="1" applyBorder="1" applyAlignment="1">
      <alignment horizontal="center" vertical="center"/>
    </xf>
    <xf numFmtId="0" fontId="10" fillId="0" borderId="47" xfId="19" applyBorder="1" applyAlignment="1">
      <alignment horizontal="center"/>
    </xf>
    <xf numFmtId="0" fontId="14" fillId="0" borderId="81" xfId="19" applyFont="1" applyBorder="1" applyAlignment="1">
      <alignment horizontal="center" vertical="center"/>
    </xf>
    <xf numFmtId="0" fontId="14" fillId="0" borderId="116" xfId="19" applyFont="1" applyBorder="1" applyAlignment="1">
      <alignment horizontal="center" vertical="center"/>
    </xf>
    <xf numFmtId="0" fontId="0" fillId="0" borderId="25" xfId="19" applyFont="1" applyBorder="1" applyAlignment="1">
      <alignment horizontal="center" vertical="center"/>
    </xf>
    <xf numFmtId="0" fontId="10" fillId="0" borderId="28" xfId="19" applyBorder="1" applyAlignment="1">
      <alignment horizontal="center"/>
    </xf>
    <xf numFmtId="0" fontId="14" fillId="0" borderId="77" xfId="19" applyFont="1" applyBorder="1" applyAlignment="1">
      <alignment horizontal="center" vertical="center"/>
    </xf>
    <xf numFmtId="0" fontId="10" fillId="0" borderId="24" xfId="19" applyBorder="1" applyAlignment="1">
      <alignment horizontal="center"/>
    </xf>
    <xf numFmtId="0" fontId="10" fillId="0" borderId="44" xfId="19" applyBorder="1" applyAlignment="1">
      <alignment horizontal="center"/>
    </xf>
    <xf numFmtId="0" fontId="0" fillId="0" borderId="83" xfId="19" applyFont="1" applyBorder="1" applyAlignment="1">
      <alignment horizontal="center" vertical="center" wrapText="1"/>
    </xf>
    <xf numFmtId="0" fontId="10" fillId="0" borderId="25" xfId="19" applyBorder="1" applyAlignment="1">
      <alignment horizontal="center"/>
    </xf>
    <xf numFmtId="0" fontId="10" fillId="0" borderId="25" xfId="19" applyBorder="1"/>
    <xf numFmtId="0" fontId="14" fillId="0" borderId="74" xfId="19" applyFont="1" applyBorder="1" applyAlignment="1">
      <alignment horizontal="center" vertical="center"/>
    </xf>
    <xf numFmtId="0" fontId="14" fillId="0" borderId="117" xfId="19" applyFont="1" applyBorder="1" applyAlignment="1">
      <alignment horizontal="center" vertical="center"/>
    </xf>
    <xf numFmtId="0" fontId="14" fillId="0" borderId="87" xfId="19" applyFont="1" applyBorder="1" applyAlignment="1">
      <alignment horizontal="center" vertical="center"/>
    </xf>
    <xf numFmtId="0" fontId="14" fillId="0" borderId="86" xfId="19" applyFont="1" applyBorder="1" applyAlignment="1">
      <alignment horizontal="center" vertical="center"/>
    </xf>
    <xf numFmtId="0" fontId="14" fillId="0" borderId="47" xfId="19" applyFont="1" applyBorder="1" applyAlignment="1">
      <alignment horizontal="center" vertical="center"/>
    </xf>
    <xf numFmtId="0" fontId="14" fillId="0" borderId="44" xfId="19" applyFont="1" applyBorder="1" applyAlignment="1">
      <alignment horizontal="center" vertical="center"/>
    </xf>
    <xf numFmtId="0" fontId="14" fillId="0" borderId="142" xfId="19" applyFont="1" applyBorder="1" applyAlignment="1">
      <alignment horizontal="center" vertical="center"/>
    </xf>
    <xf numFmtId="0" fontId="14" fillId="0" borderId="25" xfId="19" applyFont="1" applyBorder="1" applyAlignment="1">
      <alignment horizontal="center" vertical="center"/>
    </xf>
    <xf numFmtId="0" fontId="0" fillId="0" borderId="73" xfId="19" applyFont="1" applyBorder="1" applyAlignment="1">
      <alignment horizontal="center" vertical="center" wrapText="1"/>
    </xf>
    <xf numFmtId="0" fontId="0" fillId="0" borderId="72" xfId="19" applyFont="1" applyBorder="1" applyAlignment="1">
      <alignment horizontal="center" vertical="center" wrapText="1"/>
    </xf>
    <xf numFmtId="0" fontId="0" fillId="0" borderId="21" xfId="19" applyFont="1" applyBorder="1" applyAlignment="1">
      <alignment horizontal="center" vertical="center"/>
    </xf>
    <xf numFmtId="0" fontId="10" fillId="0" borderId="2" xfId="19" applyBorder="1"/>
    <xf numFmtId="0" fontId="10" fillId="0" borderId="5" xfId="19" applyBorder="1"/>
    <xf numFmtId="0" fontId="15" fillId="0" borderId="130" xfId="19" applyFont="1" applyBorder="1" applyAlignment="1">
      <alignment horizontal="center" vertical="center"/>
    </xf>
    <xf numFmtId="0" fontId="14" fillId="0" borderId="130" xfId="19" applyFont="1" applyBorder="1" applyAlignment="1">
      <alignment horizontal="center" vertical="center"/>
    </xf>
    <xf numFmtId="0" fontId="0" fillId="0" borderId="23" xfId="19" applyFont="1" applyBorder="1" applyAlignment="1">
      <alignment horizontal="center" vertical="center"/>
    </xf>
    <xf numFmtId="0" fontId="0" fillId="0" borderId="28" xfId="19" applyFont="1" applyBorder="1" applyAlignment="1">
      <alignment horizontal="center" vertical="center"/>
    </xf>
    <xf numFmtId="0" fontId="0" fillId="6" borderId="102" xfId="19" applyFont="1" applyFill="1" applyBorder="1" applyAlignment="1">
      <alignment horizontal="center" vertical="center"/>
    </xf>
    <xf numFmtId="0" fontId="15" fillId="6" borderId="143" xfId="19" applyFont="1" applyFill="1" applyBorder="1" applyAlignment="1">
      <alignment horizontal="center" vertical="center"/>
    </xf>
    <xf numFmtId="0" fontId="10" fillId="0" borderId="31" xfId="19" applyBorder="1"/>
    <xf numFmtId="0" fontId="0" fillId="0" borderId="144" xfId="19" applyFont="1" applyBorder="1" applyAlignment="1">
      <alignment horizontal="center" vertical="center"/>
    </xf>
    <xf numFmtId="0" fontId="10" fillId="0" borderId="134" xfId="19" applyBorder="1"/>
    <xf numFmtId="0" fontId="14" fillId="0" borderId="145" xfId="19" applyFont="1" applyBorder="1" applyAlignment="1">
      <alignment horizontal="center" vertical="center"/>
    </xf>
    <xf numFmtId="0" fontId="14" fillId="0" borderId="146" xfId="19" applyFont="1" applyBorder="1" applyAlignment="1">
      <alignment horizontal="center" vertical="center"/>
    </xf>
    <xf numFmtId="0" fontId="14" fillId="0" borderId="147" xfId="19" applyFont="1" applyBorder="1" applyAlignment="1">
      <alignment horizontal="center" vertical="center"/>
    </xf>
    <xf numFmtId="0" fontId="10" fillId="0" borderId="32" xfId="19" applyBorder="1"/>
    <xf numFmtId="0" fontId="0" fillId="0" borderId="41" xfId="19" applyFont="1" applyBorder="1" applyAlignment="1">
      <alignment horizontal="center" vertical="center"/>
    </xf>
    <xf numFmtId="0" fontId="13" fillId="21" borderId="51" xfId="20" applyFont="1" applyFill="1" applyBorder="1" applyAlignment="1">
      <alignment horizontal="center" vertical="center"/>
    </xf>
    <xf numFmtId="0" fontId="14" fillId="21" borderId="1" xfId="19" applyFont="1" applyFill="1" applyBorder="1" applyAlignment="1">
      <alignment horizontal="center" vertical="center"/>
    </xf>
    <xf numFmtId="0" fontId="15" fillId="21" borderId="1" xfId="19" applyFont="1" applyFill="1" applyBorder="1" applyAlignment="1">
      <alignment horizontal="center" vertical="center"/>
    </xf>
    <xf numFmtId="0" fontId="13" fillId="21" borderId="115" xfId="20" applyFont="1" applyFill="1" applyBorder="1" applyAlignment="1">
      <alignment horizontal="center" vertical="center"/>
    </xf>
    <xf numFmtId="0" fontId="13" fillId="6" borderId="120" xfId="20" applyFont="1" applyFill="1" applyBorder="1" applyAlignment="1">
      <alignment horizontal="center" vertical="center"/>
    </xf>
    <xf numFmtId="0" fontId="13" fillId="6" borderId="136" xfId="20" applyFont="1" applyFill="1" applyBorder="1" applyAlignment="1">
      <alignment horizontal="center" vertical="center"/>
    </xf>
    <xf numFmtId="0" fontId="14" fillId="14" borderId="110" xfId="19" applyFont="1" applyFill="1" applyBorder="1" applyAlignment="1">
      <alignment horizontal="center" vertical="center"/>
    </xf>
    <xf numFmtId="0" fontId="0" fillId="6" borderId="110" xfId="19" applyFont="1" applyFill="1" applyBorder="1" applyAlignment="1">
      <alignment horizontal="center" vertical="center"/>
    </xf>
    <xf numFmtId="0" fontId="14" fillId="6" borderId="110" xfId="19" applyFont="1" applyFill="1" applyBorder="1" applyAlignment="1">
      <alignment horizontal="center" vertical="center"/>
    </xf>
    <xf numFmtId="0" fontId="14" fillId="0" borderId="111" xfId="19" applyFont="1" applyBorder="1" applyAlignment="1">
      <alignment horizontal="center" vertical="center"/>
    </xf>
    <xf numFmtId="0" fontId="14" fillId="21" borderId="108" xfId="19" applyFont="1" applyFill="1" applyBorder="1" applyAlignment="1">
      <alignment horizontal="center" vertical="center"/>
    </xf>
    <xf numFmtId="0" fontId="14" fillId="0" borderId="109" xfId="19" applyFont="1" applyBorder="1" applyAlignment="1">
      <alignment horizontal="center" vertical="center"/>
    </xf>
    <xf numFmtId="0" fontId="0" fillId="14" borderId="109" xfId="19" applyFont="1" applyFill="1" applyBorder="1" applyAlignment="1">
      <alignment horizontal="center" vertical="center"/>
    </xf>
    <xf numFmtId="0" fontId="0" fillId="21" borderId="129" xfId="19" applyFont="1" applyFill="1" applyBorder="1" applyAlignment="1">
      <alignment horizontal="center" vertical="center"/>
    </xf>
    <xf numFmtId="0" fontId="0" fillId="0" borderId="148" xfId="19" applyFont="1" applyBorder="1" applyAlignment="1">
      <alignment horizontal="center" vertical="center"/>
    </xf>
    <xf numFmtId="0" fontId="0" fillId="0" borderId="149" xfId="19" applyFont="1" applyBorder="1" applyAlignment="1">
      <alignment horizontal="center" vertical="center"/>
    </xf>
    <xf numFmtId="0" fontId="0" fillId="21" borderId="113" xfId="19" applyFont="1" applyFill="1" applyBorder="1" applyAlignment="1">
      <alignment horizontal="center" vertical="center"/>
    </xf>
    <xf numFmtId="0" fontId="0" fillId="21" borderId="115" xfId="19" applyFont="1" applyFill="1" applyBorder="1" applyAlignment="1">
      <alignment horizontal="center" vertical="center"/>
    </xf>
    <xf numFmtId="0" fontId="0" fillId="0" borderId="136" xfId="19" applyFont="1" applyBorder="1" applyAlignment="1">
      <alignment horizontal="center" vertical="center"/>
    </xf>
    <xf numFmtId="0" fontId="14" fillId="21" borderId="52" xfId="19" applyFont="1" applyFill="1" applyBorder="1" applyAlignment="1">
      <alignment horizontal="center" vertical="center"/>
    </xf>
    <xf numFmtId="0" fontId="10" fillId="0" borderId="148" xfId="19" applyBorder="1"/>
    <xf numFmtId="0" fontId="10" fillId="0" borderId="52" xfId="19" applyBorder="1"/>
    <xf numFmtId="0" fontId="10" fillId="0" borderId="149" xfId="19" applyBorder="1"/>
    <xf numFmtId="0" fontId="14" fillId="21" borderId="51" xfId="19" applyFont="1" applyFill="1" applyBorder="1" applyAlignment="1">
      <alignment horizontal="center" vertical="center"/>
    </xf>
    <xf numFmtId="0" fontId="10" fillId="0" borderId="120" xfId="19" applyBorder="1"/>
    <xf numFmtId="0" fontId="10" fillId="0" borderId="136" xfId="19" applyBorder="1"/>
    <xf numFmtId="0" fontId="14" fillId="6" borderId="109" xfId="19" applyFont="1" applyFill="1" applyBorder="1" applyAlignment="1">
      <alignment horizontal="center" vertical="center"/>
    </xf>
    <xf numFmtId="0" fontId="14" fillId="0" borderId="125" xfId="19" applyFont="1" applyBorder="1" applyAlignment="1">
      <alignment horizontal="center" vertical="center"/>
    </xf>
    <xf numFmtId="0" fontId="14" fillId="0" borderId="126" xfId="19" applyFont="1" applyBorder="1" applyAlignment="1">
      <alignment horizontal="center" vertical="center"/>
    </xf>
    <xf numFmtId="0" fontId="0" fillId="14" borderId="110" xfId="19" applyFont="1" applyFill="1" applyBorder="1" applyAlignment="1">
      <alignment horizontal="center" vertical="center"/>
    </xf>
    <xf numFmtId="0" fontId="14" fillId="15" borderId="1" xfId="19" applyFont="1" applyFill="1" applyBorder="1" applyAlignment="1">
      <alignment horizontal="center" vertical="center"/>
    </xf>
    <xf numFmtId="0" fontId="0" fillId="15" borderId="1" xfId="19" applyFont="1" applyFill="1" applyBorder="1" applyAlignment="1">
      <alignment horizontal="center" vertical="center"/>
    </xf>
    <xf numFmtId="0" fontId="14" fillId="0" borderId="126" xfId="19" applyFont="1" applyBorder="1" applyAlignment="1">
      <alignment horizontal="center" vertical="center" wrapText="1"/>
    </xf>
    <xf numFmtId="0" fontId="14" fillId="0" borderId="112" xfId="19" applyFont="1" applyBorder="1" applyAlignment="1">
      <alignment horizontal="center" vertical="center"/>
    </xf>
    <xf numFmtId="0" fontId="14" fillId="0" borderId="127" xfId="19" applyFont="1" applyBorder="1" applyAlignment="1">
      <alignment horizontal="center" vertical="center"/>
    </xf>
    <xf numFmtId="0" fontId="0" fillId="15" borderId="108" xfId="19" applyFont="1" applyFill="1" applyBorder="1" applyAlignment="1">
      <alignment horizontal="center" vertical="center"/>
    </xf>
    <xf numFmtId="0" fontId="14" fillId="0" borderId="52" xfId="19" applyFont="1" applyBorder="1" applyAlignment="1">
      <alignment horizontal="center" vertical="center"/>
    </xf>
    <xf numFmtId="0" fontId="14" fillId="0" borderId="150" xfId="19" applyFont="1" applyBorder="1" applyAlignment="1">
      <alignment horizontal="center" vertical="center"/>
    </xf>
    <xf numFmtId="0" fontId="14" fillId="0" borderId="151" xfId="19" applyFont="1" applyBorder="1" applyAlignment="1">
      <alignment horizontal="center" vertical="center"/>
    </xf>
    <xf numFmtId="0" fontId="14" fillId="0" borderId="59" xfId="19" applyFont="1" applyBorder="1" applyAlignment="1">
      <alignment horizontal="center" vertical="center"/>
    </xf>
    <xf numFmtId="0" fontId="0" fillId="0" borderId="150" xfId="19" applyFont="1" applyBorder="1" applyAlignment="1">
      <alignment horizontal="center" vertical="center"/>
    </xf>
    <xf numFmtId="0" fontId="14" fillId="15" borderId="108" xfId="19" applyFont="1" applyFill="1" applyBorder="1" applyAlignment="1">
      <alignment horizontal="center" vertical="center"/>
    </xf>
    <xf numFmtId="0" fontId="15" fillId="0" borderId="111" xfId="19" applyFont="1" applyBorder="1" applyAlignment="1">
      <alignment horizontal="center" vertical="center"/>
    </xf>
    <xf numFmtId="0" fontId="14" fillId="0" borderId="51" xfId="19" applyFont="1" applyBorder="1" applyAlignment="1">
      <alignment horizontal="center" vertical="center"/>
    </xf>
    <xf numFmtId="0" fontId="10" fillId="0" borderId="52" xfId="19" applyBorder="1" applyAlignment="1">
      <alignment horizontal="center"/>
    </xf>
    <xf numFmtId="0" fontId="10" fillId="0" borderId="51" xfId="19" applyBorder="1" applyAlignment="1">
      <alignment horizontal="center"/>
    </xf>
    <xf numFmtId="0" fontId="10" fillId="0" borderId="108" xfId="19" applyBorder="1" applyAlignment="1">
      <alignment horizontal="center"/>
    </xf>
    <xf numFmtId="0" fontId="0" fillId="6" borderId="109" xfId="19" applyFont="1" applyFill="1" applyBorder="1" applyAlignment="1">
      <alignment horizontal="center" vertical="center"/>
    </xf>
    <xf numFmtId="0" fontId="13" fillId="21" borderId="120" xfId="20" applyFont="1" applyFill="1" applyBorder="1" applyAlignment="1">
      <alignment horizontal="center" vertical="center"/>
    </xf>
    <xf numFmtId="0" fontId="13" fillId="21" borderId="136" xfId="20" applyFont="1" applyFill="1" applyBorder="1" applyAlignment="1">
      <alignment horizontal="center" vertical="center"/>
    </xf>
    <xf numFmtId="0" fontId="0" fillId="14" borderId="108" xfId="19" applyFont="1" applyFill="1" applyBorder="1" applyAlignment="1">
      <alignment horizontal="center" vertical="center"/>
    </xf>
    <xf numFmtId="0" fontId="0" fillId="14" borderId="1" xfId="19" applyFont="1" applyFill="1" applyBorder="1" applyAlignment="1">
      <alignment horizontal="center" vertical="center"/>
    </xf>
    <xf numFmtId="0" fontId="0" fillId="14" borderId="111" xfId="19" applyFont="1" applyFill="1" applyBorder="1" applyAlignment="1">
      <alignment horizontal="center" vertical="center"/>
    </xf>
    <xf numFmtId="0" fontId="0" fillId="14" borderId="112" xfId="19" applyFont="1" applyFill="1" applyBorder="1" applyAlignment="1">
      <alignment horizontal="center" vertical="center"/>
    </xf>
    <xf numFmtId="0" fontId="0" fillId="21" borderId="148" xfId="19" applyFont="1" applyFill="1" applyBorder="1" applyAlignment="1">
      <alignment horizontal="center" vertical="center"/>
    </xf>
    <xf numFmtId="0" fontId="0" fillId="21" borderId="149" xfId="19" applyFont="1" applyFill="1" applyBorder="1" applyAlignment="1">
      <alignment horizontal="center" vertical="center"/>
    </xf>
    <xf numFmtId="0" fontId="0" fillId="14" borderId="148" xfId="19" applyFont="1" applyFill="1" applyBorder="1" applyAlignment="1">
      <alignment horizontal="center" vertical="center"/>
    </xf>
    <xf numFmtId="0" fontId="0" fillId="14" borderId="52" xfId="19" applyFont="1" applyFill="1" applyBorder="1" applyAlignment="1">
      <alignment horizontal="center" vertical="center"/>
    </xf>
    <xf numFmtId="0" fontId="0" fillId="21" borderId="151" xfId="19" applyFont="1" applyFill="1" applyBorder="1" applyAlignment="1">
      <alignment horizontal="center" vertical="center"/>
    </xf>
    <xf numFmtId="0" fontId="0" fillId="21" borderId="150" xfId="19" applyFont="1" applyFill="1" applyBorder="1" applyAlignment="1">
      <alignment horizontal="center" vertical="center"/>
    </xf>
    <xf numFmtId="0" fontId="0" fillId="14" borderId="151" xfId="19" applyFont="1" applyFill="1" applyBorder="1" applyAlignment="1">
      <alignment horizontal="center" vertical="center"/>
    </xf>
    <xf numFmtId="0" fontId="0" fillId="14" borderId="59" xfId="19" applyFont="1" applyFill="1" applyBorder="1" applyAlignment="1">
      <alignment horizontal="center" vertical="center"/>
    </xf>
    <xf numFmtId="0" fontId="14" fillId="21" borderId="109" xfId="19" applyFont="1" applyFill="1" applyBorder="1" applyAlignment="1">
      <alignment horizontal="center" vertical="center"/>
    </xf>
    <xf numFmtId="0" fontId="15" fillId="21" borderId="110" xfId="19" applyFont="1" applyFill="1" applyBorder="1" applyAlignment="1">
      <alignment horizontal="center" vertical="center"/>
    </xf>
    <xf numFmtId="0" fontId="0" fillId="14" borderId="120" xfId="19" applyFont="1" applyFill="1" applyBorder="1" applyAlignment="1">
      <alignment horizontal="center" vertical="center"/>
    </xf>
    <xf numFmtId="0" fontId="0" fillId="14" borderId="51" xfId="19" applyFont="1" applyFill="1" applyBorder="1" applyAlignment="1">
      <alignment horizontal="center" vertical="center"/>
    </xf>
    <xf numFmtId="0" fontId="0" fillId="14" borderId="125" xfId="19" applyFont="1" applyFill="1" applyBorder="1" applyAlignment="1">
      <alignment horizontal="center" vertical="center"/>
    </xf>
    <xf numFmtId="0" fontId="0" fillId="14" borderId="126" xfId="19" applyFont="1" applyFill="1" applyBorder="1" applyAlignment="1">
      <alignment horizontal="center" vertical="center"/>
    </xf>
    <xf numFmtId="0" fontId="0" fillId="14" borderId="127" xfId="19" applyFont="1" applyFill="1" applyBorder="1" applyAlignment="1">
      <alignment horizontal="center" vertical="center"/>
    </xf>
    <xf numFmtId="0" fontId="0" fillId="14" borderId="149" xfId="19" applyFont="1" applyFill="1" applyBorder="1" applyAlignment="1">
      <alignment horizontal="center" vertical="center"/>
    </xf>
    <xf numFmtId="0" fontId="0" fillId="14" borderId="150" xfId="19" applyFont="1" applyFill="1" applyBorder="1" applyAlignment="1">
      <alignment horizontal="center" vertical="center"/>
    </xf>
    <xf numFmtId="0" fontId="0" fillId="0" borderId="151" xfId="19" applyFont="1" applyBorder="1" applyAlignment="1">
      <alignment horizontal="center" vertical="center"/>
    </xf>
    <xf numFmtId="0" fontId="0" fillId="0" borderId="59" xfId="19" applyFont="1" applyBorder="1" applyAlignment="1">
      <alignment horizontal="center" vertical="center"/>
    </xf>
    <xf numFmtId="0" fontId="0" fillId="14" borderId="136" xfId="19" applyFont="1" applyFill="1" applyBorder="1" applyAlignment="1">
      <alignment horizontal="center" vertical="center"/>
    </xf>
    <xf numFmtId="0" fontId="0" fillId="6" borderId="126" xfId="19" applyFont="1" applyFill="1" applyBorder="1" applyAlignment="1">
      <alignment horizontal="center" vertical="center"/>
    </xf>
    <xf numFmtId="0" fontId="10" fillId="0" borderId="37" xfId="19" applyBorder="1"/>
    <xf numFmtId="0" fontId="14" fillId="21" borderId="110" xfId="19" applyFont="1" applyFill="1" applyBorder="1" applyAlignment="1">
      <alignment horizontal="center" vertical="center"/>
    </xf>
    <xf numFmtId="0" fontId="13" fillId="6" borderId="6" xfId="20" applyFont="1" applyFill="1" applyBorder="1" applyAlignment="1">
      <alignment horizontal="center" vertical="center"/>
    </xf>
    <xf numFmtId="0" fontId="13" fillId="6" borderId="46" xfId="20" applyFont="1" applyFill="1" applyBorder="1" applyAlignment="1">
      <alignment horizontal="center" vertical="center"/>
    </xf>
    <xf numFmtId="0" fontId="13" fillId="6" borderId="152" xfId="20" applyFont="1" applyFill="1" applyBorder="1" applyAlignment="1">
      <alignment horizontal="center" vertical="center"/>
    </xf>
    <xf numFmtId="0" fontId="13" fillId="0" borderId="21" xfId="20" applyFont="1" applyBorder="1" applyAlignment="1">
      <alignment horizontal="center" vertical="center"/>
    </xf>
    <xf numFmtId="0" fontId="0" fillId="14" borderId="117" xfId="19" applyFont="1" applyFill="1" applyBorder="1" applyAlignment="1">
      <alignment horizontal="center" vertical="center"/>
    </xf>
    <xf numFmtId="0" fontId="0" fillId="14" borderId="124" xfId="19" applyFont="1" applyFill="1" applyBorder="1" applyAlignment="1">
      <alignment horizontal="center" vertical="center"/>
    </xf>
    <xf numFmtId="0" fontId="10" fillId="0" borderId="21" xfId="19" applyBorder="1"/>
    <xf numFmtId="0" fontId="0" fillId="0" borderId="153" xfId="19" applyFont="1" applyBorder="1" applyAlignment="1">
      <alignment horizontal="center" vertical="center"/>
    </xf>
    <xf numFmtId="0" fontId="10" fillId="0" borderId="44" xfId="19" applyBorder="1" applyAlignment="1">
      <alignment horizontal="center" vertical="center"/>
    </xf>
    <xf numFmtId="0" fontId="10" fillId="0" borderId="18" xfId="19" applyBorder="1"/>
    <xf numFmtId="0" fontId="0" fillId="0" borderId="145" xfId="0" applyBorder="1" applyAlignment="1">
      <alignment horizontal="center" vertical="center"/>
    </xf>
    <xf numFmtId="0" fontId="10" fillId="0" borderId="47" xfId="19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147" xfId="0" applyBorder="1" applyAlignment="1">
      <alignment horizontal="center" vertical="center"/>
    </xf>
    <xf numFmtId="0" fontId="14" fillId="14" borderId="73" xfId="19" applyFont="1" applyFill="1" applyBorder="1" applyAlignment="1">
      <alignment horizontal="center" vertical="center"/>
    </xf>
    <xf numFmtId="0" fontId="0" fillId="14" borderId="154" xfId="19" applyFont="1" applyFill="1" applyBorder="1" applyAlignment="1">
      <alignment horizontal="center" vertical="center"/>
    </xf>
    <xf numFmtId="0" fontId="14" fillId="14" borderId="72" xfId="19" applyFont="1" applyFill="1" applyBorder="1" applyAlignment="1">
      <alignment horizontal="center" vertical="center"/>
    </xf>
    <xf numFmtId="0" fontId="0" fillId="14" borderId="116" xfId="19" applyFont="1" applyFill="1" applyBorder="1" applyAlignment="1">
      <alignment horizontal="center" vertical="center"/>
    </xf>
    <xf numFmtId="0" fontId="10" fillId="0" borderId="55" xfId="19" applyBorder="1"/>
    <xf numFmtId="0" fontId="10" fillId="0" borderId="28" xfId="19" applyBorder="1"/>
    <xf numFmtId="0" fontId="0" fillId="14" borderId="155" xfId="19" applyFont="1" applyFill="1" applyBorder="1" applyAlignment="1">
      <alignment horizontal="center" vertical="center"/>
    </xf>
    <xf numFmtId="0" fontId="10" fillId="0" borderId="25" xfId="19" applyBorder="1" applyAlignment="1">
      <alignment horizontal="center" vertical="center"/>
    </xf>
    <xf numFmtId="0" fontId="0" fillId="0" borderId="145" xfId="19" applyFont="1" applyBorder="1" applyAlignment="1">
      <alignment horizontal="center" vertical="center"/>
    </xf>
    <xf numFmtId="0" fontId="0" fillId="14" borderId="73" xfId="19" applyFont="1" applyFill="1" applyBorder="1" applyAlignment="1">
      <alignment horizontal="center" vertical="center"/>
    </xf>
    <xf numFmtId="0" fontId="0" fillId="0" borderId="147" xfId="19" applyFont="1" applyBorder="1" applyAlignment="1">
      <alignment horizontal="center" vertical="center"/>
    </xf>
    <xf numFmtId="0" fontId="0" fillId="0" borderId="155" xfId="19" applyFont="1" applyBorder="1" applyAlignment="1">
      <alignment horizontal="center" vertical="center"/>
    </xf>
    <xf numFmtId="0" fontId="10" fillId="0" borderId="156" xfId="19" applyBorder="1"/>
    <xf numFmtId="0" fontId="10" fillId="0" borderId="53" xfId="19" applyBorder="1"/>
    <xf numFmtId="0" fontId="10" fillId="0" borderId="53" xfId="19" applyBorder="1" applyAlignment="1">
      <alignment horizontal="center" vertical="center"/>
    </xf>
    <xf numFmtId="0" fontId="10" fillId="0" borderId="18" xfId="19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6" borderId="154" xfId="19" applyFont="1" applyFill="1" applyBorder="1" applyAlignment="1">
      <alignment horizontal="center" vertical="center"/>
    </xf>
    <xf numFmtId="0" fontId="15" fillId="14" borderId="72" xfId="19" applyFont="1" applyFill="1" applyBorder="1" applyAlignment="1">
      <alignment horizontal="center" vertical="center"/>
    </xf>
    <xf numFmtId="0" fontId="0" fillId="14" borderId="72" xfId="19" applyFont="1" applyFill="1" applyBorder="1" applyAlignment="1">
      <alignment horizontal="center" vertical="center"/>
    </xf>
    <xf numFmtId="0" fontId="0" fillId="14" borderId="153" xfId="19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4" fillId="0" borderId="154" xfId="19" applyFont="1" applyBorder="1" applyAlignment="1">
      <alignment horizontal="center" vertical="center"/>
    </xf>
    <xf numFmtId="0" fontId="0" fillId="0" borderId="154" xfId="19" applyFont="1" applyBorder="1" applyAlignment="1">
      <alignment horizontal="center" vertical="center"/>
    </xf>
    <xf numFmtId="0" fontId="10" fillId="0" borderId="11" xfId="19" applyBorder="1"/>
    <xf numFmtId="0" fontId="10" fillId="0" borderId="56" xfId="19" applyBorder="1" applyAlignment="1">
      <alignment horizontal="center" vertical="center"/>
    </xf>
    <xf numFmtId="0" fontId="15" fillId="0" borderId="146" xfId="19" applyFont="1" applyBorder="1" applyAlignment="1">
      <alignment horizontal="center" vertical="center"/>
    </xf>
    <xf numFmtId="0" fontId="15" fillId="0" borderId="154" xfId="19" applyFont="1" applyBorder="1" applyAlignment="1">
      <alignment horizontal="center" vertical="center"/>
    </xf>
    <xf numFmtId="0" fontId="15" fillId="0" borderId="147" xfId="19" applyFont="1" applyBorder="1" applyAlignment="1">
      <alignment horizontal="center" vertical="center"/>
    </xf>
    <xf numFmtId="0" fontId="0" fillId="14" borderId="71" xfId="19" applyFont="1" applyFill="1" applyBorder="1" applyAlignment="1">
      <alignment horizontal="center" vertical="center"/>
    </xf>
    <xf numFmtId="0" fontId="0" fillId="0" borderId="146" xfId="19" applyFont="1" applyBorder="1" applyAlignment="1">
      <alignment horizontal="center" vertical="center"/>
    </xf>
    <xf numFmtId="0" fontId="0" fillId="14" borderId="70" xfId="19" applyFont="1" applyFill="1" applyBorder="1" applyAlignment="1">
      <alignment horizontal="center" vertical="center"/>
    </xf>
    <xf numFmtId="0" fontId="13" fillId="6" borderId="157" xfId="20" applyFont="1" applyFill="1" applyBorder="1" applyAlignment="1">
      <alignment horizontal="center" vertical="center"/>
    </xf>
    <xf numFmtId="0" fontId="0" fillId="0" borderId="158" xfId="19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59" xfId="19" applyFont="1" applyBorder="1" applyAlignment="1">
      <alignment horizontal="center" vertical="center"/>
    </xf>
    <xf numFmtId="0" fontId="0" fillId="6" borderId="70" xfId="0" applyFill="1" applyBorder="1" applyAlignment="1">
      <alignment horizontal="center" vertical="center"/>
    </xf>
    <xf numFmtId="0" fontId="0" fillId="14" borderId="80" xfId="19" applyFont="1" applyFill="1" applyBorder="1" applyAlignment="1">
      <alignment horizontal="center" vertical="center" wrapText="1"/>
    </xf>
    <xf numFmtId="0" fontId="0" fillId="14" borderId="81" xfId="19" applyFont="1" applyFill="1" applyBorder="1" applyAlignment="1">
      <alignment horizontal="center" vertical="center"/>
    </xf>
    <xf numFmtId="0" fontId="0" fillId="14" borderId="69" xfId="19" applyFont="1" applyFill="1" applyBorder="1" applyAlignment="1">
      <alignment horizontal="center" vertical="center"/>
    </xf>
    <xf numFmtId="0" fontId="14" fillId="0" borderId="160" xfId="19" applyFont="1" applyBorder="1" applyAlignment="1">
      <alignment horizontal="center" vertical="center"/>
    </xf>
    <xf numFmtId="0" fontId="0" fillId="14" borderId="158" xfId="19" applyFont="1" applyFill="1" applyBorder="1" applyAlignment="1">
      <alignment horizontal="center" vertical="center"/>
    </xf>
    <xf numFmtId="0" fontId="0" fillId="14" borderId="80" xfId="19" applyFont="1" applyFill="1" applyBorder="1" applyAlignment="1">
      <alignment horizontal="center" vertical="center"/>
    </xf>
    <xf numFmtId="0" fontId="0" fillId="14" borderId="159" xfId="19" applyFont="1" applyFill="1" applyBorder="1" applyAlignment="1">
      <alignment horizontal="center" vertical="center"/>
    </xf>
    <xf numFmtId="0" fontId="13" fillId="21" borderId="6" xfId="20" applyFont="1" applyFill="1" applyBorder="1" applyAlignment="1">
      <alignment horizontal="center" vertical="center"/>
    </xf>
    <xf numFmtId="0" fontId="13" fillId="21" borderId="46" xfId="20" applyFont="1" applyFill="1" applyBorder="1" applyAlignment="1">
      <alignment horizontal="center" vertical="center"/>
    </xf>
    <xf numFmtId="0" fontId="13" fillId="21" borderId="157" xfId="20" applyFont="1" applyFill="1" applyBorder="1" applyAlignment="1">
      <alignment horizontal="center" vertical="center"/>
    </xf>
    <xf numFmtId="0" fontId="10" fillId="0" borderId="24" xfId="19" applyBorder="1"/>
    <xf numFmtId="16" fontId="0" fillId="6" borderId="73" xfId="19" applyNumberFormat="1" applyFont="1" applyFill="1" applyBorder="1" applyAlignment="1">
      <alignment horizontal="center" vertical="center"/>
    </xf>
    <xf numFmtId="0" fontId="15" fillId="0" borderId="73" xfId="0" applyFont="1" applyBorder="1" applyAlignment="1">
      <alignment horizontal="center" vertical="center"/>
    </xf>
    <xf numFmtId="0" fontId="0" fillId="19" borderId="71" xfId="19" applyFont="1" applyFill="1" applyBorder="1" applyAlignment="1">
      <alignment horizontal="center" vertical="center"/>
    </xf>
    <xf numFmtId="0" fontId="0" fillId="19" borderId="130" xfId="19" applyFont="1" applyFill="1" applyBorder="1" applyAlignment="1">
      <alignment horizontal="center" vertical="center"/>
    </xf>
    <xf numFmtId="0" fontId="14" fillId="0" borderId="161" xfId="19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14" borderId="162" xfId="19" applyFont="1" applyFill="1" applyBorder="1" applyAlignment="1">
      <alignment horizontal="center" vertical="center"/>
    </xf>
    <xf numFmtId="0" fontId="14" fillId="0" borderId="158" xfId="19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0" fontId="14" fillId="0" borderId="163" xfId="19" applyFont="1" applyBorder="1" applyAlignment="1">
      <alignment horizontal="center" vertical="center"/>
    </xf>
    <xf numFmtId="0" fontId="14" fillId="0" borderId="97" xfId="19" applyFont="1" applyBorder="1" applyAlignment="1">
      <alignment horizontal="center" vertical="center"/>
    </xf>
    <xf numFmtId="0" fontId="14" fillId="0" borderId="132" xfId="19" applyFont="1" applyBorder="1" applyAlignment="1">
      <alignment horizontal="center" vertical="center"/>
    </xf>
    <xf numFmtId="0" fontId="0" fillId="0" borderId="98" xfId="19" applyFont="1" applyBorder="1" applyAlignment="1">
      <alignment horizontal="center" vertical="center"/>
    </xf>
    <xf numFmtId="0" fontId="0" fillId="0" borderId="164" xfId="19" applyFont="1" applyBorder="1" applyAlignment="1">
      <alignment horizontal="center" vertical="center"/>
    </xf>
    <xf numFmtId="16" fontId="0" fillId="0" borderId="122" xfId="19" applyNumberFormat="1" applyFont="1" applyBorder="1" applyAlignment="1">
      <alignment horizontal="center" vertical="center"/>
    </xf>
    <xf numFmtId="0" fontId="14" fillId="0" borderId="133" xfId="19" applyFont="1" applyBorder="1" applyAlignment="1">
      <alignment horizontal="center" vertical="center"/>
    </xf>
    <xf numFmtId="0" fontId="0" fillId="14" borderId="47" xfId="19" applyFont="1" applyFill="1" applyBorder="1" applyAlignment="1">
      <alignment horizontal="center" vertical="center"/>
    </xf>
    <xf numFmtId="0" fontId="0" fillId="14" borderId="106" xfId="19" applyFont="1" applyFill="1" applyBorder="1" applyAlignment="1">
      <alignment horizontal="center" vertical="center"/>
    </xf>
    <xf numFmtId="0" fontId="0" fillId="14" borderId="123" xfId="19" applyFont="1" applyFill="1" applyBorder="1" applyAlignment="1">
      <alignment horizontal="center" vertical="center"/>
    </xf>
    <xf numFmtId="0" fontId="14" fillId="6" borderId="73" xfId="19" applyFont="1" applyFill="1" applyBorder="1" applyAlignment="1">
      <alignment horizontal="center" vertical="center"/>
    </xf>
    <xf numFmtId="0" fontId="0" fillId="21" borderId="44" xfId="19" applyFont="1" applyFill="1" applyBorder="1" applyAlignment="1">
      <alignment horizontal="center" vertical="center"/>
    </xf>
    <xf numFmtId="0" fontId="0" fillId="21" borderId="25" xfId="19" applyFont="1" applyFill="1" applyBorder="1" applyAlignment="1">
      <alignment horizontal="center" vertical="center"/>
    </xf>
    <xf numFmtId="0" fontId="0" fillId="14" borderId="89" xfId="19" applyFont="1" applyFill="1" applyBorder="1" applyAlignment="1">
      <alignment horizontal="center" vertical="center"/>
    </xf>
    <xf numFmtId="0" fontId="0" fillId="14" borderId="86" xfId="19" applyFont="1" applyFill="1" applyBorder="1" applyAlignment="1">
      <alignment horizontal="center" vertical="center"/>
    </xf>
    <xf numFmtId="0" fontId="10" fillId="0" borderId="127" xfId="19" applyBorder="1"/>
    <xf numFmtId="0" fontId="0" fillId="14" borderId="10" xfId="19" applyFont="1" applyFill="1" applyBorder="1" applyAlignment="1">
      <alignment horizontal="center" vertical="center"/>
    </xf>
    <xf numFmtId="0" fontId="14" fillId="0" borderId="121" xfId="19" applyFont="1" applyBorder="1" applyAlignment="1">
      <alignment horizontal="center" vertical="center"/>
    </xf>
    <xf numFmtId="0" fontId="14" fillId="0" borderId="159" xfId="19" applyFont="1" applyBorder="1" applyAlignment="1">
      <alignment horizontal="center" vertical="center"/>
    </xf>
    <xf numFmtId="0" fontId="14" fillId="0" borderId="140" xfId="19" applyFont="1" applyBorder="1" applyAlignment="1">
      <alignment horizontal="center" vertical="center"/>
    </xf>
    <xf numFmtId="0" fontId="0" fillId="0" borderId="165" xfId="19" applyFont="1" applyBorder="1" applyAlignment="1">
      <alignment horizontal="center" vertical="center"/>
    </xf>
    <xf numFmtId="0" fontId="0" fillId="14" borderId="85" xfId="19" applyFont="1" applyFill="1" applyBorder="1" applyAlignment="1">
      <alignment horizontal="center" vertical="center"/>
    </xf>
    <xf numFmtId="0" fontId="14" fillId="6" borderId="71" xfId="19" applyFont="1" applyFill="1" applyBorder="1" applyAlignment="1">
      <alignment horizontal="center" vertical="center"/>
    </xf>
    <xf numFmtId="0" fontId="0" fillId="21" borderId="10" xfId="19" applyFont="1" applyFill="1" applyBorder="1" applyAlignment="1">
      <alignment horizontal="center" vertical="center"/>
    </xf>
    <xf numFmtId="0" fontId="0" fillId="21" borderId="124" xfId="19" applyFont="1" applyFill="1" applyBorder="1" applyAlignment="1">
      <alignment horizontal="center" vertical="center"/>
    </xf>
    <xf numFmtId="0" fontId="0" fillId="21" borderId="123" xfId="19" applyFont="1" applyFill="1" applyBorder="1" applyAlignment="1">
      <alignment horizontal="center" vertical="center"/>
    </xf>
    <xf numFmtId="0" fontId="14" fillId="0" borderId="148" xfId="19" applyFont="1" applyBorder="1" applyAlignment="1">
      <alignment horizontal="center" vertical="center"/>
    </xf>
    <xf numFmtId="0" fontId="14" fillId="21" borderId="117" xfId="19" applyFont="1" applyFill="1" applyBorder="1" applyAlignment="1">
      <alignment horizontal="center" vertical="center"/>
    </xf>
    <xf numFmtId="0" fontId="15" fillId="21" borderId="71" xfId="19" applyFont="1" applyFill="1" applyBorder="1" applyAlignment="1">
      <alignment horizontal="center" vertical="center"/>
    </xf>
    <xf numFmtId="0" fontId="15" fillId="14" borderId="110" xfId="19" applyFont="1" applyFill="1" applyBorder="1" applyAlignment="1">
      <alignment horizontal="center" vertical="center"/>
    </xf>
    <xf numFmtId="0" fontId="15" fillId="21" borderId="73" xfId="0" applyFont="1" applyFill="1" applyBorder="1" applyAlignment="1">
      <alignment horizontal="center" vertical="center"/>
    </xf>
    <xf numFmtId="0" fontId="15" fillId="0" borderId="110" xfId="0" applyFont="1" applyBorder="1" applyAlignment="1">
      <alignment horizontal="center" vertical="center"/>
    </xf>
    <xf numFmtId="0" fontId="0" fillId="14" borderId="21" xfId="19" applyFont="1" applyFill="1" applyBorder="1" applyAlignment="1">
      <alignment horizontal="center" vertical="center"/>
    </xf>
    <xf numFmtId="0" fontId="15" fillId="0" borderId="102" xfId="19" applyFont="1" applyBorder="1" applyAlignment="1">
      <alignment horizontal="center" vertical="center"/>
    </xf>
    <xf numFmtId="0" fontId="0" fillId="0" borderId="166" xfId="19" applyFont="1" applyBorder="1" applyAlignment="1">
      <alignment horizontal="center" vertical="center"/>
    </xf>
    <xf numFmtId="0" fontId="14" fillId="0" borderId="143" xfId="19" applyFont="1" applyBorder="1" applyAlignment="1">
      <alignment horizontal="center" vertical="center"/>
    </xf>
    <xf numFmtId="0" fontId="0" fillId="14" borderId="44" xfId="19" applyFont="1" applyFill="1" applyBorder="1" applyAlignment="1">
      <alignment horizontal="center" vertical="center"/>
    </xf>
    <xf numFmtId="0" fontId="0" fillId="14" borderId="31" xfId="19" applyFont="1" applyFill="1" applyBorder="1" applyAlignment="1">
      <alignment horizontal="center" vertical="center"/>
    </xf>
    <xf numFmtId="0" fontId="0" fillId="21" borderId="5" xfId="19" applyFont="1" applyFill="1" applyBorder="1" applyAlignment="1">
      <alignment horizontal="center" vertical="center"/>
    </xf>
    <xf numFmtId="0" fontId="14" fillId="0" borderId="5" xfId="19" applyFont="1" applyBorder="1" applyAlignment="1">
      <alignment horizontal="center" vertical="center"/>
    </xf>
    <xf numFmtId="0" fontId="0" fillId="14" borderId="134" xfId="19" applyFont="1" applyFill="1" applyBorder="1" applyAlignment="1">
      <alignment horizontal="center" vertical="center"/>
    </xf>
    <xf numFmtId="0" fontId="15" fillId="0" borderId="5" xfId="19" applyFont="1" applyBorder="1" applyAlignment="1">
      <alignment horizontal="center" vertical="center"/>
    </xf>
    <xf numFmtId="0" fontId="0" fillId="14" borderId="25" xfId="19" applyFont="1" applyFill="1" applyBorder="1" applyAlignment="1">
      <alignment horizontal="center" vertical="center"/>
    </xf>
    <xf numFmtId="0" fontId="0" fillId="14" borderId="32" xfId="19" applyFont="1" applyFill="1" applyBorder="1" applyAlignment="1">
      <alignment horizontal="center" vertical="center"/>
    </xf>
    <xf numFmtId="0" fontId="15" fillId="21" borderId="73" xfId="19" applyFont="1" applyFill="1" applyBorder="1" applyAlignment="1">
      <alignment horizontal="center" vertical="center"/>
    </xf>
    <xf numFmtId="0" fontId="14" fillId="0" borderId="167" xfId="19" applyFont="1" applyBorder="1" applyAlignment="1">
      <alignment horizontal="center" vertical="center"/>
    </xf>
    <xf numFmtId="0" fontId="14" fillId="0" borderId="168" xfId="19" applyFont="1" applyBorder="1" applyAlignment="1">
      <alignment horizontal="center" vertical="center"/>
    </xf>
    <xf numFmtId="0" fontId="14" fillId="0" borderId="165" xfId="19" applyFont="1" applyBorder="1" applyAlignment="1">
      <alignment horizontal="center" vertical="center"/>
    </xf>
    <xf numFmtId="0" fontId="14" fillId="0" borderId="41" xfId="19" applyFont="1" applyBorder="1" applyAlignment="1">
      <alignment horizontal="center" vertical="center"/>
    </xf>
    <xf numFmtId="0" fontId="0" fillId="14" borderId="129" xfId="19" applyFont="1" applyFill="1" applyBorder="1" applyAlignment="1">
      <alignment horizontal="center" vertical="center"/>
    </xf>
    <xf numFmtId="0" fontId="0" fillId="14" borderId="54" xfId="19" applyFont="1" applyFill="1" applyBorder="1" applyAlignment="1">
      <alignment horizontal="center" vertical="center"/>
    </xf>
    <xf numFmtId="0" fontId="0" fillId="21" borderId="48" xfId="19" applyFont="1" applyFill="1" applyBorder="1" applyAlignment="1">
      <alignment horizontal="center" vertical="center"/>
    </xf>
    <xf numFmtId="0" fontId="0" fillId="14" borderId="115" xfId="19" applyFont="1" applyFill="1" applyBorder="1" applyAlignment="1">
      <alignment horizontal="center" vertical="center"/>
    </xf>
    <xf numFmtId="0" fontId="0" fillId="14" borderId="114" xfId="19" applyFont="1" applyFill="1" applyBorder="1" applyAlignment="1">
      <alignment horizontal="center" vertical="center"/>
    </xf>
    <xf numFmtId="0" fontId="0" fillId="21" borderId="121" xfId="19" applyFont="1" applyFill="1" applyBorder="1" applyAlignment="1">
      <alignment horizontal="center" vertical="center"/>
    </xf>
    <xf numFmtId="0" fontId="0" fillId="21" borderId="137" xfId="19" applyFont="1" applyFill="1" applyBorder="1" applyAlignment="1">
      <alignment horizontal="center" vertical="center"/>
    </xf>
    <xf numFmtId="0" fontId="0" fillId="21" borderId="98" xfId="19" applyFont="1" applyFill="1" applyBorder="1" applyAlignment="1">
      <alignment horizontal="center" vertical="center"/>
    </xf>
    <xf numFmtId="0" fontId="0" fillId="21" borderId="99" xfId="19" applyFont="1" applyFill="1" applyBorder="1" applyAlignment="1">
      <alignment horizontal="center" vertical="center"/>
    </xf>
    <xf numFmtId="0" fontId="0" fillId="21" borderId="138" xfId="19" applyFont="1" applyFill="1" applyBorder="1" applyAlignment="1">
      <alignment horizontal="center" vertical="center"/>
    </xf>
    <xf numFmtId="0" fontId="0" fillId="21" borderId="122" xfId="19" applyFont="1" applyFill="1" applyBorder="1" applyAlignment="1">
      <alignment horizontal="center" vertical="center"/>
    </xf>
    <xf numFmtId="0" fontId="0" fillId="21" borderId="100" xfId="19" applyFont="1" applyFill="1" applyBorder="1" applyAlignment="1">
      <alignment horizontal="center" vertical="center"/>
    </xf>
    <xf numFmtId="0" fontId="0" fillId="21" borderId="101" xfId="19" applyFont="1" applyFill="1" applyBorder="1" applyAlignment="1">
      <alignment horizontal="center" vertical="center"/>
    </xf>
    <xf numFmtId="0" fontId="0" fillId="21" borderId="169" xfId="19" applyFont="1" applyFill="1" applyBorder="1" applyAlignment="1">
      <alignment horizontal="center" vertical="center"/>
    </xf>
    <xf numFmtId="0" fontId="0" fillId="21" borderId="139" xfId="19" applyFont="1" applyFill="1" applyBorder="1" applyAlignment="1">
      <alignment horizontal="center" vertical="center"/>
    </xf>
    <xf numFmtId="0" fontId="15" fillId="0" borderId="81" xfId="19" applyFont="1" applyBorder="1" applyAlignment="1">
      <alignment horizontal="center" vertical="center"/>
    </xf>
    <xf numFmtId="0" fontId="10" fillId="0" borderId="35" xfId="19" applyBorder="1"/>
    <xf numFmtId="16" fontId="0" fillId="0" borderId="73" xfId="19" applyNumberFormat="1" applyFont="1" applyBorder="1" applyAlignment="1">
      <alignment horizontal="center" vertical="center"/>
    </xf>
    <xf numFmtId="0" fontId="10" fillId="0" borderId="110" xfId="19" applyBorder="1"/>
    <xf numFmtId="0" fontId="15" fillId="0" borderId="112" xfId="19" applyFont="1" applyBorder="1" applyAlignment="1">
      <alignment horizontal="center" vertical="center"/>
    </xf>
    <xf numFmtId="0" fontId="0" fillId="21" borderId="172" xfId="19" applyFont="1" applyFill="1" applyBorder="1" applyAlignment="1">
      <alignment horizontal="center" vertical="center"/>
    </xf>
    <xf numFmtId="0" fontId="0" fillId="21" borderId="58" xfId="19" applyFont="1" applyFill="1" applyBorder="1" applyAlignment="1">
      <alignment horizontal="center" vertical="center"/>
    </xf>
    <xf numFmtId="0" fontId="0" fillId="21" borderId="88" xfId="19" applyFont="1" applyFill="1" applyBorder="1" applyAlignment="1">
      <alignment horizontal="center" vertical="center"/>
    </xf>
    <xf numFmtId="0" fontId="15" fillId="0" borderId="80" xfId="19" applyFont="1" applyBorder="1" applyAlignment="1">
      <alignment horizontal="center" vertical="center"/>
    </xf>
    <xf numFmtId="16" fontId="0" fillId="0" borderId="81" xfId="19" applyNumberFormat="1" applyFont="1" applyBorder="1" applyAlignment="1">
      <alignment horizontal="center" vertical="center"/>
    </xf>
    <xf numFmtId="0" fontId="0" fillId="0" borderId="31" xfId="19" applyFont="1" applyBorder="1" applyAlignment="1">
      <alignment horizontal="center" vertical="center"/>
    </xf>
    <xf numFmtId="0" fontId="10" fillId="0" borderId="134" xfId="19" applyBorder="1" applyAlignment="1">
      <alignment horizontal="center"/>
    </xf>
    <xf numFmtId="0" fontId="0" fillId="5" borderId="80" xfId="19" applyFont="1" applyFill="1" applyBorder="1" applyAlignment="1">
      <alignment horizontal="center" vertical="center"/>
    </xf>
    <xf numFmtId="0" fontId="0" fillId="5" borderId="106" xfId="19" applyFont="1" applyFill="1" applyBorder="1" applyAlignment="1">
      <alignment horizontal="center" vertical="center"/>
    </xf>
    <xf numFmtId="0" fontId="14" fillId="0" borderId="29" xfId="19" applyFont="1" applyBorder="1" applyAlignment="1">
      <alignment horizontal="center" vertical="center"/>
    </xf>
    <xf numFmtId="16" fontId="0" fillId="0" borderId="1" xfId="19" applyNumberFormat="1" applyFont="1" applyBorder="1" applyAlignment="1">
      <alignment horizontal="center" vertical="center"/>
    </xf>
    <xf numFmtId="0" fontId="0" fillId="0" borderId="56" xfId="19" applyFont="1" applyBorder="1" applyAlignment="1">
      <alignment horizontal="center" vertical="center"/>
    </xf>
    <xf numFmtId="0" fontId="0" fillId="21" borderId="34" xfId="19" applyFont="1" applyFill="1" applyBorder="1" applyAlignment="1">
      <alignment horizontal="center" vertical="center"/>
    </xf>
    <xf numFmtId="16" fontId="0" fillId="21" borderId="1" xfId="19" applyNumberFormat="1" applyFont="1" applyFill="1" applyBorder="1" applyAlignment="1">
      <alignment horizontal="center" vertical="center"/>
    </xf>
    <xf numFmtId="0" fontId="0" fillId="0" borderId="142" xfId="19" applyFont="1" applyBorder="1" applyAlignment="1">
      <alignment horizontal="center" vertical="center"/>
    </xf>
    <xf numFmtId="0" fontId="0" fillId="6" borderId="1" xfId="19" applyFont="1" applyFill="1" applyBorder="1" applyAlignment="1">
      <alignment horizontal="center" vertical="center"/>
    </xf>
    <xf numFmtId="0" fontId="0" fillId="0" borderId="168" xfId="19" applyFont="1" applyBorder="1" applyAlignment="1">
      <alignment horizontal="center" vertical="center"/>
    </xf>
    <xf numFmtId="0" fontId="0" fillId="0" borderId="173" xfId="19" applyFont="1" applyBorder="1" applyAlignment="1">
      <alignment horizontal="center" vertical="center"/>
    </xf>
    <xf numFmtId="0" fontId="14" fillId="0" borderId="98" xfId="19" applyFont="1" applyBorder="1" applyAlignment="1">
      <alignment horizontal="center" vertical="center"/>
    </xf>
    <xf numFmtId="0" fontId="0" fillId="0" borderId="174" xfId="19" applyFont="1" applyBorder="1" applyAlignment="1">
      <alignment horizontal="center" vertical="center"/>
    </xf>
    <xf numFmtId="0" fontId="15" fillId="0" borderId="75" xfId="19" applyFont="1" applyBorder="1" applyAlignment="1">
      <alignment horizontal="center" vertical="center"/>
    </xf>
    <xf numFmtId="0" fontId="0" fillId="0" borderId="163" xfId="19" applyFont="1" applyBorder="1" applyAlignment="1">
      <alignment horizontal="center" vertical="center"/>
    </xf>
    <xf numFmtId="0" fontId="0" fillId="0" borderId="175" xfId="19" applyFont="1" applyBorder="1" applyAlignment="1">
      <alignment horizontal="center" vertical="center"/>
    </xf>
    <xf numFmtId="0" fontId="10" fillId="0" borderId="1" xfId="19" applyBorder="1" applyAlignment="1">
      <alignment horizontal="center"/>
    </xf>
    <xf numFmtId="0" fontId="0" fillId="0" borderId="143" xfId="19" applyFont="1" applyBorder="1" applyAlignment="1">
      <alignment horizontal="center" vertical="center"/>
    </xf>
    <xf numFmtId="0" fontId="0" fillId="21" borderId="159" xfId="19" applyFont="1" applyFill="1" applyBorder="1" applyAlignment="1">
      <alignment horizontal="center" vertical="center"/>
    </xf>
    <xf numFmtId="0" fontId="0" fillId="21" borderId="158" xfId="19" applyFont="1" applyFill="1" applyBorder="1" applyAlignment="1">
      <alignment horizontal="center" vertical="center"/>
    </xf>
    <xf numFmtId="0" fontId="0" fillId="0" borderId="66" xfId="19" applyFont="1" applyBorder="1" applyAlignment="1">
      <alignment horizontal="center" vertical="center" wrapText="1"/>
    </xf>
    <xf numFmtId="0" fontId="15" fillId="0" borderId="160" xfId="19" applyFont="1" applyBorder="1" applyAlignment="1">
      <alignment horizontal="center" vertical="center"/>
    </xf>
    <xf numFmtId="0" fontId="0" fillId="21" borderId="141" xfId="19" applyFont="1" applyFill="1" applyBorder="1" applyAlignment="1">
      <alignment horizontal="center" vertical="center"/>
    </xf>
    <xf numFmtId="0" fontId="0" fillId="0" borderId="11" xfId="19" applyFont="1" applyBorder="1" applyAlignment="1">
      <alignment horizontal="center" vertical="center"/>
    </xf>
    <xf numFmtId="0" fontId="10" fillId="0" borderId="112" xfId="19" applyBorder="1" applyAlignment="1">
      <alignment horizontal="center"/>
    </xf>
    <xf numFmtId="0" fontId="15" fillId="0" borderId="66" xfId="19" applyFont="1" applyBorder="1" applyAlignment="1">
      <alignment horizontal="center" vertical="center"/>
    </xf>
    <xf numFmtId="0" fontId="15" fillId="0" borderId="90" xfId="19" applyFont="1" applyBorder="1" applyAlignment="1">
      <alignment horizontal="center" vertical="center"/>
    </xf>
    <xf numFmtId="0" fontId="0" fillId="0" borderId="86" xfId="19" applyFont="1" applyBorder="1" applyAlignment="1">
      <alignment horizontal="center" vertical="center" wrapText="1"/>
    </xf>
    <xf numFmtId="16" fontId="0" fillId="0" borderId="110" xfId="19" applyNumberFormat="1" applyFont="1" applyBorder="1" applyAlignment="1">
      <alignment horizontal="center" vertical="center"/>
    </xf>
    <xf numFmtId="0" fontId="10" fillId="0" borderId="126" xfId="19" applyBorder="1"/>
    <xf numFmtId="16" fontId="0" fillId="14" borderId="110" xfId="19" applyNumberFormat="1" applyFont="1" applyFill="1" applyBorder="1" applyAlignment="1">
      <alignment horizontal="center" vertical="center"/>
    </xf>
    <xf numFmtId="0" fontId="14" fillId="14" borderId="109" xfId="19" applyFont="1" applyFill="1" applyBorder="1" applyAlignment="1">
      <alignment horizontal="center" vertical="center"/>
    </xf>
    <xf numFmtId="0" fontId="0" fillId="0" borderId="176" xfId="19" applyFont="1" applyBorder="1" applyAlignment="1">
      <alignment horizontal="center" vertical="center"/>
    </xf>
    <xf numFmtId="0" fontId="0" fillId="0" borderId="107" xfId="19" applyFont="1" applyBorder="1" applyAlignment="1">
      <alignment horizontal="center" vertical="center"/>
    </xf>
    <xf numFmtId="0" fontId="0" fillId="0" borderId="177" xfId="19" applyFont="1" applyBorder="1" applyAlignment="1">
      <alignment horizontal="center" vertical="center"/>
    </xf>
    <xf numFmtId="0" fontId="0" fillId="14" borderId="145" xfId="19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4" fillId="14" borderId="147" xfId="19" applyFont="1" applyFill="1" applyBorder="1" applyAlignment="1">
      <alignment horizontal="center" vertical="center"/>
    </xf>
    <xf numFmtId="16" fontId="0" fillId="0" borderId="147" xfId="19" applyNumberFormat="1" applyFont="1" applyBorder="1" applyAlignment="1">
      <alignment horizontal="center" vertical="center"/>
    </xf>
    <xf numFmtId="0" fontId="0" fillId="0" borderId="22" xfId="19" applyFont="1" applyBorder="1" applyAlignment="1">
      <alignment horizontal="center" vertical="center"/>
    </xf>
    <xf numFmtId="0" fontId="0" fillId="14" borderId="56" xfId="19" applyFont="1" applyFill="1" applyBorder="1" applyAlignment="1">
      <alignment horizontal="center" vertical="center"/>
    </xf>
    <xf numFmtId="0" fontId="0" fillId="0" borderId="39" xfId="19" applyFont="1" applyBorder="1" applyAlignment="1">
      <alignment horizontal="center" vertical="center"/>
    </xf>
    <xf numFmtId="0" fontId="0" fillId="14" borderId="107" xfId="19" applyFont="1" applyFill="1" applyBorder="1" applyAlignment="1">
      <alignment horizontal="center" vertical="center"/>
    </xf>
    <xf numFmtId="0" fontId="0" fillId="14" borderId="100" xfId="19" applyFont="1" applyFill="1" applyBorder="1" applyAlignment="1">
      <alignment horizontal="center" vertical="center"/>
    </xf>
    <xf numFmtId="0" fontId="0" fillId="14" borderId="175" xfId="19" applyFont="1" applyFill="1" applyBorder="1" applyAlignment="1">
      <alignment horizontal="center" vertical="center"/>
    </xf>
    <xf numFmtId="0" fontId="0" fillId="14" borderId="92" xfId="19" applyFont="1" applyFill="1" applyBorder="1" applyAlignment="1">
      <alignment horizontal="center" vertical="center"/>
    </xf>
    <xf numFmtId="0" fontId="0" fillId="14" borderId="178" xfId="19" applyFont="1" applyFill="1" applyBorder="1" applyAlignment="1">
      <alignment horizontal="center" vertical="center"/>
    </xf>
    <xf numFmtId="0" fontId="0" fillId="0" borderId="179" xfId="19" applyFont="1" applyBorder="1" applyAlignment="1">
      <alignment horizontal="center" vertical="center"/>
    </xf>
    <xf numFmtId="0" fontId="10" fillId="0" borderId="28" xfId="19" applyBorder="1" applyAlignment="1">
      <alignment horizontal="center" vertical="center"/>
    </xf>
    <xf numFmtId="0" fontId="0" fillId="0" borderId="180" xfId="19" applyFont="1" applyBorder="1" applyAlignment="1">
      <alignment horizontal="center" vertical="center"/>
    </xf>
    <xf numFmtId="0" fontId="0" fillId="21" borderId="107" xfId="19" applyFont="1" applyFill="1" applyBorder="1" applyAlignment="1">
      <alignment horizontal="center" vertical="center"/>
    </xf>
    <xf numFmtId="0" fontId="0" fillId="21" borderId="177" xfId="19" applyFont="1" applyFill="1" applyBorder="1" applyAlignment="1">
      <alignment horizontal="center" vertical="center"/>
    </xf>
    <xf numFmtId="0" fontId="0" fillId="14" borderId="93" xfId="19" applyFont="1" applyFill="1" applyBorder="1" applyAlignment="1">
      <alignment horizontal="center" vertical="center"/>
    </xf>
    <xf numFmtId="0" fontId="0" fillId="14" borderId="65" xfId="19" applyFont="1" applyFill="1" applyBorder="1" applyAlignment="1">
      <alignment horizontal="center" vertical="center"/>
    </xf>
    <xf numFmtId="0" fontId="0" fillId="14" borderId="66" xfId="19" applyFont="1" applyFill="1" applyBorder="1" applyAlignment="1">
      <alignment horizontal="center" vertical="center"/>
    </xf>
    <xf numFmtId="0" fontId="0" fillId="14" borderId="102" xfId="19" applyFont="1" applyFill="1" applyBorder="1" applyAlignment="1">
      <alignment horizontal="center" vertical="center"/>
    </xf>
    <xf numFmtId="0" fontId="15" fillId="14" borderId="102" xfId="19" applyFont="1" applyFill="1" applyBorder="1" applyAlignment="1">
      <alignment horizontal="center" vertical="center"/>
    </xf>
    <xf numFmtId="0" fontId="14" fillId="14" borderId="1" xfId="19" applyFont="1" applyFill="1" applyBorder="1" applyAlignment="1">
      <alignment horizontal="center" vertical="center"/>
    </xf>
    <xf numFmtId="0" fontId="15" fillId="0" borderId="91" xfId="19" applyFont="1" applyBorder="1" applyAlignment="1">
      <alignment horizontal="center" vertical="center"/>
    </xf>
    <xf numFmtId="16" fontId="0" fillId="0" borderId="87" xfId="19" applyNumberFormat="1" applyFont="1" applyBorder="1" applyAlignment="1">
      <alignment horizontal="center" vertical="center"/>
    </xf>
    <xf numFmtId="0" fontId="0" fillId="14" borderId="28" xfId="19" applyFont="1" applyFill="1" applyBorder="1" applyAlignment="1">
      <alignment horizontal="center" vertical="center"/>
    </xf>
    <xf numFmtId="0" fontId="15" fillId="0" borderId="143" xfId="19" applyFont="1" applyBorder="1" applyAlignment="1">
      <alignment horizontal="center" vertical="center"/>
    </xf>
    <xf numFmtId="0" fontId="0" fillId="14" borderId="98" xfId="19" applyFont="1" applyFill="1" applyBorder="1" applyAlignment="1">
      <alignment horizontal="center" vertical="center"/>
    </xf>
    <xf numFmtId="0" fontId="15" fillId="0" borderId="98" xfId="19" applyFont="1" applyBorder="1" applyAlignment="1">
      <alignment horizontal="center" vertical="center"/>
    </xf>
    <xf numFmtId="0" fontId="15" fillId="14" borderId="71" xfId="19" applyFont="1" applyFill="1" applyBorder="1" applyAlignment="1">
      <alignment horizontal="center" vertical="center"/>
    </xf>
    <xf numFmtId="0" fontId="0" fillId="0" borderId="162" xfId="19" applyFont="1" applyBorder="1" applyAlignment="1">
      <alignment horizontal="center" vertical="center"/>
    </xf>
    <xf numFmtId="0" fontId="15" fillId="0" borderId="47" xfId="19" applyFont="1" applyBorder="1" applyAlignment="1">
      <alignment horizontal="center" vertical="center"/>
    </xf>
    <xf numFmtId="0" fontId="15" fillId="21" borderId="70" xfId="19" applyFont="1" applyFill="1" applyBorder="1" applyAlignment="1">
      <alignment horizontal="center" vertical="center"/>
    </xf>
    <xf numFmtId="0" fontId="0" fillId="14" borderId="22" xfId="19" applyFont="1" applyFill="1" applyBorder="1" applyAlignment="1">
      <alignment horizontal="center" vertical="center"/>
    </xf>
    <xf numFmtId="0" fontId="0" fillId="0" borderId="40" xfId="19" applyFont="1" applyBorder="1" applyAlignment="1">
      <alignment horizontal="center" vertical="center"/>
    </xf>
    <xf numFmtId="0" fontId="0" fillId="14" borderId="40" xfId="19" applyFont="1" applyFill="1" applyBorder="1" applyAlignment="1">
      <alignment horizontal="center" vertical="center"/>
    </xf>
    <xf numFmtId="0" fontId="0" fillId="14" borderId="26" xfId="19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21" borderId="66" xfId="19" applyFont="1" applyFill="1" applyBorder="1" applyAlignment="1">
      <alignment horizontal="center" vertical="center"/>
    </xf>
    <xf numFmtId="0" fontId="0" fillId="19" borderId="1" xfId="19" applyFont="1" applyFill="1" applyBorder="1" applyAlignment="1">
      <alignment horizontal="center" vertical="center"/>
    </xf>
    <xf numFmtId="0" fontId="0" fillId="14" borderId="83" xfId="19" applyFont="1" applyFill="1" applyBorder="1" applyAlignment="1">
      <alignment horizontal="center" vertical="center"/>
    </xf>
    <xf numFmtId="0" fontId="9" fillId="0" borderId="0" xfId="0" applyFont="1" applyAlignment="1"/>
    <xf numFmtId="171" fontId="0" fillId="6" borderId="1" xfId="0" applyNumberFormat="1" applyFill="1" applyBorder="1">
      <alignment vertical="center"/>
    </xf>
    <xf numFmtId="0" fontId="0" fillId="6" borderId="0" xfId="0" applyFill="1">
      <alignment vertical="center"/>
    </xf>
    <xf numFmtId="0" fontId="0" fillId="3" borderId="0" xfId="0" applyFill="1">
      <alignment vertical="center"/>
    </xf>
    <xf numFmtId="0" fontId="18" fillId="6" borderId="0" xfId="0" applyFont="1" applyFill="1">
      <alignment vertical="center"/>
    </xf>
    <xf numFmtId="0" fontId="0" fillId="6" borderId="1" xfId="0" applyFill="1" applyBorder="1">
      <alignment vertical="center"/>
    </xf>
    <xf numFmtId="17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1" fontId="9" fillId="0" borderId="0" xfId="0" applyNumberFormat="1" applyFont="1" applyAlignment="1"/>
    <xf numFmtId="0" fontId="20" fillId="0" borderId="0" xfId="13" applyFont="1" applyAlignment="1">
      <alignment horizontal="center" vertical="center"/>
    </xf>
    <xf numFmtId="171" fontId="9" fillId="0" borderId="0" xfId="0" applyNumberFormat="1" applyFont="1" applyAlignment="1">
      <alignment horizontal="center"/>
    </xf>
    <xf numFmtId="171" fontId="21" fillId="0" borderId="21" xfId="0" applyNumberFormat="1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166" fontId="21" fillId="0" borderId="21" xfId="0" applyNumberFormat="1" applyFont="1" applyBorder="1" applyAlignment="1">
      <alignment horizontal="center" vertical="center" wrapText="1"/>
    </xf>
    <xf numFmtId="0" fontId="21" fillId="0" borderId="21" xfId="0" applyFont="1" applyBorder="1" applyAlignment="1">
      <alignment vertical="center" wrapText="1"/>
    </xf>
    <xf numFmtId="171" fontId="22" fillId="0" borderId="18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166" fontId="23" fillId="0" borderId="18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vertical="center" wrapText="1"/>
    </xf>
    <xf numFmtId="171" fontId="21" fillId="0" borderId="18" xfId="0" applyNumberFormat="1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166" fontId="21" fillId="0" borderId="18" xfId="0" applyNumberFormat="1" applyFont="1" applyBorder="1" applyAlignment="1">
      <alignment horizontal="center" vertical="top" wrapText="1"/>
    </xf>
    <xf numFmtId="0" fontId="22" fillId="22" borderId="21" xfId="11" applyFont="1" applyFill="1" applyBorder="1" applyAlignment="1">
      <alignment horizontal="center" vertical="center" wrapText="1"/>
    </xf>
    <xf numFmtId="0" fontId="21" fillId="6" borderId="54" xfId="0" applyFont="1" applyFill="1" applyBorder="1" applyAlignment="1">
      <alignment vertical="center" wrapText="1"/>
    </xf>
    <xf numFmtId="0" fontId="21" fillId="6" borderId="54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top" wrapText="1"/>
    </xf>
    <xf numFmtId="166" fontId="21" fillId="6" borderId="1" xfId="0" applyNumberFormat="1" applyFont="1" applyFill="1" applyBorder="1" applyAlignment="1">
      <alignment horizontal="center" vertical="top" wrapText="1"/>
    </xf>
    <xf numFmtId="0" fontId="22" fillId="6" borderId="1" xfId="11" applyFont="1" applyFill="1" applyBorder="1" applyAlignment="1">
      <alignment horizontal="center" vertical="center" wrapText="1"/>
    </xf>
    <xf numFmtId="171" fontId="21" fillId="6" borderId="1" xfId="0" applyNumberFormat="1" applyFont="1" applyFill="1" applyBorder="1" applyAlignment="1">
      <alignment horizontal="center" vertical="top" wrapText="1"/>
    </xf>
    <xf numFmtId="0" fontId="21" fillId="6" borderId="37" xfId="0" applyFont="1" applyFill="1" applyBorder="1" applyAlignment="1">
      <alignment horizontal="center" vertical="top" wrapText="1"/>
    </xf>
    <xf numFmtId="166" fontId="21" fillId="6" borderId="52" xfId="0" applyNumberFormat="1" applyFont="1" applyFill="1" applyBorder="1" applyAlignment="1">
      <alignment horizontal="center" vertical="top" wrapText="1"/>
    </xf>
    <xf numFmtId="0" fontId="21" fillId="6" borderId="52" xfId="0" applyFont="1" applyFill="1" applyBorder="1" applyAlignment="1">
      <alignment horizontal="center" vertical="top" wrapText="1"/>
    </xf>
    <xf numFmtId="0" fontId="22" fillId="6" borderId="52" xfId="11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/>
    </xf>
    <xf numFmtId="49" fontId="7" fillId="0" borderId="145" xfId="12" applyNumberFormat="1" applyFont="1" applyBorder="1" applyAlignment="1">
      <alignment horizontal="center" vertical="center"/>
    </xf>
    <xf numFmtId="166" fontId="6" fillId="0" borderId="52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49" fontId="7" fillId="0" borderId="37" xfId="12" applyNumberFormat="1" applyFont="1" applyBorder="1" applyAlignment="1">
      <alignment horizontal="center" vertical="center"/>
    </xf>
    <xf numFmtId="171" fontId="0" fillId="0" borderId="54" xfId="0" applyNumberForma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21" fillId="22" borderId="43" xfId="11" applyNumberFormat="1" applyFont="1" applyFill="1" applyBorder="1" applyAlignment="1">
      <alignment horizontal="center" vertical="center"/>
    </xf>
    <xf numFmtId="172" fontId="22" fillId="22" borderId="21" xfId="11" applyNumberFormat="1" applyFont="1" applyFill="1" applyBorder="1" applyAlignment="1">
      <alignment horizontal="center" vertical="center" wrapText="1"/>
    </xf>
    <xf numFmtId="172" fontId="22" fillId="22" borderId="18" xfId="11" applyNumberFormat="1" applyFont="1" applyFill="1" applyBorder="1" applyAlignment="1">
      <alignment horizontal="center" vertical="center" wrapText="1"/>
    </xf>
    <xf numFmtId="2" fontId="22" fillId="22" borderId="21" xfId="11" applyNumberFormat="1" applyFont="1" applyFill="1" applyBorder="1" applyAlignment="1">
      <alignment horizontal="center" vertical="center" wrapText="1"/>
    </xf>
    <xf numFmtId="172" fontId="22" fillId="6" borderId="1" xfId="11" applyNumberFormat="1" applyFont="1" applyFill="1" applyBorder="1" applyAlignment="1">
      <alignment horizontal="center" vertical="center" wrapText="1"/>
    </xf>
    <xf numFmtId="2" fontId="22" fillId="6" borderId="1" xfId="11" applyNumberFormat="1" applyFont="1" applyFill="1" applyBorder="1" applyAlignment="1">
      <alignment horizontal="center" vertical="center" wrapText="1"/>
    </xf>
    <xf numFmtId="0" fontId="22" fillId="6" borderId="0" xfId="11" applyFont="1" applyFill="1" applyAlignment="1">
      <alignment horizontal="center" vertical="center" wrapText="1"/>
    </xf>
    <xf numFmtId="172" fontId="22" fillId="6" borderId="52" xfId="11" applyNumberFormat="1" applyFont="1" applyFill="1" applyBorder="1" applyAlignment="1">
      <alignment horizontal="center" vertical="center" wrapText="1"/>
    </xf>
    <xf numFmtId="2" fontId="22" fillId="6" borderId="52" xfId="11" applyNumberFormat="1" applyFont="1" applyFill="1" applyBorder="1" applyAlignment="1">
      <alignment horizontal="center" vertical="center" wrapText="1"/>
    </xf>
    <xf numFmtId="178" fontId="0" fillId="0" borderId="52" xfId="0" applyNumberForma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1" fillId="22" borderId="43" xfId="11" applyFont="1" applyFill="1" applyBorder="1" applyAlignment="1">
      <alignment horizontal="center" vertical="center"/>
    </xf>
    <xf numFmtId="169" fontId="22" fillId="22" borderId="43" xfId="1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4" borderId="120" xfId="0" applyFont="1" applyFill="1" applyBorder="1">
      <alignment vertical="center"/>
    </xf>
    <xf numFmtId="0" fontId="9" fillId="4" borderId="51" xfId="0" applyFont="1" applyFill="1" applyBorder="1">
      <alignment vertical="center"/>
    </xf>
    <xf numFmtId="0" fontId="9" fillId="6" borderId="1" xfId="0" applyFont="1" applyFill="1" applyBorder="1">
      <alignment vertical="center"/>
    </xf>
    <xf numFmtId="0" fontId="9" fillId="6" borderId="52" xfId="0" applyFont="1" applyFill="1" applyBorder="1">
      <alignment vertical="center"/>
    </xf>
    <xf numFmtId="0" fontId="9" fillId="0" borderId="136" xfId="0" applyFont="1" applyBorder="1" applyAlignment="1"/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/>
    <xf numFmtId="0" fontId="9" fillId="6" borderId="52" xfId="0" applyFont="1" applyFill="1" applyBorder="1" applyAlignment="1">
      <alignment horizontal="center" vertical="center"/>
    </xf>
    <xf numFmtId="0" fontId="9" fillId="6" borderId="0" xfId="0" applyFont="1" applyFill="1" applyAlignment="1"/>
    <xf numFmtId="49" fontId="0" fillId="0" borderId="0" xfId="0" applyNumberFormat="1" applyAlignment="1">
      <alignment horizontal="center" vertical="center"/>
    </xf>
    <xf numFmtId="178" fontId="0" fillId="0" borderId="54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49" fontId="0" fillId="0" borderId="52" xfId="0" applyNumberFormat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0" fillId="0" borderId="40" xfId="0" applyBorder="1" applyAlignment="1">
      <alignment horizontal="center" vertical="center"/>
    </xf>
    <xf numFmtId="178" fontId="0" fillId="0" borderId="40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71" fontId="0" fillId="0" borderId="115" xfId="0" applyNumberFormat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171" fontId="0" fillId="0" borderId="1" xfId="0" applyNumberFormat="1" applyBorder="1">
      <alignment vertical="center"/>
    </xf>
    <xf numFmtId="171" fontId="0" fillId="6" borderId="1" xfId="0" applyNumberFormat="1" applyFill="1" applyBorder="1" applyAlignment="1">
      <alignment horizontal="center" vertical="center"/>
    </xf>
    <xf numFmtId="171" fontId="25" fillId="6" borderId="1" xfId="0" applyNumberFormat="1" applyFont="1" applyFill="1" applyBorder="1" applyAlignment="1">
      <alignment horizontal="center" vertical="center"/>
    </xf>
    <xf numFmtId="171" fontId="0" fillId="0" borderId="129" xfId="0" applyNumberFormat="1" applyBorder="1" applyAlignment="1">
      <alignment horizontal="center" vertical="center"/>
    </xf>
    <xf numFmtId="0" fontId="14" fillId="3" borderId="52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3" fontId="0" fillId="13" borderId="52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171" fontId="0" fillId="6" borderId="54" xfId="0" applyNumberForma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2" fontId="0" fillId="14" borderId="51" xfId="0" applyNumberFormat="1" applyFill="1" applyBorder="1" applyAlignment="1">
      <alignment horizontal="center" vertical="center"/>
    </xf>
    <xf numFmtId="3" fontId="0" fillId="0" borderId="51" xfId="0" applyNumberFormat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51" xfId="0" applyNumberFormat="1" applyBorder="1" applyAlignment="1">
      <alignment horizontal="center" vertical="center"/>
    </xf>
    <xf numFmtId="2" fontId="0" fillId="14" borderId="52" xfId="0" applyNumberFormat="1" applyFill="1" applyBorder="1" applyAlignment="1">
      <alignment horizontal="center" vertical="center"/>
    </xf>
    <xf numFmtId="178" fontId="0" fillId="0" borderId="37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178" fontId="0" fillId="6" borderId="40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29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87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51" xfId="0" applyBorder="1">
      <alignment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7" fontId="0" fillId="6" borderId="1" xfId="0" applyNumberFormat="1" applyFill="1" applyBorder="1" applyAlignment="1">
      <alignment horizontal="center" vertical="center"/>
    </xf>
    <xf numFmtId="2" fontId="27" fillId="14" borderId="1" xfId="0" applyNumberFormat="1" applyFont="1" applyFill="1" applyBorder="1" applyAlignment="1">
      <alignment horizontal="center" vertical="center"/>
    </xf>
    <xf numFmtId="178" fontId="0" fillId="23" borderId="51" xfId="0" applyNumberFormat="1" applyFill="1" applyBorder="1" applyAlignment="1">
      <alignment horizontal="center" vertical="center"/>
    </xf>
    <xf numFmtId="178" fontId="0" fillId="23" borderId="52" xfId="0" applyNumberForma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3" fontId="0" fillId="23" borderId="1" xfId="0" applyNumberForma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3" fontId="15" fillId="23" borderId="1" xfId="0" applyNumberFormat="1" applyFont="1" applyFill="1" applyBorder="1" applyAlignment="1">
      <alignment horizontal="center" vertical="center"/>
    </xf>
    <xf numFmtId="2" fontId="27" fillId="6" borderId="1" xfId="0" applyNumberFormat="1" applyFont="1" applyFill="1" applyBorder="1" applyAlignment="1">
      <alignment horizontal="center" vertical="center"/>
    </xf>
    <xf numFmtId="2" fontId="27" fillId="23" borderId="1" xfId="0" applyNumberFormat="1" applyFont="1" applyFill="1" applyBorder="1" applyAlignment="1">
      <alignment horizontal="center" vertical="center"/>
    </xf>
    <xf numFmtId="17" fontId="0" fillId="23" borderId="1" xfId="0" applyNumberFormat="1" applyFill="1" applyBorder="1" applyAlignment="1">
      <alignment horizontal="center" vertical="center"/>
    </xf>
    <xf numFmtId="178" fontId="0" fillId="23" borderId="40" xfId="0" applyNumberFormat="1" applyFill="1" applyBorder="1" applyAlignment="1">
      <alignment horizontal="center" vertical="center"/>
    </xf>
    <xf numFmtId="178" fontId="0" fillId="23" borderId="1" xfId="0" applyNumberFormat="1" applyFill="1" applyBorder="1" applyAlignment="1">
      <alignment horizontal="center" vertical="center"/>
    </xf>
    <xf numFmtId="3" fontId="0" fillId="20" borderId="1" xfId="0" applyNumberFormat="1" applyFill="1" applyBorder="1" applyAlignment="1">
      <alignment horizontal="center" vertical="center"/>
    </xf>
    <xf numFmtId="2" fontId="28" fillId="23" borderId="1" xfId="0" applyNumberFormat="1" applyFont="1" applyFill="1" applyBorder="1" applyAlignment="1">
      <alignment horizontal="center" vertical="center"/>
    </xf>
    <xf numFmtId="17" fontId="15" fillId="23" borderId="1" xfId="0" applyNumberFormat="1" applyFont="1" applyFill="1" applyBorder="1" applyAlignment="1">
      <alignment horizontal="center" vertical="center"/>
    </xf>
    <xf numFmtId="178" fontId="15" fillId="23" borderId="40" xfId="0" applyNumberFormat="1" applyFont="1" applyFill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2" fontId="0" fillId="23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3" borderId="1" xfId="0" applyFill="1" applyBorder="1">
      <alignment vertical="center"/>
    </xf>
    <xf numFmtId="169" fontId="0" fillId="14" borderId="1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>
      <alignment vertical="center"/>
    </xf>
    <xf numFmtId="0" fontId="0" fillId="6" borderId="34" xfId="0" applyFill="1" applyBorder="1" applyAlignment="1">
      <alignment horizontal="center" vertical="center"/>
    </xf>
    <xf numFmtId="18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2" fontId="14" fillId="14" borderId="1" xfId="0" applyNumberFormat="1" applyFont="1" applyFill="1" applyBorder="1" applyAlignment="1">
      <alignment horizontal="center" vertical="center"/>
    </xf>
    <xf numFmtId="17" fontId="27" fillId="6" borderId="1" xfId="0" applyNumberFormat="1" applyFont="1" applyFill="1" applyBorder="1" applyAlignment="1">
      <alignment horizontal="center" vertical="center"/>
    </xf>
    <xf numFmtId="171" fontId="0" fillId="0" borderId="188" xfId="0" applyNumberFormat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0" borderId="154" xfId="0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71" fontId="0" fillId="6" borderId="188" xfId="0" applyNumberFormat="1" applyFill="1" applyBorder="1" applyAlignment="1">
      <alignment horizontal="center" vertical="center"/>
    </xf>
    <xf numFmtId="0" fontId="0" fillId="6" borderId="154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40" xfId="0" applyNumberFormat="1" applyFill="1" applyBorder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 wrapText="1"/>
    </xf>
    <xf numFmtId="184" fontId="0" fillId="6" borderId="1" xfId="0" applyNumberFormat="1" applyFill="1" applyBorder="1" applyAlignment="1">
      <alignment horizontal="center" vertical="center"/>
    </xf>
    <xf numFmtId="2" fontId="27" fillId="14" borderId="1" xfId="0" applyNumberFormat="1" applyFont="1" applyFill="1" applyBorder="1" applyAlignment="1">
      <alignment horizontal="center" vertical="center" wrapText="1"/>
    </xf>
    <xf numFmtId="2" fontId="0" fillId="0" borderId="51" xfId="0" applyNumberFormat="1" applyBorder="1" applyAlignment="1">
      <alignment horizontal="center" vertical="center"/>
    </xf>
    <xf numFmtId="0" fontId="31" fillId="6" borderId="52" xfId="0" applyFont="1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40" xfId="0" applyNumberFormat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/>
    </xf>
    <xf numFmtId="186" fontId="0" fillId="0" borderId="40" xfId="0" applyNumberFormat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178" fontId="0" fillId="6" borderId="54" xfId="0" applyNumberFormat="1" applyFill="1" applyBorder="1" applyAlignment="1">
      <alignment horizontal="center" vertical="center"/>
    </xf>
    <xf numFmtId="2" fontId="0" fillId="6" borderId="54" xfId="0" applyNumberFormat="1" applyFill="1" applyBorder="1" applyAlignment="1">
      <alignment horizontal="center" vertical="center"/>
    </xf>
    <xf numFmtId="171" fontId="9" fillId="0" borderId="189" xfId="0" applyNumberFormat="1" applyFont="1" applyBorder="1" applyAlignment="1">
      <alignment horizontal="center" vertical="center"/>
    </xf>
    <xf numFmtId="171" fontId="9" fillId="0" borderId="188" xfId="0" applyNumberFormat="1" applyFont="1" applyBorder="1" applyAlignment="1">
      <alignment horizontal="center" vertical="center"/>
    </xf>
    <xf numFmtId="171" fontId="9" fillId="6" borderId="188" xfId="0" applyNumberFormat="1" applyFont="1" applyFill="1" applyBorder="1" applyAlignment="1">
      <alignment horizontal="center" vertical="center"/>
    </xf>
    <xf numFmtId="49" fontId="0" fillId="6" borderId="37" xfId="0" applyNumberFormat="1" applyFill="1" applyBorder="1" applyAlignment="1">
      <alignment horizontal="center" vertical="center"/>
    </xf>
    <xf numFmtId="171" fontId="9" fillId="6" borderId="54" xfId="0" applyNumberFormat="1" applyFont="1" applyFill="1" applyBorder="1" applyAlignment="1">
      <alignment horizontal="center" vertical="center"/>
    </xf>
    <xf numFmtId="171" fontId="9" fillId="0" borderId="54" xfId="0" applyNumberFormat="1" applyFont="1" applyBorder="1" applyAlignment="1">
      <alignment horizontal="center" vertical="center"/>
    </xf>
    <xf numFmtId="184" fontId="0" fillId="0" borderId="0" xfId="0" applyNumberFormat="1">
      <alignment vertical="center"/>
    </xf>
    <xf numFmtId="0" fontId="9" fillId="0" borderId="52" xfId="0" applyFont="1" applyBorder="1" applyAlignment="1">
      <alignment horizontal="center" vertical="center"/>
    </xf>
    <xf numFmtId="49" fontId="9" fillId="0" borderId="52" xfId="0" applyNumberFormat="1" applyFont="1" applyBorder="1" applyAlignment="1">
      <alignment horizontal="center" vertical="center"/>
    </xf>
    <xf numFmtId="49" fontId="9" fillId="6" borderId="52" xfId="0" applyNumberFormat="1" applyFont="1" applyFill="1" applyBorder="1" applyAlignment="1">
      <alignment horizontal="center" vertical="center"/>
    </xf>
    <xf numFmtId="171" fontId="32" fillId="3" borderId="54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1" fontId="9" fillId="25" borderId="54" xfId="0" applyNumberFormat="1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8" fontId="0" fillId="13" borderId="1" xfId="0" applyNumberFormat="1" applyFill="1" applyBorder="1" applyAlignment="1">
      <alignment horizontal="center" vertical="center"/>
    </xf>
    <xf numFmtId="0" fontId="18" fillId="0" borderId="0" xfId="0" applyFont="1">
      <alignment vertical="center"/>
    </xf>
    <xf numFmtId="171" fontId="34" fillId="25" borderId="54" xfId="0" applyNumberFormat="1" applyFont="1" applyFill="1" applyBorder="1" applyAlignment="1">
      <alignment horizontal="center" vertical="center"/>
    </xf>
    <xf numFmtId="0" fontId="35" fillId="25" borderId="1" xfId="0" applyFont="1" applyFill="1" applyBorder="1" applyAlignment="1">
      <alignment horizontal="center" vertical="center"/>
    </xf>
    <xf numFmtId="49" fontId="18" fillId="6" borderId="37" xfId="0" applyNumberFormat="1" applyFont="1" applyFill="1" applyBorder="1" applyAlignment="1">
      <alignment horizontal="center" vertical="center"/>
    </xf>
    <xf numFmtId="166" fontId="18" fillId="6" borderId="52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52" xfId="0" applyBorder="1" applyAlignment="1">
      <alignment horizontal="center" vertical="center" wrapText="1"/>
    </xf>
    <xf numFmtId="178" fontId="18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0" fillId="0" borderId="51" xfId="0" applyBorder="1" applyAlignment="1"/>
    <xf numFmtId="0" fontId="0" fillId="14" borderId="1" xfId="0" applyFill="1" applyBorder="1" applyAlignment="1"/>
    <xf numFmtId="0" fontId="0" fillId="0" borderId="0" xfId="0" applyAlignment="1"/>
    <xf numFmtId="0" fontId="0" fillId="0" borderId="51" xfId="0" applyBorder="1" applyAlignment="1">
      <alignment horizontal="center"/>
    </xf>
    <xf numFmtId="183" fontId="0" fillId="0" borderId="1" xfId="0" applyNumberFormat="1" applyBorder="1" applyAlignment="1">
      <alignment horizontal="center" vertical="center"/>
    </xf>
    <xf numFmtId="17" fontId="14" fillId="25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6" fontId="0" fillId="6" borderId="34" xfId="0" applyNumberFormat="1" applyFill="1" applyBorder="1" applyAlignment="1">
      <alignment horizontal="center" vertical="center"/>
    </xf>
    <xf numFmtId="176" fontId="18" fillId="6" borderId="1" xfId="0" applyNumberFormat="1" applyFon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83" fontId="18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0" fillId="7" borderId="51" xfId="0" applyFill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171" fontId="0" fillId="6" borderId="129" xfId="0" applyNumberFormat="1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13" borderId="52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0" borderId="0" xfId="0" applyFill="1">
      <alignment vertical="center"/>
    </xf>
    <xf numFmtId="178" fontId="0" fillId="12" borderId="1" xfId="0" applyNumberFormat="1" applyFill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0" fontId="0" fillId="21" borderId="51" xfId="0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186" fontId="0" fillId="6" borderId="1" xfId="0" applyNumberFormat="1" applyFill="1" applyBorder="1" applyAlignment="1">
      <alignment horizontal="center" vertical="center"/>
    </xf>
    <xf numFmtId="0" fontId="0" fillId="27" borderId="52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65" fontId="0" fillId="6" borderId="54" xfId="0" applyNumberFormat="1" applyFill="1" applyBorder="1" applyAlignment="1">
      <alignment horizontal="center" vertical="center"/>
    </xf>
    <xf numFmtId="2" fontId="37" fillId="6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2" fontId="39" fillId="9" borderId="1" xfId="0" applyNumberFormat="1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9" fontId="0" fillId="29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1" fontId="9" fillId="0" borderId="1" xfId="0" applyNumberFormat="1" applyFont="1" applyBorder="1" applyAlignment="1">
      <alignment horizontal="center" vertical="center"/>
    </xf>
    <xf numFmtId="171" fontId="9" fillId="6" borderId="1" xfId="0" applyNumberFormat="1" applyFont="1" applyFill="1" applyBorder="1" applyAlignment="1">
      <alignment horizontal="center" vertical="center"/>
    </xf>
    <xf numFmtId="49" fontId="0" fillId="6" borderId="54" xfId="0" applyNumberFormat="1" applyFill="1" applyBorder="1" applyAlignment="1">
      <alignment horizontal="center" vertical="center"/>
    </xf>
    <xf numFmtId="171" fontId="9" fillId="6" borderId="52" xfId="0" applyNumberFormat="1" applyFont="1" applyFill="1" applyBorder="1" applyAlignment="1">
      <alignment horizontal="center" vertical="center"/>
    </xf>
    <xf numFmtId="166" fontId="0" fillId="6" borderId="52" xfId="0" applyNumberFormat="1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6" borderId="52" xfId="0" applyNumberFormat="1" applyFill="1" applyBorder="1" applyAlignment="1">
      <alignment horizontal="center" vertical="center" wrapText="1"/>
    </xf>
    <xf numFmtId="174" fontId="0" fillId="6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2" fontId="0" fillId="6" borderId="52" xfId="0" applyNumberFormat="1" applyFill="1" applyBorder="1" applyAlignment="1">
      <alignment horizontal="center" vertical="center"/>
    </xf>
    <xf numFmtId="178" fontId="0" fillId="6" borderId="37" xfId="0" applyNumberFormat="1" applyFill="1" applyBorder="1" applyAlignment="1">
      <alignment horizontal="center" vertical="center"/>
    </xf>
    <xf numFmtId="176" fontId="0" fillId="6" borderId="129" xfId="0" applyNumberFormat="1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18" borderId="1" xfId="0" applyFill="1" applyBorder="1">
      <alignment vertical="center"/>
    </xf>
    <xf numFmtId="178" fontId="0" fillId="6" borderId="187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49" fontId="0" fillId="0" borderId="54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5" fillId="16" borderId="115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16" borderId="113" xfId="0" applyFont="1" applyFill="1" applyBorder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15" fillId="16" borderId="129" xfId="0" applyFont="1" applyFill="1" applyBorder="1" applyAlignment="1">
      <alignment horizontal="center" vertical="center"/>
    </xf>
    <xf numFmtId="0" fontId="15" fillId="23" borderId="37" xfId="0" applyFont="1" applyFill="1" applyBorder="1" applyAlignment="1">
      <alignment horizontal="center" vertical="center"/>
    </xf>
    <xf numFmtId="0" fontId="15" fillId="23" borderId="35" xfId="0" applyFont="1" applyFill="1" applyBorder="1" applyAlignment="1">
      <alignment horizontal="center" vertical="center"/>
    </xf>
    <xf numFmtId="0" fontId="15" fillId="23" borderId="186" xfId="0" applyFont="1" applyFill="1" applyBorder="1" applyAlignment="1">
      <alignment horizontal="center" vertical="center"/>
    </xf>
    <xf numFmtId="0" fontId="15" fillId="23" borderId="187" xfId="0" applyFont="1" applyFill="1" applyBorder="1" applyAlignment="1">
      <alignment horizontal="center" vertical="center"/>
    </xf>
    <xf numFmtId="171" fontId="9" fillId="0" borderId="51" xfId="0" applyNumberFormat="1" applyFont="1" applyBorder="1" applyAlignment="1">
      <alignment horizontal="center" vertical="center"/>
    </xf>
    <xf numFmtId="0" fontId="0" fillId="30" borderId="51" xfId="0" applyFill="1" applyBorder="1" applyAlignment="1">
      <alignment horizontal="center" vertical="center"/>
    </xf>
    <xf numFmtId="0" fontId="0" fillId="16" borderId="51" xfId="0" applyFill="1" applyBorder="1" applyAlignment="1">
      <alignment horizontal="center" vertical="center"/>
    </xf>
    <xf numFmtId="171" fontId="9" fillId="0" borderId="52" xfId="0" applyNumberFormat="1" applyFont="1" applyBorder="1" applyAlignment="1">
      <alignment horizontal="center" vertical="center"/>
    </xf>
    <xf numFmtId="0" fontId="0" fillId="16" borderId="52" xfId="0" applyFill="1" applyBorder="1" applyAlignment="1">
      <alignment horizontal="center" vertical="center"/>
    </xf>
    <xf numFmtId="0" fontId="0" fillId="16" borderId="52" xfId="0" applyFill="1" applyBorder="1">
      <alignment vertical="center"/>
    </xf>
    <xf numFmtId="0" fontId="0" fillId="16" borderId="1" xfId="0" applyFill="1" applyBorder="1">
      <alignment vertical="center"/>
    </xf>
    <xf numFmtId="165" fontId="0" fillId="6" borderId="52" xfId="0" applyNumberFormat="1" applyFill="1" applyBorder="1" applyAlignment="1">
      <alignment horizontal="center" vertical="center"/>
    </xf>
    <xf numFmtId="0" fontId="0" fillId="6" borderId="52" xfId="0" applyFill="1" applyBorder="1">
      <alignment vertical="center"/>
    </xf>
    <xf numFmtId="171" fontId="32" fillId="6" borderId="52" xfId="0" applyNumberFormat="1" applyFont="1" applyFill="1" applyBorder="1" applyAlignment="1">
      <alignment horizontal="center" vertical="center"/>
    </xf>
    <xf numFmtId="0" fontId="33" fillId="6" borderId="52" xfId="0" applyFont="1" applyFill="1" applyBorder="1" applyAlignment="1">
      <alignment horizontal="center" vertical="center"/>
    </xf>
    <xf numFmtId="0" fontId="0" fillId="31" borderId="52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1" borderId="52" xfId="0" applyFill="1" applyBorder="1">
      <alignment vertical="center"/>
    </xf>
    <xf numFmtId="0" fontId="0" fillId="31" borderId="1" xfId="0" applyFill="1" applyBorder="1">
      <alignment vertical="center"/>
    </xf>
    <xf numFmtId="178" fontId="0" fillId="0" borderId="59" xfId="0" applyNumberFormat="1" applyBorder="1" applyAlignment="1">
      <alignment horizontal="center" vertical="center"/>
    </xf>
    <xf numFmtId="178" fontId="0" fillId="6" borderId="51" xfId="0" applyNumberFormat="1" applyFill="1" applyBorder="1" applyAlignment="1">
      <alignment horizontal="center" vertical="center"/>
    </xf>
    <xf numFmtId="178" fontId="0" fillId="6" borderId="52" xfId="0" applyNumberFormat="1" applyFill="1" applyBorder="1" applyAlignment="1">
      <alignment horizontal="center" vertical="center"/>
    </xf>
    <xf numFmtId="2" fontId="0" fillId="31" borderId="1" xfId="0" applyNumberFormat="1" applyFill="1" applyBorder="1" applyAlignment="1">
      <alignment horizontal="center" vertical="center" wrapText="1"/>
    </xf>
    <xf numFmtId="0" fontId="0" fillId="31" borderId="0" xfId="0" applyFill="1">
      <alignment vertical="center"/>
    </xf>
    <xf numFmtId="165" fontId="0" fillId="23" borderId="52" xfId="0" applyNumberFormat="1" applyFill="1" applyBorder="1" applyAlignment="1">
      <alignment horizontal="center" vertical="center"/>
    </xf>
    <xf numFmtId="0" fontId="0" fillId="23" borderId="52" xfId="0" applyFill="1" applyBorder="1" applyAlignment="1">
      <alignment horizontal="center" vertical="center"/>
    </xf>
    <xf numFmtId="2" fontId="0" fillId="23" borderId="52" xfId="0" applyNumberFormat="1" applyFill="1" applyBorder="1" applyAlignment="1">
      <alignment horizontal="center" vertical="center"/>
    </xf>
    <xf numFmtId="2" fontId="0" fillId="23" borderId="52" xfId="0" applyNumberFormat="1" applyFill="1" applyBorder="1" applyAlignment="1">
      <alignment horizontal="center" vertical="center" wrapText="1"/>
    </xf>
    <xf numFmtId="0" fontId="9" fillId="0" borderId="51" xfId="0" applyFont="1" applyBorder="1" applyAlignment="1">
      <alignment horizontal="center"/>
    </xf>
    <xf numFmtId="2" fontId="0" fillId="14" borderId="52" xfId="0" applyNumberFormat="1" applyFill="1" applyBorder="1" applyAlignment="1">
      <alignment horizontal="center" vertical="center" wrapText="1"/>
    </xf>
    <xf numFmtId="0" fontId="0" fillId="23" borderId="52" xfId="0" applyFill="1" applyBorder="1">
      <alignment vertical="center"/>
    </xf>
    <xf numFmtId="178" fontId="0" fillId="31" borderId="52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178" fontId="0" fillId="13" borderId="52" xfId="0" applyNumberFormat="1" applyFill="1" applyBorder="1" applyAlignment="1">
      <alignment horizontal="center" vertical="center"/>
    </xf>
    <xf numFmtId="2" fontId="0" fillId="31" borderId="1" xfId="0" applyNumberFormat="1" applyFill="1" applyBorder="1" applyAlignment="1">
      <alignment horizontal="center" vertical="center"/>
    </xf>
    <xf numFmtId="2" fontId="0" fillId="31" borderId="52" xfId="0" applyNumberFormat="1" applyFill="1" applyBorder="1" applyAlignment="1">
      <alignment horizontal="center" vertical="center"/>
    </xf>
    <xf numFmtId="2" fontId="0" fillId="13" borderId="52" xfId="0" applyNumberFormat="1" applyFill="1" applyBorder="1" applyAlignment="1">
      <alignment horizontal="center" vertical="center"/>
    </xf>
    <xf numFmtId="16" fontId="0" fillId="0" borderId="52" xfId="0" applyNumberFormat="1" applyBorder="1" applyAlignment="1">
      <alignment horizontal="center" vertical="center"/>
    </xf>
    <xf numFmtId="176" fontId="0" fillId="0" borderId="52" xfId="0" applyNumberFormat="1" applyBorder="1" applyAlignment="1">
      <alignment horizontal="center" vertical="center"/>
    </xf>
    <xf numFmtId="174" fontId="0" fillId="0" borderId="52" xfId="0" applyNumberForma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 wrapText="1"/>
    </xf>
    <xf numFmtId="2" fontId="0" fillId="28" borderId="52" xfId="0" applyNumberFormat="1" applyFill="1" applyBorder="1" applyAlignment="1">
      <alignment horizontal="center" vertical="center"/>
    </xf>
    <xf numFmtId="172" fontId="0" fillId="0" borderId="52" xfId="0" applyNumberFormat="1" applyBorder="1" applyAlignment="1">
      <alignment horizontal="center" vertical="center"/>
    </xf>
    <xf numFmtId="0" fontId="0" fillId="28" borderId="52" xfId="0" applyFill="1" applyBorder="1">
      <alignment vertical="center"/>
    </xf>
    <xf numFmtId="2" fontId="14" fillId="13" borderId="52" xfId="0" applyNumberFormat="1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/>
    </xf>
    <xf numFmtId="174" fontId="0" fillId="14" borderId="52" xfId="0" applyNumberFormat="1" applyFill="1" applyBorder="1" applyAlignment="1">
      <alignment horizontal="center" vertical="center"/>
    </xf>
    <xf numFmtId="2" fontId="14" fillId="0" borderId="52" xfId="0" applyNumberFormat="1" applyFont="1" applyBorder="1" applyAlignment="1">
      <alignment horizontal="center" vertical="center"/>
    </xf>
    <xf numFmtId="0" fontId="0" fillId="13" borderId="52" xfId="0" applyFill="1" applyBorder="1">
      <alignment vertical="center"/>
    </xf>
    <xf numFmtId="2" fontId="0" fillId="14" borderId="51" xfId="0" applyNumberFormat="1" applyFill="1" applyBorder="1" applyAlignment="1">
      <alignment horizontal="center" vertical="center" wrapText="1"/>
    </xf>
    <xf numFmtId="2" fontId="0" fillId="0" borderId="52" xfId="0" applyNumberFormat="1" applyBorder="1" applyAlignment="1">
      <alignment horizontal="center" vertical="center" wrapText="1"/>
    </xf>
    <xf numFmtId="2" fontId="14" fillId="14" borderId="1" xfId="0" applyNumberFormat="1" applyFont="1" applyFill="1" applyBorder="1" applyAlignment="1">
      <alignment horizontal="center" vertical="center" wrapText="1"/>
    </xf>
    <xf numFmtId="184" fontId="0" fillId="0" borderId="1" xfId="0" applyNumberFormat="1" applyBorder="1" applyAlignment="1">
      <alignment horizontal="center"/>
    </xf>
    <xf numFmtId="49" fontId="42" fillId="6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171" fontId="0" fillId="6" borderId="0" xfId="0" applyNumberFormat="1" applyFill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72" fontId="0" fillId="6" borderId="1" xfId="0" applyNumberFormat="1" applyFill="1" applyBorder="1" applyAlignment="1">
      <alignment horizontal="center" vertical="center"/>
    </xf>
    <xf numFmtId="49" fontId="0" fillId="25" borderId="52" xfId="0" applyNumberFormat="1" applyFill="1" applyBorder="1" applyAlignment="1">
      <alignment horizontal="center" vertical="center"/>
    </xf>
    <xf numFmtId="49" fontId="0" fillId="25" borderId="1" xfId="0" applyNumberFormat="1" applyFill="1" applyBorder="1" applyAlignment="1">
      <alignment horizontal="center" vertical="center"/>
    </xf>
    <xf numFmtId="174" fontId="0" fillId="0" borderId="0" xfId="0" applyNumberFormat="1" applyAlignment="1"/>
    <xf numFmtId="0" fontId="4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9" fillId="0" borderId="52" xfId="12" applyBorder="1" applyAlignment="1">
      <alignment horizontal="center" vertical="center"/>
    </xf>
    <xf numFmtId="172" fontId="44" fillId="0" borderId="5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12" applyBorder="1" applyAlignment="1">
      <alignment horizontal="center" vertical="center"/>
    </xf>
    <xf numFmtId="0" fontId="9" fillId="0" borderId="51" xfId="12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0" fontId="23" fillId="33" borderId="1" xfId="0" applyFont="1" applyFill="1" applyBorder="1" applyAlignment="1">
      <alignment horizontal="center" vertical="center" wrapText="1"/>
    </xf>
    <xf numFmtId="0" fontId="9" fillId="3" borderId="52" xfId="0" applyFont="1" applyFill="1" applyBorder="1" applyAlignment="1">
      <alignment horizontal="center"/>
    </xf>
    <xf numFmtId="0" fontId="45" fillId="33" borderId="1" xfId="0" applyFont="1" applyFill="1" applyBorder="1" applyAlignment="1">
      <alignment horizontal="center" vertical="center" wrapText="1"/>
    </xf>
    <xf numFmtId="0" fontId="46" fillId="3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169" fontId="23" fillId="33" borderId="1" xfId="0" applyNumberFormat="1" applyFont="1" applyFill="1" applyBorder="1" applyAlignment="1">
      <alignment horizontal="center" vertical="center" wrapText="1"/>
    </xf>
    <xf numFmtId="180" fontId="9" fillId="3" borderId="52" xfId="0" applyNumberFormat="1" applyFont="1" applyFill="1" applyBorder="1" applyAlignment="1">
      <alignment horizontal="center"/>
    </xf>
    <xf numFmtId="2" fontId="9" fillId="3" borderId="52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/>
    </xf>
    <xf numFmtId="0" fontId="5" fillId="33" borderId="1" xfId="0" applyFont="1" applyFill="1" applyBorder="1" applyAlignment="1">
      <alignment horizontal="center" vertical="center" wrapText="1"/>
    </xf>
    <xf numFmtId="0" fontId="9" fillId="23" borderId="52" xfId="0" applyFont="1" applyFill="1" applyBorder="1" applyAlignment="1">
      <alignment horizontal="center"/>
    </xf>
    <xf numFmtId="0" fontId="46" fillId="0" borderId="1" xfId="0" applyFont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174" fontId="23" fillId="0" borderId="1" xfId="0" applyNumberFormat="1" applyFont="1" applyBorder="1" applyAlignment="1">
      <alignment horizontal="center" vertical="center" wrapText="1"/>
    </xf>
    <xf numFmtId="10" fontId="23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72" fontId="44" fillId="0" borderId="1" xfId="0" applyNumberFormat="1" applyFont="1" applyBorder="1" applyAlignment="1">
      <alignment horizontal="center" vertical="center"/>
    </xf>
    <xf numFmtId="174" fontId="44" fillId="34" borderId="1" xfId="0" applyNumberFormat="1" applyFont="1" applyFill="1" applyBorder="1" applyAlignment="1">
      <alignment horizontal="center" vertical="center"/>
    </xf>
    <xf numFmtId="0" fontId="7" fillId="34" borderId="1" xfId="11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9" fillId="6" borderId="1" xfId="12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83" fontId="0" fillId="6" borderId="1" xfId="0" applyNumberForma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/>
    </xf>
    <xf numFmtId="177" fontId="9" fillId="3" borderId="1" xfId="0" applyNumberFormat="1" applyFont="1" applyFill="1" applyBorder="1" applyAlignment="1">
      <alignment horizontal="center" vertical="center"/>
    </xf>
    <xf numFmtId="2" fontId="9" fillId="35" borderId="1" xfId="0" applyNumberFormat="1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/>
    </xf>
    <xf numFmtId="169" fontId="9" fillId="3" borderId="54" xfId="0" applyNumberFormat="1" applyFont="1" applyFill="1" applyBorder="1" applyAlignment="1">
      <alignment horizontal="center"/>
    </xf>
    <xf numFmtId="177" fontId="9" fillId="3" borderId="52" xfId="0" applyNumberFormat="1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174" fontId="9" fillId="3" borderId="51" xfId="0" applyNumberFormat="1" applyFont="1" applyFill="1" applyBorder="1" applyAlignment="1">
      <alignment horizontal="center"/>
    </xf>
    <xf numFmtId="169" fontId="9" fillId="3" borderId="52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174" fontId="9" fillId="6" borderId="1" xfId="0" applyNumberFormat="1" applyFont="1" applyFill="1" applyBorder="1" applyAlignment="1">
      <alignment horizontal="center"/>
    </xf>
    <xf numFmtId="180" fontId="9" fillId="6" borderId="1" xfId="0" applyNumberFormat="1" applyFont="1" applyFill="1" applyBorder="1" applyAlignment="1">
      <alignment horizontal="center"/>
    </xf>
    <xf numFmtId="0" fontId="9" fillId="6" borderId="51" xfId="0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>
      <alignment horizontal="center"/>
    </xf>
    <xf numFmtId="177" fontId="4" fillId="6" borderId="1" xfId="0" applyNumberFormat="1" applyFont="1" applyFill="1" applyBorder="1" applyAlignment="1">
      <alignment horizontal="center"/>
    </xf>
    <xf numFmtId="184" fontId="9" fillId="6" borderId="1" xfId="0" applyNumberFormat="1" applyFont="1" applyFill="1" applyBorder="1" applyAlignment="1">
      <alignment horizontal="center"/>
    </xf>
    <xf numFmtId="2" fontId="9" fillId="36" borderId="1" xfId="0" applyNumberFormat="1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/>
    </xf>
    <xf numFmtId="177" fontId="9" fillId="6" borderId="1" xfId="0" applyNumberFormat="1" applyFont="1" applyFill="1" applyBorder="1" applyAlignment="1">
      <alignment horizontal="center"/>
    </xf>
    <xf numFmtId="177" fontId="9" fillId="6" borderId="52" xfId="0" applyNumberFormat="1" applyFont="1" applyFill="1" applyBorder="1" applyAlignment="1">
      <alignment horizontal="center" vertical="center" wrapText="1"/>
    </xf>
    <xf numFmtId="169" fontId="9" fillId="6" borderId="1" xfId="0" applyNumberFormat="1" applyFont="1" applyFill="1" applyBorder="1" applyAlignment="1">
      <alignment horizontal="center"/>
    </xf>
    <xf numFmtId="174" fontId="9" fillId="23" borderId="1" xfId="0" applyNumberFormat="1" applyFont="1" applyFill="1" applyBorder="1" applyAlignment="1"/>
    <xf numFmtId="0" fontId="9" fillId="23" borderId="1" xfId="0" applyFont="1" applyFill="1" applyBorder="1" applyAlignment="1"/>
    <xf numFmtId="49" fontId="9" fillId="0" borderId="51" xfId="0" applyNumberFormat="1" applyFont="1" applyBorder="1" applyAlignment="1">
      <alignment horizontal="left" vertical="center"/>
    </xf>
    <xf numFmtId="49" fontId="9" fillId="0" borderId="5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52" xfId="0" applyFont="1" applyFill="1" applyBorder="1" applyAlignment="1">
      <alignment horizontal="center" vertical="center"/>
    </xf>
    <xf numFmtId="3" fontId="9" fillId="3" borderId="52" xfId="0" applyNumberFormat="1" applyFont="1" applyFill="1" applyBorder="1" applyAlignment="1">
      <alignment horizontal="center" vertical="center"/>
    </xf>
    <xf numFmtId="0" fontId="53" fillId="3" borderId="52" xfId="0" applyFont="1" applyFill="1" applyBorder="1" applyAlignment="1">
      <alignment horizontal="center"/>
    </xf>
    <xf numFmtId="0" fontId="53" fillId="3" borderId="52" xfId="0" applyFont="1" applyFill="1" applyBorder="1" applyAlignment="1">
      <alignment horizontal="center" wrapText="1"/>
    </xf>
    <xf numFmtId="0" fontId="9" fillId="3" borderId="59" xfId="0" applyFont="1" applyFill="1" applyBorder="1" applyAlignment="1">
      <alignment horizontal="center"/>
    </xf>
    <xf numFmtId="0" fontId="9" fillId="23" borderId="52" xfId="0" applyFont="1" applyFill="1" applyBorder="1" applyAlignment="1">
      <alignment horizontal="center" vertical="center"/>
    </xf>
    <xf numFmtId="169" fontId="9" fillId="3" borderId="129" xfId="0" applyNumberFormat="1" applyFont="1" applyFill="1" applyBorder="1" applyAlignment="1">
      <alignment horizontal="center"/>
    </xf>
    <xf numFmtId="2" fontId="9" fillId="3" borderId="51" xfId="0" applyNumberFormat="1" applyFont="1" applyFill="1" applyBorder="1" applyAlignment="1">
      <alignment horizontal="center"/>
    </xf>
    <xf numFmtId="174" fontId="9" fillId="3" borderId="1" xfId="0" applyNumberFormat="1" applyFont="1" applyFill="1" applyBorder="1" applyAlignment="1">
      <alignment horizontal="center"/>
    </xf>
    <xf numFmtId="174" fontId="9" fillId="3" borderId="52" xfId="0" applyNumberFormat="1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 vertical="center"/>
    </xf>
    <xf numFmtId="169" fontId="9" fillId="3" borderId="51" xfId="0" applyNumberFormat="1" applyFont="1" applyFill="1" applyBorder="1" applyAlignment="1">
      <alignment horizontal="center" vertical="center"/>
    </xf>
    <xf numFmtId="174" fontId="9" fillId="3" borderId="59" xfId="0" applyNumberFormat="1" applyFont="1" applyFill="1" applyBorder="1" applyAlignment="1">
      <alignment horizontal="center"/>
    </xf>
    <xf numFmtId="2" fontId="9" fillId="3" borderId="59" xfId="0" applyNumberFormat="1" applyFont="1" applyFill="1" applyBorder="1" applyAlignment="1">
      <alignment horizontal="center"/>
    </xf>
    <xf numFmtId="169" fontId="9" fillId="3" borderId="51" xfId="0" applyNumberFormat="1" applyFont="1" applyFill="1" applyBorder="1" applyAlignment="1">
      <alignment horizontal="center"/>
    </xf>
    <xf numFmtId="174" fontId="9" fillId="6" borderId="51" xfId="0" applyNumberFormat="1" applyFont="1" applyFill="1" applyBorder="1" applyAlignment="1">
      <alignment horizontal="center"/>
    </xf>
    <xf numFmtId="180" fontId="9" fillId="6" borderId="51" xfId="0" applyNumberFormat="1" applyFont="1" applyFill="1" applyBorder="1" applyAlignment="1">
      <alignment horizontal="center"/>
    </xf>
    <xf numFmtId="0" fontId="9" fillId="6" borderId="51" xfId="0" applyFont="1" applyFill="1" applyBorder="1" applyAlignment="1">
      <alignment horizontal="center" vertical="center"/>
    </xf>
    <xf numFmtId="180" fontId="9" fillId="6" borderId="52" xfId="0" applyNumberFormat="1" applyFont="1" applyFill="1" applyBorder="1" applyAlignment="1">
      <alignment horizontal="center"/>
    </xf>
    <xf numFmtId="0" fontId="9" fillId="6" borderId="52" xfId="0" applyFont="1" applyFill="1" applyBorder="1" applyAlignment="1">
      <alignment horizontal="center"/>
    </xf>
    <xf numFmtId="2" fontId="9" fillId="6" borderId="52" xfId="0" applyNumberFormat="1" applyFont="1" applyFill="1" applyBorder="1" applyAlignment="1">
      <alignment horizontal="center"/>
    </xf>
    <xf numFmtId="0" fontId="4" fillId="6" borderId="52" xfId="0" applyFont="1" applyFill="1" applyBorder="1" applyAlignment="1" applyProtection="1">
      <alignment horizontal="center" vertical="center"/>
      <protection locked="0"/>
    </xf>
    <xf numFmtId="0" fontId="4" fillId="6" borderId="52" xfId="0" applyFont="1" applyFill="1" applyBorder="1" applyAlignment="1">
      <alignment horizontal="center"/>
    </xf>
    <xf numFmtId="177" fontId="4" fillId="6" borderId="52" xfId="0" applyNumberFormat="1" applyFont="1" applyFill="1" applyBorder="1" applyAlignment="1">
      <alignment horizontal="center"/>
    </xf>
    <xf numFmtId="184" fontId="9" fillId="6" borderId="52" xfId="0" applyNumberFormat="1" applyFont="1" applyFill="1" applyBorder="1" applyAlignment="1">
      <alignment horizontal="center"/>
    </xf>
    <xf numFmtId="2" fontId="9" fillId="36" borderId="52" xfId="0" applyNumberFormat="1" applyFont="1" applyFill="1" applyBorder="1" applyAlignment="1">
      <alignment horizontal="center"/>
    </xf>
    <xf numFmtId="177" fontId="9" fillId="6" borderId="52" xfId="0" applyNumberFormat="1" applyFont="1" applyFill="1" applyBorder="1" applyAlignment="1">
      <alignment horizontal="center"/>
    </xf>
    <xf numFmtId="169" fontId="9" fillId="6" borderId="52" xfId="0" applyNumberFormat="1" applyFont="1" applyFill="1" applyBorder="1" applyAlignment="1">
      <alignment horizontal="center"/>
    </xf>
    <xf numFmtId="0" fontId="0" fillId="0" borderId="52" xfId="0" applyBorder="1" applyAlignment="1">
      <alignment horizontal="left" vertical="center"/>
    </xf>
    <xf numFmtId="0" fontId="7" fillId="0" borderId="1" xfId="11" applyFont="1" applyBorder="1" applyAlignment="1">
      <alignment horizontal="center" vertical="center"/>
    </xf>
    <xf numFmtId="172" fontId="55" fillId="0" borderId="1" xfId="0" applyNumberFormat="1" applyFont="1" applyBorder="1" applyAlignment="1">
      <alignment horizontal="center" vertical="center"/>
    </xf>
    <xf numFmtId="0" fontId="9" fillId="0" borderId="1" xfId="9" applyNumberFormat="1" applyFont="1" applyFill="1" applyBorder="1" applyAlignment="1" applyProtection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74" fontId="44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/>
    <xf numFmtId="0" fontId="0" fillId="0" borderId="54" xfId="0" applyBorder="1" applyAlignment="1">
      <alignment horizontal="center"/>
    </xf>
    <xf numFmtId="0" fontId="3" fillId="7" borderId="0" xfId="13" applyFont="1" applyFill="1" applyAlignment="1">
      <alignment horizontal="left" vertical="center"/>
    </xf>
    <xf numFmtId="0" fontId="3" fillId="0" borderId="0" xfId="13" applyFont="1" applyAlignment="1">
      <alignment horizontal="left" vertical="center"/>
    </xf>
    <xf numFmtId="0" fontId="20" fillId="0" borderId="0" xfId="13" applyFont="1" applyAlignment="1">
      <alignment horizontal="left" vertical="center"/>
    </xf>
    <xf numFmtId="0" fontId="22" fillId="0" borderId="51" xfId="0" applyFont="1" applyBorder="1" applyAlignment="1">
      <alignment horizontal="center" vertical="center" wrapText="1"/>
    </xf>
    <xf numFmtId="0" fontId="22" fillId="32" borderId="51" xfId="0" applyFont="1" applyFill="1" applyBorder="1" applyAlignment="1">
      <alignment horizontal="center" vertical="center" wrapText="1"/>
    </xf>
    <xf numFmtId="0" fontId="54" fillId="14" borderId="1" xfId="12" applyFont="1" applyFill="1" applyBorder="1" applyAlignment="1">
      <alignment horizontal="center" vertical="center"/>
    </xf>
    <xf numFmtId="14" fontId="54" fillId="14" borderId="1" xfId="1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7" fillId="0" borderId="1" xfId="12" applyNumberFormat="1" applyFont="1" applyBorder="1" applyAlignment="1">
      <alignment horizontal="center" vertical="center"/>
    </xf>
    <xf numFmtId="174" fontId="20" fillId="0" borderId="0" xfId="13" applyNumberFormat="1" applyFont="1" applyAlignment="1">
      <alignment horizontal="center" vertical="center"/>
    </xf>
    <xf numFmtId="177" fontId="1" fillId="0" borderId="0" xfId="13" applyNumberFormat="1" applyFont="1" applyAlignment="1">
      <alignment horizontal="center" vertical="center"/>
    </xf>
    <xf numFmtId="174" fontId="44" fillId="0" borderId="51" xfId="0" applyNumberFormat="1" applyFont="1" applyBorder="1" applyAlignment="1">
      <alignment horizontal="center" vertical="center"/>
    </xf>
    <xf numFmtId="49" fontId="22" fillId="0" borderId="51" xfId="0" applyNumberFormat="1" applyFont="1" applyBorder="1" applyAlignment="1">
      <alignment horizontal="center" vertical="center" wrapText="1"/>
    </xf>
    <xf numFmtId="0" fontId="22" fillId="22" borderId="52" xfId="11" applyFont="1" applyFill="1" applyBorder="1" applyAlignment="1">
      <alignment horizontal="center" vertical="center" wrapText="1"/>
    </xf>
    <xf numFmtId="174" fontId="22" fillId="22" borderId="52" xfId="11" applyNumberFormat="1" applyFont="1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174" fontId="7" fillId="0" borderId="1" xfId="0" applyNumberFormat="1" applyFont="1" applyBorder="1" applyAlignment="1">
      <alignment horizontal="center" vertical="center"/>
    </xf>
    <xf numFmtId="174" fontId="7" fillId="34" borderId="1" xfId="0" applyNumberFormat="1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172" fontId="22" fillId="22" borderId="52" xfId="11" applyNumberFormat="1" applyFont="1" applyFill="1" applyBorder="1" applyAlignment="1">
      <alignment horizontal="center" vertical="center" wrapText="1"/>
    </xf>
    <xf numFmtId="0" fontId="22" fillId="22" borderId="1" xfId="11" applyFont="1" applyFill="1" applyBorder="1" applyAlignment="1">
      <alignment horizontal="center" vertical="center" wrapText="1"/>
    </xf>
    <xf numFmtId="174" fontId="22" fillId="22" borderId="1" xfId="11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/>
    <xf numFmtId="0" fontId="7" fillId="43" borderId="1" xfId="0" applyFont="1" applyFill="1" applyBorder="1" applyAlignment="1">
      <alignment horizontal="center" vertical="center"/>
    </xf>
    <xf numFmtId="174" fontId="7" fillId="0" borderId="1" xfId="11" applyNumberFormat="1" applyFont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74" fontId="9" fillId="44" borderId="1" xfId="0" applyNumberFormat="1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20" fillId="0" borderId="0" xfId="13" applyNumberFormat="1" applyFont="1" applyAlignment="1">
      <alignment horizontal="center" vertical="center"/>
    </xf>
    <xf numFmtId="172" fontId="44" fillId="0" borderId="51" xfId="0" applyNumberFormat="1" applyFont="1" applyBorder="1" applyAlignment="1">
      <alignment horizontal="center" vertical="center"/>
    </xf>
    <xf numFmtId="10" fontId="7" fillId="45" borderId="51" xfId="0" applyNumberFormat="1" applyFont="1" applyFill="1" applyBorder="1" applyAlignment="1">
      <alignment horizontal="center" vertical="center" wrapText="1"/>
    </xf>
    <xf numFmtId="175" fontId="22" fillId="46" borderId="52" xfId="0" applyNumberFormat="1" applyFont="1" applyFill="1" applyBorder="1" applyAlignment="1">
      <alignment horizontal="center" vertical="center" wrapText="1"/>
    </xf>
    <xf numFmtId="183" fontId="22" fillId="46" borderId="52" xfId="0" applyNumberFormat="1" applyFont="1" applyFill="1" applyBorder="1" applyAlignment="1">
      <alignment horizontal="center" vertical="center" wrapText="1"/>
    </xf>
    <xf numFmtId="0" fontId="22" fillId="46" borderId="52" xfId="0" applyFont="1" applyFill="1" applyBorder="1" applyAlignment="1">
      <alignment horizontal="center" vertical="center" wrapText="1"/>
    </xf>
    <xf numFmtId="10" fontId="22" fillId="46" borderId="52" xfId="0" applyNumberFormat="1" applyFont="1" applyFill="1" applyBorder="1" applyAlignment="1">
      <alignment horizontal="center" vertical="center" wrapText="1"/>
    </xf>
    <xf numFmtId="0" fontId="8" fillId="46" borderId="129" xfId="0" applyFont="1" applyFill="1" applyBorder="1" applyAlignment="1">
      <alignment horizontal="center" vertical="center" wrapText="1"/>
    </xf>
    <xf numFmtId="174" fontId="7" fillId="43" borderId="1" xfId="0" applyNumberFormat="1" applyFont="1" applyFill="1" applyBorder="1" applyAlignment="1">
      <alignment horizontal="center" vertical="center"/>
    </xf>
    <xf numFmtId="0" fontId="9" fillId="47" borderId="1" xfId="9" applyNumberFormat="1" applyFont="1" applyFill="1" applyBorder="1" applyAlignment="1" applyProtection="1">
      <alignment horizontal="center" vertical="center"/>
    </xf>
    <xf numFmtId="0" fontId="7" fillId="0" borderId="1" xfId="12" applyFont="1" applyBorder="1" applyAlignment="1">
      <alignment horizontal="center" vertical="center" wrapText="1"/>
    </xf>
    <xf numFmtId="10" fontId="7" fillId="45" borderId="1" xfId="0" applyNumberFormat="1" applyFont="1" applyFill="1" applyBorder="1" applyAlignment="1">
      <alignment horizontal="center" vertical="center" wrapText="1"/>
    </xf>
    <xf numFmtId="0" fontId="56" fillId="0" borderId="1" xfId="9" applyNumberFormat="1" applyFont="1" applyFill="1" applyBorder="1" applyAlignment="1" applyProtection="1">
      <alignment horizontal="left" vertical="center"/>
    </xf>
    <xf numFmtId="1" fontId="7" fillId="0" borderId="1" xfId="12" applyNumberFormat="1" applyFont="1" applyBorder="1" applyAlignment="1">
      <alignment horizontal="center" vertical="center" wrapText="1"/>
    </xf>
    <xf numFmtId="0" fontId="7" fillId="47" borderId="1" xfId="12" applyFont="1" applyFill="1" applyBorder="1" applyAlignment="1">
      <alignment horizontal="center" vertical="center"/>
    </xf>
    <xf numFmtId="0" fontId="58" fillId="0" borderId="1" xfId="9" applyNumberFormat="1" applyFont="1" applyFill="1" applyBorder="1" applyAlignment="1" applyProtection="1">
      <alignment horizontal="left" vertical="center"/>
    </xf>
    <xf numFmtId="14" fontId="7" fillId="47" borderId="1" xfId="12" applyNumberFormat="1" applyFont="1" applyFill="1" applyBorder="1" applyAlignment="1">
      <alignment horizontal="center" vertical="center" wrapText="1"/>
    </xf>
    <xf numFmtId="0" fontId="5" fillId="0" borderId="0" xfId="6" applyFont="1" applyAlignment="1">
      <alignment horizontal="center" vertical="center" wrapText="1"/>
    </xf>
    <xf numFmtId="172" fontId="9" fillId="0" borderId="0" xfId="12" applyNumberFormat="1" applyAlignment="1">
      <alignment horizontal="center" vertical="center"/>
    </xf>
    <xf numFmtId="1" fontId="9" fillId="0" borderId="0" xfId="12" applyNumberFormat="1" applyAlignment="1">
      <alignment horizontal="center" vertical="center"/>
    </xf>
    <xf numFmtId="182" fontId="2" fillId="0" borderId="0" xfId="13" applyNumberFormat="1" applyFont="1" applyAlignment="1">
      <alignment horizontal="center" vertical="center"/>
    </xf>
    <xf numFmtId="0" fontId="59" fillId="0" borderId="0" xfId="13" applyFont="1" applyAlignment="1">
      <alignment horizontal="center" vertical="center"/>
    </xf>
    <xf numFmtId="184" fontId="20" fillId="0" borderId="0" xfId="13" applyNumberFormat="1" applyFont="1" applyAlignment="1">
      <alignment horizontal="center" vertical="center"/>
    </xf>
    <xf numFmtId="190" fontId="20" fillId="0" borderId="0" xfId="13" applyNumberFormat="1" applyFont="1" applyAlignment="1">
      <alignment horizontal="center" vertical="center"/>
    </xf>
    <xf numFmtId="168" fontId="2" fillId="0" borderId="0" xfId="13" applyNumberFormat="1" applyFont="1" applyAlignment="1">
      <alignment horizontal="center" vertical="center"/>
    </xf>
    <xf numFmtId="175" fontId="22" fillId="49" borderId="1" xfId="0" applyNumberFormat="1" applyFont="1" applyFill="1" applyBorder="1" applyAlignment="1">
      <alignment horizontal="center" vertical="center" wrapText="1"/>
    </xf>
    <xf numFmtId="172" fontId="22" fillId="49" borderId="1" xfId="0" applyNumberFormat="1" applyFont="1" applyFill="1" applyBorder="1" applyAlignment="1">
      <alignment horizontal="center" vertical="center" wrapText="1"/>
    </xf>
    <xf numFmtId="1" fontId="22" fillId="50" borderId="1" xfId="0" applyNumberFormat="1" applyFont="1" applyFill="1" applyBorder="1" applyAlignment="1">
      <alignment horizontal="center" vertical="center" wrapText="1"/>
    </xf>
    <xf numFmtId="1" fontId="22" fillId="49" borderId="1" xfId="0" applyNumberFormat="1" applyFont="1" applyFill="1" applyBorder="1" applyAlignment="1">
      <alignment horizontal="center" vertical="center" wrapText="1"/>
    </xf>
    <xf numFmtId="0" fontId="23" fillId="49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8" fillId="0" borderId="51" xfId="9" applyNumberFormat="1" applyFont="1" applyFill="1" applyBorder="1" applyAlignment="1" applyProtection="1">
      <alignment horizontal="left" vertical="center"/>
    </xf>
    <xf numFmtId="172" fontId="9" fillId="0" borderId="1" xfId="0" applyNumberFormat="1" applyFont="1" applyBorder="1" applyAlignment="1">
      <alignment horizontal="center" vertical="center"/>
    </xf>
    <xf numFmtId="1" fontId="7" fillId="0" borderId="1" xfId="1" applyNumberFormat="1" applyFont="1" applyFill="1" applyBorder="1" applyAlignment="1" applyProtection="1">
      <alignment horizontal="center" vertical="center"/>
    </xf>
    <xf numFmtId="0" fontId="57" fillId="0" borderId="1" xfId="6" applyFont="1" applyBorder="1" applyAlignment="1">
      <alignment vertical="center"/>
    </xf>
    <xf numFmtId="0" fontId="5" fillId="0" borderId="1" xfId="6" applyFont="1" applyBorder="1" applyAlignment="1">
      <alignment vertical="center"/>
    </xf>
    <xf numFmtId="0" fontId="51" fillId="0" borderId="1" xfId="6" applyFont="1" applyBorder="1" applyAlignment="1">
      <alignment vertical="center"/>
    </xf>
    <xf numFmtId="1" fontId="7" fillId="33" borderId="1" xfId="1" applyNumberFormat="1" applyFont="1" applyFill="1" applyBorder="1" applyAlignment="1" applyProtection="1">
      <alignment horizontal="center" vertical="center"/>
    </xf>
    <xf numFmtId="172" fontId="9" fillId="0" borderId="51" xfId="0" applyNumberFormat="1" applyFont="1" applyBorder="1" applyAlignment="1">
      <alignment horizontal="center" vertical="center"/>
    </xf>
    <xf numFmtId="0" fontId="60" fillId="0" borderId="1" xfId="6" applyFont="1" applyBorder="1" applyAlignment="1">
      <alignment vertical="center"/>
    </xf>
    <xf numFmtId="0" fontId="0" fillId="0" borderId="1" xfId="12" applyFont="1" applyBorder="1" applyAlignment="1">
      <alignment horizontal="center" vertical="center"/>
    </xf>
    <xf numFmtId="172" fontId="0" fillId="0" borderId="1" xfId="12" applyNumberFormat="1" applyFont="1" applyBorder="1" applyAlignment="1">
      <alignment horizontal="center" vertical="center"/>
    </xf>
    <xf numFmtId="0" fontId="44" fillId="0" borderId="51" xfId="0" applyFont="1" applyBorder="1" applyAlignment="1">
      <alignment horizontal="center" vertical="center"/>
    </xf>
    <xf numFmtId="2" fontId="14" fillId="0" borderId="1" xfId="1" applyNumberFormat="1" applyFont="1" applyFill="1" applyBorder="1" applyAlignment="1" applyProtection="1">
      <alignment horizontal="center" vertical="center"/>
    </xf>
    <xf numFmtId="0" fontId="61" fillId="0" borderId="1" xfId="6" applyFont="1" applyBorder="1" applyAlignment="1">
      <alignment horizontal="left" vertical="center"/>
    </xf>
    <xf numFmtId="0" fontId="5" fillId="0" borderId="1" xfId="6" applyFont="1" applyBorder="1" applyAlignment="1">
      <alignment horizontal="left" vertical="center"/>
    </xf>
    <xf numFmtId="1" fontId="8" fillId="0" borderId="1" xfId="9" applyNumberFormat="1" applyFont="1" applyFill="1" applyBorder="1" applyAlignment="1" applyProtection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 wrapText="1"/>
    </xf>
    <xf numFmtId="1" fontId="51" fillId="0" borderId="1" xfId="6" applyNumberFormat="1" applyFont="1" applyBorder="1" applyAlignment="1">
      <alignment vertical="center"/>
    </xf>
    <xf numFmtId="172" fontId="9" fillId="0" borderId="1" xfId="12" applyNumberFormat="1" applyBorder="1" applyAlignment="1">
      <alignment horizontal="center" vertical="center"/>
    </xf>
    <xf numFmtId="1" fontId="9" fillId="0" borderId="1" xfId="12" applyNumberFormat="1" applyBorder="1" applyAlignment="1">
      <alignment horizontal="center" vertical="center"/>
    </xf>
    <xf numFmtId="2" fontId="8" fillId="0" borderId="1" xfId="9" applyNumberFormat="1" applyFont="1" applyFill="1" applyBorder="1" applyAlignment="1" applyProtection="1">
      <alignment horizontal="left" vertical="center"/>
    </xf>
    <xf numFmtId="0" fontId="62" fillId="0" borderId="1" xfId="6" applyFont="1" applyBorder="1" applyAlignment="1">
      <alignment horizontal="left" vertical="center"/>
    </xf>
    <xf numFmtId="172" fontId="9" fillId="0" borderId="129" xfId="0" applyNumberFormat="1" applyFont="1" applyBorder="1" applyAlignment="1">
      <alignment horizontal="center" vertical="center"/>
    </xf>
    <xf numFmtId="0" fontId="50" fillId="6" borderId="1" xfId="0" applyFont="1" applyFill="1" applyBorder="1" applyAlignment="1">
      <alignment horizontal="center" vertical="center" wrapText="1"/>
    </xf>
    <xf numFmtId="0" fontId="50" fillId="6" borderId="129" xfId="0" applyFont="1" applyFill="1" applyBorder="1" applyAlignment="1">
      <alignment horizontal="center" vertical="center" wrapText="1"/>
    </xf>
    <xf numFmtId="0" fontId="50" fillId="6" borderId="54" xfId="0" applyFont="1" applyFill="1" applyBorder="1" applyAlignment="1">
      <alignment horizontal="center" vertical="center" wrapText="1"/>
    </xf>
    <xf numFmtId="0" fontId="50" fillId="32" borderId="54" xfId="0" applyFont="1" applyFill="1" applyBorder="1" applyAlignment="1">
      <alignment horizontal="center" vertical="center" wrapText="1"/>
    </xf>
    <xf numFmtId="0" fontId="23" fillId="32" borderId="1" xfId="0" applyFont="1" applyFill="1" applyBorder="1" applyAlignment="1">
      <alignment horizontal="center" vertical="center" wrapText="1"/>
    </xf>
    <xf numFmtId="0" fontId="7" fillId="6" borderId="1" xfId="6" applyFont="1" applyFill="1" applyBorder="1" applyAlignment="1">
      <alignment horizontal="center" vertical="center"/>
    </xf>
    <xf numFmtId="172" fontId="9" fillId="6" borderId="54" xfId="0" applyNumberFormat="1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0" fillId="51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74" fontId="0" fillId="20" borderId="1" xfId="0" applyNumberFormat="1" applyFill="1" applyBorder="1" applyAlignment="1">
      <alignment horizontal="center" vertical="center"/>
    </xf>
    <xf numFmtId="0" fontId="64" fillId="0" borderId="1" xfId="9" applyNumberFormat="1" applyFont="1" applyFill="1" applyBorder="1" applyAlignment="1" applyProtection="1">
      <alignment horizontal="left" vertical="center"/>
    </xf>
    <xf numFmtId="14" fontId="7" fillId="0" borderId="1" xfId="12" applyNumberFormat="1" applyFont="1" applyBorder="1" applyAlignment="1">
      <alignment horizontal="center" vertical="center" wrapText="1"/>
    </xf>
    <xf numFmtId="0" fontId="0" fillId="0" borderId="1" xfId="12" applyFont="1" applyBorder="1" applyAlignment="1">
      <alignment horizontal="center"/>
    </xf>
    <xf numFmtId="1" fontId="7" fillId="0" borderId="1" xfId="9" applyNumberFormat="1" applyFont="1" applyFill="1" applyBorder="1" applyAlignment="1" applyProtection="1">
      <alignment horizontal="left" vertical="center"/>
    </xf>
    <xf numFmtId="1" fontId="60" fillId="0" borderId="1" xfId="6" applyNumberFormat="1" applyFont="1" applyBorder="1" applyAlignment="1">
      <alignment vertical="center"/>
    </xf>
    <xf numFmtId="1" fontId="0" fillId="0" borderId="1" xfId="12" applyNumberFormat="1" applyFont="1" applyBorder="1" applyAlignment="1">
      <alignment horizontal="center" vertical="center"/>
    </xf>
    <xf numFmtId="2" fontId="7" fillId="0" borderId="1" xfId="9" applyNumberFormat="1" applyFont="1" applyFill="1" applyBorder="1" applyAlignment="1" applyProtection="1">
      <alignment horizontal="left" vertical="center"/>
    </xf>
    <xf numFmtId="0" fontId="0" fillId="55" borderId="1" xfId="0" applyFill="1" applyBorder="1" applyAlignment="1">
      <alignment horizontal="center" vertical="center"/>
    </xf>
    <xf numFmtId="1" fontId="14" fillId="0" borderId="1" xfId="12" applyNumberFormat="1" applyFont="1" applyBorder="1" applyAlignment="1">
      <alignment horizontal="center" vertical="center" wrapText="1"/>
    </xf>
    <xf numFmtId="1" fontId="0" fillId="0" borderId="1" xfId="12" applyNumberFormat="1" applyFont="1" applyBorder="1" applyAlignment="1">
      <alignment horizontal="center" vertical="center" wrapText="1"/>
    </xf>
    <xf numFmtId="1" fontId="7" fillId="0" borderId="1" xfId="1" applyNumberFormat="1" applyFont="1" applyFill="1" applyBorder="1" applyAlignment="1" applyProtection="1">
      <alignment horizontal="center" vertical="center" wrapText="1"/>
    </xf>
    <xf numFmtId="0" fontId="0" fillId="58" borderId="1" xfId="0" applyFill="1" applyBorder="1" applyAlignment="1">
      <alignment horizontal="center" vertical="center"/>
    </xf>
    <xf numFmtId="0" fontId="64" fillId="0" borderId="54" xfId="9" applyNumberFormat="1" applyFont="1" applyFill="1" applyBorder="1" applyAlignment="1" applyProtection="1">
      <alignment horizontal="left" vertical="center"/>
    </xf>
    <xf numFmtId="0" fontId="65" fillId="0" borderId="54" xfId="9" applyNumberFormat="1" applyFont="1" applyFill="1" applyBorder="1" applyAlignment="1" applyProtection="1">
      <alignment horizontal="left" vertical="center"/>
    </xf>
    <xf numFmtId="174" fontId="14" fillId="14" borderId="1" xfId="0" applyNumberFormat="1" applyFont="1" applyFill="1" applyBorder="1" applyAlignment="1">
      <alignment horizontal="center" vertical="center"/>
    </xf>
    <xf numFmtId="0" fontId="58" fillId="0" borderId="54" xfId="9" applyNumberFormat="1" applyFont="1" applyFill="1" applyBorder="1" applyAlignment="1" applyProtection="1">
      <alignment horizontal="left" vertical="center"/>
    </xf>
    <xf numFmtId="0" fontId="7" fillId="0" borderId="1" xfId="12" applyFont="1" applyBorder="1" applyAlignment="1">
      <alignment horizontal="center" vertical="center"/>
    </xf>
    <xf numFmtId="0" fontId="66" fillId="0" borderId="54" xfId="9" applyNumberFormat="1" applyFont="1" applyFill="1" applyBorder="1" applyAlignment="1" applyProtection="1">
      <alignment horizontal="left" vertical="center"/>
    </xf>
    <xf numFmtId="0" fontId="0" fillId="0" borderId="1" xfId="4" applyFont="1" applyBorder="1" applyAlignment="1">
      <alignment horizontal="center" vertical="center"/>
    </xf>
    <xf numFmtId="172" fontId="0" fillId="0" borderId="1" xfId="4" applyNumberFormat="1" applyFont="1" applyBorder="1" applyAlignment="1">
      <alignment horizontal="center" vertical="center"/>
    </xf>
    <xf numFmtId="1" fontId="0" fillId="0" borderId="1" xfId="4" applyNumberFormat="1" applyFont="1" applyBorder="1" applyAlignment="1">
      <alignment horizontal="center" vertical="center"/>
    </xf>
    <xf numFmtId="1" fontId="57" fillId="0" borderId="1" xfId="6" applyNumberFormat="1" applyFont="1" applyBorder="1" applyAlignment="1">
      <alignment vertical="center"/>
    </xf>
    <xf numFmtId="184" fontId="5" fillId="0" borderId="1" xfId="6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wrapText="1"/>
    </xf>
    <xf numFmtId="3" fontId="0" fillId="0" borderId="52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4" fillId="42" borderId="1" xfId="0" applyFont="1" applyFill="1" applyBorder="1" applyAlignment="1">
      <alignment horizontal="center" vertical="center"/>
    </xf>
    <xf numFmtId="49" fontId="0" fillId="61" borderId="1" xfId="0" applyNumberFormat="1" applyFill="1" applyBorder="1" applyAlignment="1">
      <alignment horizontal="center" vertical="center"/>
    </xf>
    <xf numFmtId="174" fontId="0" fillId="13" borderId="1" xfId="0" applyNumberFormat="1" applyFill="1" applyBorder="1" applyAlignment="1">
      <alignment horizontal="center" vertical="center"/>
    </xf>
    <xf numFmtId="184" fontId="6" fillId="0" borderId="1" xfId="5" applyNumberFormat="1" applyFont="1" applyBorder="1" applyAlignment="1">
      <alignment horizontal="center" vertical="center" wrapText="1"/>
    </xf>
    <xf numFmtId="174" fontId="55" fillId="0" borderId="1" xfId="0" applyNumberFormat="1" applyFont="1" applyBorder="1" applyAlignment="1">
      <alignment horizontal="center" vertical="center"/>
    </xf>
    <xf numFmtId="1" fontId="56" fillId="0" borderId="1" xfId="9" applyNumberFormat="1" applyFont="1" applyFill="1" applyBorder="1" applyAlignment="1" applyProtection="1">
      <alignment horizontal="left" vertical="center"/>
    </xf>
    <xf numFmtId="0" fontId="67" fillId="0" borderId="54" xfId="0" applyFont="1" applyBorder="1" applyAlignment="1">
      <alignment horizontal="left" vertical="center"/>
    </xf>
    <xf numFmtId="2" fontId="7" fillId="0" borderId="1" xfId="1" applyNumberFormat="1" applyFont="1" applyFill="1" applyBorder="1" applyAlignment="1" applyProtection="1">
      <alignment horizontal="center" vertical="center"/>
    </xf>
    <xf numFmtId="1" fontId="8" fillId="0" borderId="54" xfId="9" applyNumberFormat="1" applyFont="1" applyFill="1" applyBorder="1" applyAlignment="1" applyProtection="1">
      <alignment horizontal="left" vertical="center"/>
    </xf>
    <xf numFmtId="0" fontId="8" fillId="0" borderId="54" xfId="0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 wrapText="1"/>
    </xf>
    <xf numFmtId="2" fontId="8" fillId="0" borderId="54" xfId="9" applyNumberFormat="1" applyFont="1" applyFill="1" applyBorder="1" applyAlignment="1" applyProtection="1">
      <alignment horizontal="left" vertical="center"/>
    </xf>
    <xf numFmtId="172" fontId="9" fillId="6" borderId="1" xfId="0" applyNumberFormat="1" applyFont="1" applyFill="1" applyBorder="1" applyAlignment="1">
      <alignment horizontal="center" vertical="center"/>
    </xf>
    <xf numFmtId="174" fontId="18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4" fontId="0" fillId="0" borderId="40" xfId="0" applyNumberFormat="1" applyBorder="1" applyAlignment="1">
      <alignment horizontal="center" vertical="center"/>
    </xf>
    <xf numFmtId="0" fontId="0" fillId="53" borderId="1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4" fontId="18" fillId="0" borderId="1" xfId="0" applyNumberFormat="1" applyFont="1" applyBorder="1">
      <alignment vertical="center"/>
    </xf>
    <xf numFmtId="1" fontId="7" fillId="0" borderId="1" xfId="12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5" fontId="0" fillId="0" borderId="1" xfId="4" applyNumberFormat="1" applyFont="1" applyBorder="1" applyAlignment="1">
      <alignment horizontal="center"/>
    </xf>
    <xf numFmtId="0" fontId="60" fillId="0" borderId="54" xfId="6" applyFont="1" applyBorder="1" applyAlignment="1">
      <alignment vertical="center"/>
    </xf>
    <xf numFmtId="0" fontId="51" fillId="0" borderId="1" xfId="6" applyFont="1" applyBorder="1" applyAlignment="1">
      <alignment horizontal="left" vertical="center"/>
    </xf>
    <xf numFmtId="0" fontId="51" fillId="0" borderId="54" xfId="6" applyFont="1" applyBorder="1" applyAlignment="1">
      <alignment horizontal="left" vertical="center"/>
    </xf>
    <xf numFmtId="0" fontId="5" fillId="0" borderId="54" xfId="6" applyFont="1" applyBorder="1" applyAlignment="1">
      <alignment horizontal="left" vertical="center"/>
    </xf>
    <xf numFmtId="0" fontId="61" fillId="0" borderId="54" xfId="6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9" fillId="14" borderId="1" xfId="9" applyNumberFormat="1" applyFont="1" applyFill="1" applyBorder="1" applyAlignment="1" applyProtection="1">
      <alignment horizontal="center" vertical="center"/>
    </xf>
    <xf numFmtId="0" fontId="56" fillId="0" borderId="54" xfId="9" applyNumberFormat="1" applyFont="1" applyFill="1" applyBorder="1" applyAlignment="1" applyProtection="1">
      <alignment horizontal="left" vertical="center"/>
    </xf>
    <xf numFmtId="0" fontId="51" fillId="0" borderId="54" xfId="6" applyFont="1" applyBorder="1" applyAlignment="1">
      <alignment vertical="center"/>
    </xf>
    <xf numFmtId="1" fontId="8" fillId="0" borderId="190" xfId="9" applyNumberFormat="1" applyFont="1" applyFill="1" applyBorder="1" applyAlignment="1" applyProtection="1">
      <alignment horizontal="left" vertical="center"/>
    </xf>
    <xf numFmtId="1" fontId="7" fillId="8" borderId="1" xfId="1" applyNumberFormat="1" applyFont="1" applyFill="1" applyBorder="1" applyAlignment="1" applyProtection="1">
      <alignment horizontal="center" vertical="center" wrapText="1"/>
    </xf>
    <xf numFmtId="185" fontId="7" fillId="0" borderId="1" xfId="1" applyNumberFormat="1" applyFont="1" applyFill="1" applyBorder="1" applyAlignment="1" applyProtection="1">
      <alignment horizontal="center" vertical="center"/>
    </xf>
    <xf numFmtId="0" fontId="9" fillId="0" borderId="1" xfId="12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174" fontId="4" fillId="0" borderId="52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 vertical="center"/>
    </xf>
    <xf numFmtId="0" fontId="69" fillId="0" borderId="54" xfId="9" applyNumberFormat="1" applyFont="1" applyFill="1" applyBorder="1" applyAlignment="1" applyProtection="1">
      <alignment horizontal="left" vertical="center"/>
    </xf>
    <xf numFmtId="0" fontId="7" fillId="0" borderId="1" xfId="9" applyNumberFormat="1" applyFont="1" applyFill="1" applyBorder="1" applyAlignment="1" applyProtection="1">
      <alignment horizontal="center" vertical="center"/>
    </xf>
    <xf numFmtId="1" fontId="7" fillId="14" borderId="1" xfId="5" applyNumberFormat="1" applyFont="1" applyFill="1" applyBorder="1" applyAlignment="1">
      <alignment horizontal="center" vertical="center" wrapText="1"/>
    </xf>
    <xf numFmtId="0" fontId="9" fillId="0" borderId="1" xfId="9" applyNumberFormat="1" applyFont="1" applyFill="1" applyBorder="1" applyAlignment="1" applyProtection="1">
      <alignment horizontal="center" vertical="center" wrapText="1"/>
    </xf>
    <xf numFmtId="184" fontId="7" fillId="0" borderId="1" xfId="12" applyNumberFormat="1" applyFont="1" applyBorder="1" applyAlignment="1">
      <alignment horizontal="center" vertical="center" wrapText="1"/>
    </xf>
    <xf numFmtId="0" fontId="66" fillId="0" borderId="1" xfId="0" applyFont="1" applyBorder="1" applyAlignment="1">
      <alignment horizontal="left" vertical="center"/>
    </xf>
    <xf numFmtId="185" fontId="7" fillId="0" borderId="1" xfId="12" applyNumberFormat="1" applyFont="1" applyBorder="1" applyAlignment="1">
      <alignment horizontal="center" vertical="center" wrapText="1"/>
    </xf>
    <xf numFmtId="0" fontId="8" fillId="0" borderId="54" xfId="9" applyNumberFormat="1" applyFont="1" applyFill="1" applyBorder="1" applyAlignment="1" applyProtection="1">
      <alignment horizontal="left" vertical="center"/>
    </xf>
    <xf numFmtId="0" fontId="51" fillId="0" borderId="1" xfId="0" applyFont="1" applyBorder="1" applyAlignment="1"/>
    <xf numFmtId="0" fontId="5" fillId="0" borderId="1" xfId="0" applyFont="1" applyBorder="1" applyAlignment="1"/>
    <xf numFmtId="0" fontId="60" fillId="0" borderId="1" xfId="0" applyFont="1" applyBorder="1" applyAlignment="1"/>
    <xf numFmtId="0" fontId="8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left" vertical="center"/>
    </xf>
    <xf numFmtId="0" fontId="71" fillId="0" borderId="1" xfId="0" applyFont="1" applyBorder="1" applyAlignment="1">
      <alignment horizontal="left" vertical="center"/>
    </xf>
    <xf numFmtId="0" fontId="0" fillId="0" borderId="1" xfId="12" applyFont="1" applyBorder="1" applyAlignment="1">
      <alignment horizontal="center" vertical="center" wrapText="1"/>
    </xf>
    <xf numFmtId="1" fontId="0" fillId="19" borderId="1" xfId="12" applyNumberFormat="1" applyFont="1" applyFill="1" applyBorder="1" applyAlignment="1">
      <alignment horizontal="center" vertical="center"/>
    </xf>
    <xf numFmtId="172" fontId="7" fillId="6" borderId="54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54" xfId="0" applyFont="1" applyBorder="1" applyAlignment="1">
      <alignment horizontal="center"/>
    </xf>
    <xf numFmtId="0" fontId="14" fillId="0" borderId="1" xfId="0" applyFont="1" applyBorder="1" applyAlignment="1"/>
    <xf numFmtId="172" fontId="55" fillId="34" borderId="1" xfId="0" applyNumberFormat="1" applyFont="1" applyFill="1" applyBorder="1" applyAlignment="1">
      <alignment horizontal="center" vertical="center"/>
    </xf>
    <xf numFmtId="14" fontId="8" fillId="0" borderId="1" xfId="12" applyNumberFormat="1" applyFont="1" applyBorder="1" applyAlignment="1">
      <alignment horizontal="center" vertical="center" wrapText="1"/>
    </xf>
    <xf numFmtId="185" fontId="8" fillId="0" borderId="1" xfId="12" applyNumberFormat="1" applyFont="1" applyBorder="1" applyAlignment="1">
      <alignment horizontal="center" vertical="center" wrapText="1"/>
    </xf>
    <xf numFmtId="0" fontId="4" fillId="0" borderId="1" xfId="12" applyFont="1" applyBorder="1" applyAlignment="1">
      <alignment horizontal="center" vertical="center" wrapText="1"/>
    </xf>
    <xf numFmtId="172" fontId="22" fillId="0" borderId="1" xfId="12" applyNumberFormat="1" applyFont="1" applyBorder="1" applyAlignment="1">
      <alignment horizontal="center" vertical="center"/>
    </xf>
    <xf numFmtId="0" fontId="4" fillId="0" borderId="1" xfId="12" applyFont="1" applyBorder="1" applyAlignment="1">
      <alignment horizontal="center"/>
    </xf>
    <xf numFmtId="172" fontId="0" fillId="0" borderId="1" xfId="12" applyNumberFormat="1" applyFont="1" applyBorder="1" applyAlignment="1">
      <alignment horizontal="center" vertical="center" wrapText="1"/>
    </xf>
    <xf numFmtId="185" fontId="0" fillId="0" borderId="1" xfId="12" applyNumberFormat="1" applyFont="1" applyBorder="1" applyAlignment="1">
      <alignment horizontal="center" wrapText="1"/>
    </xf>
    <xf numFmtId="0" fontId="7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185" fontId="0" fillId="0" borderId="1" xfId="12" applyNumberFormat="1" applyFont="1" applyBorder="1" applyAlignment="1">
      <alignment horizontal="center"/>
    </xf>
    <xf numFmtId="0" fontId="7" fillId="7" borderId="1" xfId="12" applyFont="1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174" fontId="9" fillId="0" borderId="52" xfId="0" applyNumberFormat="1" applyFont="1" applyBorder="1" applyAlignment="1">
      <alignment horizontal="center" vertical="center"/>
    </xf>
    <xf numFmtId="3" fontId="0" fillId="31" borderId="1" xfId="0" applyNumberFormat="1" applyFill="1" applyBorder="1" applyAlignment="1">
      <alignment horizontal="center" vertical="center"/>
    </xf>
    <xf numFmtId="174" fontId="9" fillId="0" borderId="51" xfId="0" applyNumberFormat="1" applyFont="1" applyBorder="1" applyAlignment="1">
      <alignment horizontal="center" vertical="center"/>
    </xf>
    <xf numFmtId="0" fontId="0" fillId="32" borderId="51" xfId="0" applyFill="1" applyBorder="1" applyAlignment="1">
      <alignment horizontal="center" vertical="center"/>
    </xf>
    <xf numFmtId="174" fontId="0" fillId="0" borderId="129" xfId="0" applyNumberFormat="1" applyBorder="1" applyAlignment="1">
      <alignment horizontal="center" vertical="center"/>
    </xf>
    <xf numFmtId="0" fontId="9" fillId="21" borderId="1" xfId="9" applyNumberFormat="1" applyFont="1" applyFill="1" applyBorder="1" applyAlignment="1" applyProtection="1">
      <alignment horizontal="center" vertical="center" wrapText="1"/>
    </xf>
    <xf numFmtId="184" fontId="7" fillId="47" borderId="1" xfId="12" applyNumberFormat="1" applyFont="1" applyFill="1" applyBorder="1" applyAlignment="1">
      <alignment horizontal="center" vertical="center" wrapText="1"/>
    </xf>
    <xf numFmtId="174" fontId="44" fillId="0" borderId="52" xfId="0" applyNumberFormat="1" applyFont="1" applyBorder="1" applyAlignment="1">
      <alignment horizontal="center" vertical="center"/>
    </xf>
    <xf numFmtId="0" fontId="9" fillId="0" borderId="52" xfId="9" applyNumberFormat="1" applyFont="1" applyFill="1" applyBorder="1" applyAlignment="1" applyProtection="1">
      <alignment horizontal="center" vertical="center"/>
    </xf>
    <xf numFmtId="10" fontId="7" fillId="0" borderId="52" xfId="0" applyNumberFormat="1" applyFont="1" applyBorder="1" applyAlignment="1">
      <alignment horizontal="center" vertical="center" wrapText="1"/>
    </xf>
    <xf numFmtId="0" fontId="67" fillId="0" borderId="129" xfId="0" applyFont="1" applyBorder="1" applyAlignment="1">
      <alignment horizontal="left" vertical="center"/>
    </xf>
    <xf numFmtId="10" fontId="7" fillId="0" borderId="51" xfId="0" applyNumberFormat="1" applyFont="1" applyBorder="1" applyAlignment="1">
      <alignment horizontal="center" vertical="center" wrapText="1"/>
    </xf>
    <xf numFmtId="0" fontId="9" fillId="0" borderId="51" xfId="9" applyNumberFormat="1" applyFont="1" applyFill="1" applyBorder="1" applyAlignment="1" applyProtection="1">
      <alignment horizontal="center" vertical="center"/>
    </xf>
    <xf numFmtId="0" fontId="67" fillId="0" borderId="115" xfId="0" applyFont="1" applyBorder="1" applyAlignment="1">
      <alignment horizontal="left" vertical="center"/>
    </xf>
    <xf numFmtId="174" fontId="0" fillId="0" borderId="1" xfId="0" applyNumberFormat="1" applyBorder="1" applyAlignment="1"/>
    <xf numFmtId="0" fontId="8" fillId="0" borderId="1" xfId="9" applyNumberFormat="1" applyFont="1" applyFill="1" applyBorder="1" applyAlignment="1" applyProtection="1">
      <alignment horizontal="left" vertical="center"/>
    </xf>
    <xf numFmtId="1" fontId="51" fillId="0" borderId="1" xfId="6" applyNumberFormat="1" applyFont="1" applyBorder="1" applyAlignment="1">
      <alignment horizontal="left" vertical="center"/>
    </xf>
    <xf numFmtId="1" fontId="5" fillId="0" borderId="1" xfId="6" applyNumberFormat="1" applyFont="1" applyBorder="1" applyAlignment="1">
      <alignment horizontal="left" vertical="center"/>
    </xf>
    <xf numFmtId="1" fontId="60" fillId="0" borderId="1" xfId="6" applyNumberFormat="1" applyFont="1" applyBorder="1" applyAlignment="1">
      <alignment horizontal="left" vertical="center"/>
    </xf>
    <xf numFmtId="0" fontId="57" fillId="0" borderId="1" xfId="6" applyFont="1" applyBorder="1" applyAlignment="1">
      <alignment horizontal="left" vertical="center"/>
    </xf>
    <xf numFmtId="0" fontId="8" fillId="0" borderId="129" xfId="0" applyFont="1" applyBorder="1" applyAlignment="1">
      <alignment horizontal="left" vertical="center"/>
    </xf>
    <xf numFmtId="0" fontId="0" fillId="0" borderId="52" xfId="12" applyFont="1" applyBorder="1" applyAlignment="1">
      <alignment horizontal="center" wrapText="1"/>
    </xf>
    <xf numFmtId="172" fontId="0" fillId="0" borderId="52" xfId="12" applyNumberFormat="1" applyFont="1" applyBorder="1" applyAlignment="1">
      <alignment horizontal="center" vertical="center"/>
    </xf>
    <xf numFmtId="0" fontId="0" fillId="0" borderId="52" xfId="12" applyFont="1" applyBorder="1" applyAlignment="1">
      <alignment horizontal="center"/>
    </xf>
    <xf numFmtId="10" fontId="7" fillId="45" borderId="59" xfId="0" applyNumberFormat="1" applyFont="1" applyFill="1" applyBorder="1" applyAlignment="1">
      <alignment horizontal="center" vertical="center" wrapText="1"/>
    </xf>
    <xf numFmtId="0" fontId="51" fillId="0" borderId="52" xfId="6" applyFont="1" applyBorder="1" applyAlignment="1">
      <alignment vertical="center"/>
    </xf>
    <xf numFmtId="0" fontId="5" fillId="0" borderId="52" xfId="6" applyFont="1" applyBorder="1" applyAlignment="1">
      <alignment horizontal="left" vertical="center"/>
    </xf>
    <xf numFmtId="0" fontId="8" fillId="0" borderId="115" xfId="0" applyFont="1" applyBorder="1" applyAlignment="1">
      <alignment horizontal="left" vertical="center"/>
    </xf>
    <xf numFmtId="172" fontId="0" fillId="0" borderId="51" xfId="12" applyNumberFormat="1" applyFont="1" applyBorder="1" applyAlignment="1">
      <alignment horizontal="center" vertical="center"/>
    </xf>
    <xf numFmtId="1" fontId="0" fillId="0" borderId="51" xfId="12" applyNumberFormat="1" applyFont="1" applyBorder="1" applyAlignment="1">
      <alignment horizontal="center" vertical="center"/>
    </xf>
    <xf numFmtId="0" fontId="51" fillId="0" borderId="51" xfId="6" applyFont="1" applyBorder="1" applyAlignment="1">
      <alignment vertical="center"/>
    </xf>
    <xf numFmtId="0" fontId="5" fillId="0" borderId="51" xfId="6" applyFont="1" applyBorder="1" applyAlignment="1">
      <alignment horizontal="left" vertical="center"/>
    </xf>
    <xf numFmtId="0" fontId="7" fillId="6" borderId="52" xfId="6" applyFont="1" applyFill="1" applyBorder="1" applyAlignment="1">
      <alignment horizontal="center" vertical="center"/>
    </xf>
    <xf numFmtId="172" fontId="9" fillId="6" borderId="129" xfId="0" applyNumberFormat="1" applyFont="1" applyFill="1" applyBorder="1" applyAlignment="1">
      <alignment horizontal="center" vertical="center"/>
    </xf>
    <xf numFmtId="0" fontId="7" fillId="0" borderId="52" xfId="6" applyFont="1" applyBorder="1" applyAlignment="1">
      <alignment horizontal="center" vertical="center"/>
    </xf>
    <xf numFmtId="0" fontId="0" fillId="6" borderId="0" xfId="0" applyFill="1" applyAlignment="1"/>
    <xf numFmtId="0" fontId="0" fillId="6" borderId="1" xfId="0" applyFill="1" applyBorder="1" applyAlignment="1"/>
    <xf numFmtId="0" fontId="7" fillId="6" borderId="51" xfId="6" applyFont="1" applyFill="1" applyBorder="1" applyAlignment="1">
      <alignment horizontal="center" vertical="center"/>
    </xf>
    <xf numFmtId="172" fontId="9" fillId="6" borderId="115" xfId="0" applyNumberFormat="1" applyFont="1" applyFill="1" applyBorder="1" applyAlignment="1">
      <alignment horizontal="center" vertical="center"/>
    </xf>
    <xf numFmtId="0" fontId="0" fillId="6" borderId="59" xfId="0" applyFill="1" applyBorder="1" applyAlignment="1"/>
    <xf numFmtId="0" fontId="0" fillId="0" borderId="59" xfId="0" applyBorder="1" applyAlignment="1">
      <alignment horizontal="center"/>
    </xf>
    <xf numFmtId="0" fontId="0" fillId="6" borderId="51" xfId="0" applyFill="1" applyBorder="1" applyAlignment="1"/>
    <xf numFmtId="0" fontId="0" fillId="0" borderId="59" xfId="0" applyBorder="1" applyAlignment="1"/>
    <xf numFmtId="0" fontId="0" fillId="0" borderId="34" xfId="0" applyBorder="1" applyAlignment="1">
      <alignment horizontal="center"/>
    </xf>
    <xf numFmtId="0" fontId="0" fillId="0" borderId="52" xfId="0" applyBorder="1" applyAlignment="1"/>
    <xf numFmtId="0" fontId="7" fillId="0" borderId="1" xfId="0" quotePrefix="1" applyFont="1" applyBorder="1" applyAlignment="1">
      <alignment horizontal="center" vertical="center"/>
    </xf>
    <xf numFmtId="0" fontId="4" fillId="39" borderId="1" xfId="0" quotePrefix="1" applyFont="1" applyFill="1" applyBorder="1" applyAlignment="1">
      <alignment horizontal="center" vertical="center"/>
    </xf>
    <xf numFmtId="0" fontId="4" fillId="6" borderId="1" xfId="0" quotePrefix="1" applyFont="1" applyFill="1" applyBorder="1" applyAlignment="1">
      <alignment horizontal="center" vertical="center"/>
    </xf>
    <xf numFmtId="0" fontId="4" fillId="40" borderId="1" xfId="0" quotePrefix="1" applyFont="1" applyFill="1" applyBorder="1" applyAlignment="1">
      <alignment horizontal="center" vertical="center"/>
    </xf>
    <xf numFmtId="0" fontId="0" fillId="41" borderId="1" xfId="0" quotePrefix="1" applyFill="1" applyBorder="1" applyAlignment="1">
      <alignment horizontal="center" vertical="center"/>
    </xf>
    <xf numFmtId="0" fontId="0" fillId="42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21" borderId="1" xfId="0" quotePrefix="1" applyFill="1" applyBorder="1" applyAlignment="1">
      <alignment horizontal="center" vertical="center"/>
    </xf>
    <xf numFmtId="0" fontId="4" fillId="21" borderId="1" xfId="0" quotePrefix="1" applyFont="1" applyFill="1" applyBorder="1" applyAlignment="1">
      <alignment horizontal="center" vertical="center"/>
    </xf>
    <xf numFmtId="0" fontId="0" fillId="51" borderId="1" xfId="0" quotePrefix="1" applyFill="1" applyBorder="1" applyAlignment="1">
      <alignment horizontal="center" vertical="center"/>
    </xf>
    <xf numFmtId="0" fontId="4" fillId="51" borderId="1" xfId="0" quotePrefix="1" applyFont="1" applyFill="1" applyBorder="1" applyAlignment="1">
      <alignment horizontal="center" vertical="center"/>
    </xf>
    <xf numFmtId="0" fontId="0" fillId="52" borderId="1" xfId="0" quotePrefix="1" applyFill="1" applyBorder="1" applyAlignment="1">
      <alignment horizontal="center" vertical="center"/>
    </xf>
    <xf numFmtId="0" fontId="0" fillId="19" borderId="1" xfId="0" quotePrefix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 vertical="center"/>
    </xf>
    <xf numFmtId="0" fontId="4" fillId="53" borderId="1" xfId="0" quotePrefix="1" applyFont="1" applyFill="1" applyBorder="1" applyAlignment="1">
      <alignment horizontal="center" vertical="center"/>
    </xf>
    <xf numFmtId="0" fontId="0" fillId="48" borderId="1" xfId="0" quotePrefix="1" applyFill="1" applyBorder="1" applyAlignment="1">
      <alignment horizontal="center" vertical="center"/>
    </xf>
    <xf numFmtId="0" fontId="0" fillId="54" borderId="1" xfId="0" quotePrefix="1" applyFill="1" applyBorder="1" applyAlignment="1">
      <alignment horizontal="center" vertical="center"/>
    </xf>
    <xf numFmtId="0" fontId="0" fillId="32" borderId="1" xfId="0" quotePrefix="1" applyFill="1" applyBorder="1" applyAlignment="1">
      <alignment horizontal="center" vertical="center"/>
    </xf>
    <xf numFmtId="0" fontId="0" fillId="40" borderId="1" xfId="0" quotePrefix="1" applyFill="1" applyBorder="1" applyAlignment="1">
      <alignment horizontal="center" vertical="center"/>
    </xf>
    <xf numFmtId="0" fontId="0" fillId="38" borderId="1" xfId="0" quotePrefix="1" applyFill="1" applyBorder="1" applyAlignment="1">
      <alignment horizontal="center" vertical="center"/>
    </xf>
    <xf numFmtId="0" fontId="0" fillId="20" borderId="1" xfId="0" quotePrefix="1" applyFill="1" applyBorder="1" applyAlignment="1">
      <alignment horizontal="center" vertical="center"/>
    </xf>
    <xf numFmtId="0" fontId="0" fillId="55" borderId="1" xfId="0" quotePrefix="1" applyFill="1" applyBorder="1" applyAlignment="1">
      <alignment horizontal="center" vertical="center"/>
    </xf>
    <xf numFmtId="0" fontId="0" fillId="37" borderId="1" xfId="0" quotePrefix="1" applyFill="1" applyBorder="1" applyAlignment="1">
      <alignment horizontal="center" vertical="center"/>
    </xf>
    <xf numFmtId="0" fontId="0" fillId="56" borderId="1" xfId="0" quotePrefix="1" applyFill="1" applyBorder="1" applyAlignment="1">
      <alignment horizontal="center" vertical="center"/>
    </xf>
    <xf numFmtId="0" fontId="0" fillId="57" borderId="1" xfId="0" quotePrefix="1" applyFill="1" applyBorder="1" applyAlignment="1">
      <alignment horizontal="center" vertical="center"/>
    </xf>
    <xf numFmtId="0" fontId="0" fillId="58" borderId="1" xfId="0" quotePrefix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59" borderId="1" xfId="0" quotePrefix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9" fillId="0" borderId="1" xfId="12" quotePrefix="1" applyBorder="1" applyAlignment="1">
      <alignment horizontal="center" vertical="center"/>
    </xf>
    <xf numFmtId="0" fontId="4" fillId="42" borderId="1" xfId="0" quotePrefix="1" applyFont="1" applyFill="1" applyBorder="1" applyAlignment="1">
      <alignment horizontal="center" vertical="center"/>
    </xf>
    <xf numFmtId="0" fontId="0" fillId="60" borderId="1" xfId="0" quotePrefix="1" applyFill="1" applyBorder="1" applyAlignment="1">
      <alignment horizontal="center" vertical="center"/>
    </xf>
    <xf numFmtId="0" fontId="0" fillId="33" borderId="1" xfId="0" quotePrefix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3" borderId="1" xfId="0" quotePrefix="1" applyFill="1" applyBorder="1" applyAlignment="1">
      <alignment horizontal="center" vertical="center"/>
    </xf>
    <xf numFmtId="0" fontId="0" fillId="28" borderId="1" xfId="0" quotePrefix="1" applyFill="1" applyBorder="1" applyAlignment="1">
      <alignment horizontal="center" vertical="center"/>
    </xf>
    <xf numFmtId="0" fontId="14" fillId="55" borderId="1" xfId="0" quotePrefix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4" fillId="17" borderId="1" xfId="0" quotePrefix="1" applyFont="1" applyFill="1" applyBorder="1" applyAlignment="1">
      <alignment horizontal="center" vertical="center"/>
    </xf>
    <xf numFmtId="0" fontId="9" fillId="0" borderId="51" xfId="12" quotePrefix="1" applyBorder="1" applyAlignment="1">
      <alignment horizontal="center" vertical="center"/>
    </xf>
    <xf numFmtId="0" fontId="0" fillId="39" borderId="0" xfId="0" quotePrefix="1" applyFill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0" fillId="62" borderId="1" xfId="0" quotePrefix="1" applyFill="1" applyBorder="1" applyAlignment="1">
      <alignment horizontal="center" vertical="center"/>
    </xf>
    <xf numFmtId="0" fontId="4" fillId="54" borderId="1" xfId="0" quotePrefix="1" applyFont="1" applyFill="1" applyBorder="1" applyAlignment="1">
      <alignment horizontal="center" vertical="center"/>
    </xf>
    <xf numFmtId="0" fontId="4" fillId="32" borderId="1" xfId="0" quotePrefix="1" applyFont="1" applyFill="1" applyBorder="1" applyAlignment="1">
      <alignment horizontal="center" vertical="center"/>
    </xf>
    <xf numFmtId="0" fontId="4" fillId="19" borderId="1" xfId="0" quotePrefix="1" applyFont="1" applyFill="1" applyBorder="1" applyAlignment="1">
      <alignment horizontal="center" vertical="center"/>
    </xf>
    <xf numFmtId="0" fontId="13" fillId="48" borderId="1" xfId="0" quotePrefix="1" applyFont="1" applyFill="1" applyBorder="1" applyAlignment="1">
      <alignment horizontal="center" vertical="center"/>
    </xf>
    <xf numFmtId="0" fontId="14" fillId="48" borderId="1" xfId="0" quotePrefix="1" applyFont="1" applyFill="1" applyBorder="1" applyAlignment="1">
      <alignment horizontal="center" vertical="center"/>
    </xf>
    <xf numFmtId="0" fontId="7" fillId="0" borderId="1" xfId="11" quotePrefix="1" applyFont="1" applyBorder="1" applyAlignment="1">
      <alignment horizontal="center" vertical="center"/>
    </xf>
    <xf numFmtId="0" fontId="4" fillId="20" borderId="1" xfId="0" quotePrefix="1" applyFont="1" applyFill="1" applyBorder="1" applyAlignment="1">
      <alignment horizontal="center" vertical="center"/>
    </xf>
    <xf numFmtId="0" fontId="9" fillId="0" borderId="52" xfId="12" quotePrefix="1" applyBorder="1" applyAlignment="1">
      <alignment horizontal="center" vertical="center"/>
    </xf>
    <xf numFmtId="0" fontId="0" fillId="0" borderId="51" xfId="0" quotePrefix="1" applyBorder="1" applyAlignment="1">
      <alignment horizontal="center"/>
    </xf>
    <xf numFmtId="0" fontId="0" fillId="0" borderId="52" xfId="0" quotePrefix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0" fillId="0" borderId="51" xfId="0" quotePrefix="1" applyBorder="1" applyAlignment="1">
      <alignment horizontal="center" vertical="center"/>
    </xf>
    <xf numFmtId="171" fontId="7" fillId="0" borderId="129" xfId="0" quotePrefix="1" applyNumberFormat="1" applyFont="1" applyBorder="1" applyAlignment="1">
      <alignment horizontal="center" vertical="center"/>
    </xf>
    <xf numFmtId="178" fontId="0" fillId="0" borderId="1" xfId="0" quotePrefix="1" applyNumberFormat="1" applyBorder="1" applyAlignment="1">
      <alignment horizontal="center" vertical="center"/>
    </xf>
    <xf numFmtId="171" fontId="0" fillId="0" borderId="54" xfId="0" quotePrefix="1" applyNumberFormat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6" fontId="0" fillId="0" borderId="51" xfId="0" quotePrefix="1" applyNumberForma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171" fontId="0" fillId="0" borderId="188" xfId="0" quotePrefix="1" applyNumberFormat="1" applyBorder="1" applyAlignment="1">
      <alignment horizontal="center" vertical="center"/>
    </xf>
    <xf numFmtId="171" fontId="0" fillId="0" borderId="1" xfId="0" quotePrefix="1" applyNumberFormat="1" applyBorder="1" applyAlignment="1">
      <alignment horizontal="center" vertical="center"/>
    </xf>
    <xf numFmtId="171" fontId="0" fillId="0" borderId="129" xfId="0" quotePrefix="1" applyNumberFormat="1" applyBorder="1" applyAlignment="1">
      <alignment horizontal="center" vertical="center"/>
    </xf>
    <xf numFmtId="171" fontId="0" fillId="0" borderId="52" xfId="0" quotePrefix="1" applyNumberFormat="1" applyBorder="1" applyAlignment="1">
      <alignment horizontal="center" vertical="center"/>
    </xf>
    <xf numFmtId="171" fontId="9" fillId="0" borderId="1" xfId="0" quotePrefix="1" applyNumberFormat="1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34" xfId="0" quotePrefix="1" applyBorder="1" applyAlignment="1">
      <alignment horizontal="center" vertical="center"/>
    </xf>
    <xf numFmtId="16" fontId="15" fillId="6" borderId="106" xfId="19" quotePrefix="1" applyNumberFormat="1" applyFont="1" applyFill="1" applyBorder="1" applyAlignment="1">
      <alignment horizontal="center" vertical="center"/>
    </xf>
    <xf numFmtId="0" fontId="9" fillId="6" borderId="1" xfId="12" quotePrefix="1" applyFill="1" applyBorder="1" applyAlignment="1">
      <alignment horizontal="center" vertical="center"/>
    </xf>
    <xf numFmtId="0" fontId="63" fillId="32" borderId="54" xfId="0" applyFont="1" applyFill="1" applyBorder="1" applyAlignment="1">
      <alignment horizontal="center" vertical="center"/>
    </xf>
    <xf numFmtId="0" fontId="63" fillId="32" borderId="34" xfId="0" applyFont="1" applyFill="1" applyBorder="1" applyAlignment="1">
      <alignment horizontal="center" vertical="center"/>
    </xf>
    <xf numFmtId="0" fontId="19" fillId="0" borderId="181" xfId="6" applyFont="1" applyBorder="1" applyAlignment="1">
      <alignment horizontal="left" vertical="center" wrapText="1"/>
    </xf>
    <xf numFmtId="0" fontId="19" fillId="0" borderId="181" xfId="6" applyFont="1" applyBorder="1" applyAlignment="1">
      <alignment horizontal="center" vertical="center" wrapText="1"/>
    </xf>
    <xf numFmtId="0" fontId="5" fillId="0" borderId="181" xfId="6" applyFont="1" applyBorder="1" applyAlignment="1">
      <alignment horizontal="center" vertical="center" wrapText="1"/>
    </xf>
    <xf numFmtId="174" fontId="19" fillId="0" borderId="181" xfId="6" applyNumberFormat="1" applyFont="1" applyBorder="1" applyAlignment="1">
      <alignment horizontal="center" vertical="center" wrapText="1"/>
    </xf>
    <xf numFmtId="10" fontId="19" fillId="0" borderId="181" xfId="6" applyNumberFormat="1" applyFont="1" applyBorder="1" applyAlignment="1">
      <alignment horizontal="center" vertical="center" wrapText="1"/>
    </xf>
    <xf numFmtId="0" fontId="48" fillId="0" borderId="181" xfId="6" applyFont="1" applyBorder="1" applyAlignment="1">
      <alignment horizontal="center" vertical="center" wrapText="1"/>
    </xf>
    <xf numFmtId="0" fontId="2" fillId="0" borderId="1" xfId="13" applyFont="1" applyBorder="1" applyAlignment="1">
      <alignment horizontal="left" vertical="center"/>
    </xf>
    <xf numFmtId="0" fontId="2" fillId="0" borderId="1" xfId="13" applyFont="1" applyBorder="1" applyAlignment="1">
      <alignment horizontal="center" vertical="center"/>
    </xf>
    <xf numFmtId="174" fontId="2" fillId="0" borderId="1" xfId="13" applyNumberFormat="1" applyFont="1" applyBorder="1" applyAlignment="1">
      <alignment horizontal="center" vertical="center"/>
    </xf>
    <xf numFmtId="10" fontId="2" fillId="0" borderId="1" xfId="13" applyNumberFormat="1" applyFont="1" applyBorder="1" applyAlignment="1">
      <alignment horizontal="center" vertical="center"/>
    </xf>
    <xf numFmtId="0" fontId="49" fillId="0" borderId="1" xfId="13" applyFont="1" applyBorder="1" applyAlignment="1">
      <alignment horizontal="center" vertical="center"/>
    </xf>
    <xf numFmtId="0" fontId="20" fillId="5" borderId="54" xfId="13" applyFont="1" applyFill="1" applyBorder="1" applyAlignment="1">
      <alignment horizontal="center" vertical="center"/>
    </xf>
    <xf numFmtId="0" fontId="20" fillId="5" borderId="40" xfId="13" applyFont="1" applyFill="1" applyBorder="1" applyAlignment="1">
      <alignment horizontal="center" vertical="center"/>
    </xf>
    <xf numFmtId="174" fontId="20" fillId="5" borderId="40" xfId="13" applyNumberFormat="1" applyFont="1" applyFill="1" applyBorder="1" applyAlignment="1">
      <alignment horizontal="center" vertical="center"/>
    </xf>
    <xf numFmtId="0" fontId="20" fillId="5" borderId="34" xfId="13" applyFont="1" applyFill="1" applyBorder="1" applyAlignment="1">
      <alignment horizontal="center" vertical="center"/>
    </xf>
    <xf numFmtId="0" fontId="20" fillId="5" borderId="0" xfId="13" applyFont="1" applyFill="1" applyAlignment="1">
      <alignment horizontal="center" vertical="center"/>
    </xf>
    <xf numFmtId="174" fontId="20" fillId="5" borderId="0" xfId="13" applyNumberFormat="1" applyFont="1" applyFill="1" applyAlignment="1">
      <alignment horizontal="center" vertical="center"/>
    </xf>
    <xf numFmtId="0" fontId="20" fillId="42" borderId="54" xfId="13" applyFont="1" applyFill="1" applyBorder="1" applyAlignment="1">
      <alignment horizontal="center" vertical="center"/>
    </xf>
    <xf numFmtId="0" fontId="20" fillId="42" borderId="40" xfId="13" applyFont="1" applyFill="1" applyBorder="1" applyAlignment="1">
      <alignment horizontal="center" vertical="center"/>
    </xf>
    <xf numFmtId="0" fontId="20" fillId="42" borderId="34" xfId="13" applyFont="1" applyFill="1" applyBorder="1" applyAlignment="1">
      <alignment horizontal="center" vertical="center"/>
    </xf>
    <xf numFmtId="0" fontId="59" fillId="48" borderId="54" xfId="13" applyFont="1" applyFill="1" applyBorder="1" applyAlignment="1">
      <alignment horizontal="center" vertical="center"/>
    </xf>
    <xf numFmtId="0" fontId="59" fillId="48" borderId="40" xfId="13" applyFont="1" applyFill="1" applyBorder="1" applyAlignment="1">
      <alignment horizontal="center" vertical="center"/>
    </xf>
    <xf numFmtId="0" fontId="59" fillId="48" borderId="34" xfId="13" applyFont="1" applyFill="1" applyBorder="1" applyAlignment="1">
      <alignment horizontal="center" vertical="center"/>
    </xf>
    <xf numFmtId="178" fontId="0" fillId="23" borderId="51" xfId="0" applyNumberFormat="1" applyFill="1" applyBorder="1" applyAlignment="1">
      <alignment horizontal="center" vertical="center"/>
    </xf>
    <xf numFmtId="178" fontId="0" fillId="23" borderId="59" xfId="0" applyNumberFormat="1" applyFill="1" applyBorder="1" applyAlignment="1">
      <alignment horizontal="center" vertical="center"/>
    </xf>
    <xf numFmtId="178" fontId="0" fillId="23" borderId="52" xfId="0" applyNumberForma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178" fontId="0" fillId="6" borderId="115" xfId="0" applyNumberFormat="1" applyFill="1" applyBorder="1" applyAlignment="1">
      <alignment horizontal="center" vertical="center"/>
    </xf>
    <xf numFmtId="178" fontId="0" fillId="6" borderId="39" xfId="0" applyNumberFormat="1" applyFill="1" applyBorder="1" applyAlignment="1">
      <alignment horizontal="center" vertical="center"/>
    </xf>
    <xf numFmtId="178" fontId="0" fillId="6" borderId="35" xfId="0" applyNumberFormat="1" applyFill="1" applyBorder="1" applyAlignment="1">
      <alignment horizontal="center" vertical="center"/>
    </xf>
    <xf numFmtId="178" fontId="0" fillId="6" borderId="129" xfId="0" applyNumberFormat="1" applyFill="1" applyBorder="1" applyAlignment="1">
      <alignment horizontal="center" vertical="center"/>
    </xf>
    <xf numFmtId="178" fontId="0" fillId="6" borderId="37" xfId="0" applyNumberFormat="1" applyFill="1" applyBorder="1" applyAlignment="1">
      <alignment horizontal="center" vertical="center"/>
    </xf>
    <xf numFmtId="178" fontId="0" fillId="6" borderId="187" xfId="0" applyNumberFormat="1" applyFill="1" applyBorder="1" applyAlignment="1">
      <alignment horizontal="center" vertical="center"/>
    </xf>
    <xf numFmtId="0" fontId="0" fillId="6" borderId="11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86" xfId="0" applyFill="1" applyBorder="1" applyAlignment="1">
      <alignment horizontal="center" vertical="center"/>
    </xf>
    <xf numFmtId="0" fontId="0" fillId="6" borderId="129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87" xfId="0" applyFill="1" applyBorder="1" applyAlignment="1">
      <alignment horizontal="center" vertical="center"/>
    </xf>
    <xf numFmtId="0" fontId="26" fillId="23" borderId="115" xfId="0" applyFont="1" applyFill="1" applyBorder="1" applyAlignment="1">
      <alignment horizontal="center" vertical="center"/>
    </xf>
    <xf numFmtId="0" fontId="26" fillId="23" borderId="39" xfId="0" applyFont="1" applyFill="1" applyBorder="1" applyAlignment="1">
      <alignment horizontal="center" vertical="center"/>
    </xf>
    <xf numFmtId="0" fontId="26" fillId="23" borderId="35" xfId="0" applyFont="1" applyFill="1" applyBorder="1" applyAlignment="1">
      <alignment horizontal="center" vertical="center"/>
    </xf>
    <xf numFmtId="0" fontId="26" fillId="23" borderId="113" xfId="0" applyFont="1" applyFill="1" applyBorder="1" applyAlignment="1">
      <alignment horizontal="center" vertical="center"/>
    </xf>
    <xf numFmtId="0" fontId="26" fillId="23" borderId="0" xfId="0" applyFont="1" applyFill="1" applyAlignment="1">
      <alignment horizontal="center" vertical="center"/>
    </xf>
    <xf numFmtId="0" fontId="26" fillId="23" borderId="186" xfId="0" applyFont="1" applyFill="1" applyBorder="1" applyAlignment="1">
      <alignment horizontal="center" vertical="center"/>
    </xf>
    <xf numFmtId="0" fontId="26" fillId="23" borderId="129" xfId="0" applyFont="1" applyFill="1" applyBorder="1" applyAlignment="1">
      <alignment horizontal="center" vertical="center"/>
    </xf>
    <xf numFmtId="0" fontId="26" fillId="23" borderId="37" xfId="0" applyFont="1" applyFill="1" applyBorder="1" applyAlignment="1">
      <alignment horizontal="center" vertical="center"/>
    </xf>
    <xf numFmtId="0" fontId="26" fillId="23" borderId="187" xfId="0" applyFont="1" applyFill="1" applyBorder="1" applyAlignment="1">
      <alignment horizontal="center" vertical="center"/>
    </xf>
    <xf numFmtId="0" fontId="0" fillId="6" borderId="115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18" fillId="23" borderId="115" xfId="0" applyFont="1" applyFill="1" applyBorder="1" applyAlignment="1">
      <alignment horizontal="center" vertical="center"/>
    </xf>
    <xf numFmtId="0" fontId="0" fillId="23" borderId="39" xfId="0" applyFill="1" applyBorder="1" applyAlignment="1">
      <alignment horizontal="center" vertical="center"/>
    </xf>
    <xf numFmtId="0" fontId="0" fillId="23" borderId="35" xfId="0" applyFill="1" applyBorder="1" applyAlignment="1">
      <alignment horizontal="center" vertical="center"/>
    </xf>
    <xf numFmtId="0" fontId="0" fillId="23" borderId="113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186" xfId="0" applyFill="1" applyBorder="1" applyAlignment="1">
      <alignment horizontal="center" vertical="center"/>
    </xf>
    <xf numFmtId="0" fontId="0" fillId="23" borderId="129" xfId="0" applyFill="1" applyBorder="1" applyAlignment="1">
      <alignment horizontal="center" vertical="center"/>
    </xf>
    <xf numFmtId="0" fontId="0" fillId="23" borderId="37" xfId="0" applyFill="1" applyBorder="1" applyAlignment="1">
      <alignment horizontal="center" vertical="center"/>
    </xf>
    <xf numFmtId="0" fontId="0" fillId="23" borderId="187" xfId="0" applyFill="1" applyBorder="1" applyAlignment="1">
      <alignment horizontal="center" vertical="center"/>
    </xf>
    <xf numFmtId="0" fontId="15" fillId="23" borderId="54" xfId="0" applyFont="1" applyFill="1" applyBorder="1" applyAlignment="1">
      <alignment horizontal="center" vertical="center"/>
    </xf>
    <xf numFmtId="0" fontId="15" fillId="23" borderId="40" xfId="0" applyFont="1" applyFill="1" applyBorder="1" applyAlignment="1">
      <alignment horizontal="center" vertical="center"/>
    </xf>
    <xf numFmtId="0" fontId="15" fillId="23" borderId="34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115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171" fontId="9" fillId="6" borderId="51" xfId="0" applyNumberFormat="1" applyFont="1" applyFill="1" applyBorder="1" applyAlignment="1">
      <alignment horizontal="center" vertical="center"/>
    </xf>
    <xf numFmtId="171" fontId="9" fillId="6" borderId="52" xfId="0" applyNumberFormat="1" applyFont="1" applyFill="1" applyBorder="1" applyAlignment="1">
      <alignment horizontal="center" vertical="center"/>
    </xf>
    <xf numFmtId="166" fontId="0" fillId="6" borderId="51" xfId="0" applyNumberFormat="1" applyFill="1" applyBorder="1" applyAlignment="1">
      <alignment horizontal="center" vertical="center"/>
    </xf>
    <xf numFmtId="166" fontId="0" fillId="6" borderId="52" xfId="0" applyNumberFormat="1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2" fontId="0" fillId="6" borderId="51" xfId="0" applyNumberFormat="1" applyFill="1" applyBorder="1" applyAlignment="1">
      <alignment horizontal="center" vertical="center" wrapText="1"/>
    </xf>
    <xf numFmtId="2" fontId="0" fillId="6" borderId="52" xfId="0" applyNumberFormat="1" applyFill="1" applyBorder="1" applyAlignment="1">
      <alignment horizontal="center" vertical="center" wrapText="1"/>
    </xf>
    <xf numFmtId="2" fontId="0" fillId="6" borderId="51" xfId="0" applyNumberFormat="1" applyFill="1" applyBorder="1" applyAlignment="1">
      <alignment horizontal="center" vertical="center"/>
    </xf>
    <xf numFmtId="2" fontId="0" fillId="6" borderId="52" xfId="0" applyNumberFormat="1" applyFill="1" applyBorder="1" applyAlignment="1">
      <alignment horizontal="center" vertical="center"/>
    </xf>
    <xf numFmtId="0" fontId="21" fillId="4" borderId="109" xfId="0" applyFont="1" applyFill="1" applyBorder="1" applyAlignment="1">
      <alignment horizontal="center" vertical="center"/>
    </xf>
    <xf numFmtId="0" fontId="21" fillId="4" borderId="108" xfId="0" applyFont="1" applyFill="1" applyBorder="1" applyAlignment="1">
      <alignment horizontal="center" vertical="center"/>
    </xf>
    <xf numFmtId="0" fontId="21" fillId="4" borderId="125" xfId="0" applyFont="1" applyFill="1" applyBorder="1" applyAlignment="1">
      <alignment horizontal="center" vertical="center"/>
    </xf>
    <xf numFmtId="0" fontId="22" fillId="22" borderId="182" xfId="11" applyFont="1" applyFill="1" applyBorder="1" applyAlignment="1">
      <alignment horizontal="center" vertical="center" wrapText="1"/>
    </xf>
    <xf numFmtId="0" fontId="22" fillId="22" borderId="184" xfId="11" applyFont="1" applyFill="1" applyBorder="1" applyAlignment="1">
      <alignment horizontal="center" vertical="center" wrapText="1"/>
    </xf>
    <xf numFmtId="169" fontId="22" fillId="22" borderId="182" xfId="11" applyNumberFormat="1" applyFont="1" applyFill="1" applyBorder="1" applyAlignment="1">
      <alignment horizontal="center" vertical="center" wrapText="1"/>
    </xf>
    <xf numFmtId="169" fontId="22" fillId="22" borderId="184" xfId="11" applyNumberFormat="1" applyFont="1" applyFill="1" applyBorder="1" applyAlignment="1">
      <alignment horizontal="center" vertical="center" wrapText="1"/>
    </xf>
    <xf numFmtId="178" fontId="22" fillId="22" borderId="33" xfId="11" applyNumberFormat="1" applyFont="1" applyFill="1" applyBorder="1" applyAlignment="1">
      <alignment horizontal="center" vertical="center" wrapText="1"/>
    </xf>
    <xf numFmtId="178" fontId="22" fillId="22" borderId="43" xfId="11" applyNumberFormat="1" applyFont="1" applyFill="1" applyBorder="1" applyAlignment="1">
      <alignment horizontal="center" vertical="center" wrapText="1"/>
    </xf>
    <xf numFmtId="178" fontId="22" fillId="22" borderId="36" xfId="11" applyNumberFormat="1" applyFont="1" applyFill="1" applyBorder="1" applyAlignment="1">
      <alignment horizontal="center" vertical="center" wrapText="1"/>
    </xf>
    <xf numFmtId="2" fontId="22" fillId="22" borderId="19" xfId="11" applyNumberFormat="1" applyFont="1" applyFill="1" applyBorder="1" applyAlignment="1">
      <alignment horizontal="center" vertical="center" wrapText="1"/>
    </xf>
    <xf numFmtId="0" fontId="22" fillId="22" borderId="30" xfId="11" applyFont="1" applyFill="1" applyBorder="1" applyAlignment="1">
      <alignment horizontal="center" vertical="center" wrapText="1"/>
    </xf>
    <xf numFmtId="0" fontId="22" fillId="22" borderId="182" xfId="11" applyFont="1" applyFill="1" applyBorder="1" applyAlignment="1">
      <alignment horizontal="center" vertical="center"/>
    </xf>
    <xf numFmtId="0" fontId="22" fillId="22" borderId="184" xfId="11" applyFont="1" applyFill="1" applyBorder="1" applyAlignment="1">
      <alignment horizontal="center" vertical="center"/>
    </xf>
    <xf numFmtId="178" fontId="22" fillId="22" borderId="182" xfId="11" applyNumberFormat="1" applyFont="1" applyFill="1" applyBorder="1" applyAlignment="1">
      <alignment horizontal="center" vertical="center" wrapText="1"/>
    </xf>
    <xf numFmtId="178" fontId="22" fillId="22" borderId="185" xfId="11" applyNumberFormat="1" applyFont="1" applyFill="1" applyBorder="1" applyAlignment="1">
      <alignment horizontal="center" vertical="center" wrapText="1"/>
    </xf>
    <xf numFmtId="0" fontId="9" fillId="4" borderId="110" xfId="0" applyFont="1" applyFill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/>
    </xf>
    <xf numFmtId="0" fontId="9" fillId="4" borderId="12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>
      <alignment vertical="center"/>
    </xf>
    <xf numFmtId="2" fontId="0" fillId="0" borderId="0" xfId="0" applyNumberFormat="1" applyAlignment="1">
      <alignment horizontal="center" vertical="center"/>
    </xf>
    <xf numFmtId="0" fontId="20" fillId="0" borderId="0" xfId="13" applyFont="1" applyAlignment="1">
      <alignment horizontal="center" vertical="center"/>
    </xf>
    <xf numFmtId="0" fontId="21" fillId="22" borderId="182" xfId="11" applyFont="1" applyFill="1" applyBorder="1" applyAlignment="1">
      <alignment horizontal="center" vertical="center"/>
    </xf>
    <xf numFmtId="0" fontId="21" fillId="22" borderId="183" xfId="11" applyFont="1" applyFill="1" applyBorder="1" applyAlignment="1">
      <alignment horizontal="center" vertical="center"/>
    </xf>
    <xf numFmtId="0" fontId="21" fillId="22" borderId="184" xfId="11" applyFont="1" applyFill="1" applyBorder="1" applyAlignment="1">
      <alignment horizontal="center" vertical="center"/>
    </xf>
    <xf numFmtId="181" fontId="9" fillId="22" borderId="182" xfId="1" applyNumberFormat="1" applyFont="1" applyFill="1" applyBorder="1" applyAlignment="1" applyProtection="1">
      <alignment horizontal="center" vertical="center"/>
    </xf>
    <xf numFmtId="181" fontId="9" fillId="22" borderId="183" xfId="1" applyNumberFormat="1" applyFont="1" applyFill="1" applyBorder="1" applyAlignment="1" applyProtection="1">
      <alignment horizontal="center" vertical="center"/>
    </xf>
    <xf numFmtId="181" fontId="9" fillId="22" borderId="184" xfId="1" applyNumberFormat="1" applyFont="1" applyFill="1" applyBorder="1" applyAlignment="1" applyProtection="1">
      <alignment horizontal="center" vertical="center"/>
    </xf>
    <xf numFmtId="0" fontId="15" fillId="6" borderId="72" xfId="19" applyFont="1" applyFill="1" applyBorder="1" applyAlignment="1">
      <alignment horizontal="center" vertical="center"/>
    </xf>
    <xf numFmtId="0" fontId="15" fillId="6" borderId="70" xfId="19" applyFont="1" applyFill="1" applyBorder="1" applyAlignment="1">
      <alignment horizontal="center" vertical="center"/>
    </xf>
    <xf numFmtId="0" fontId="0" fillId="6" borderId="107" xfId="19" applyFont="1" applyFill="1" applyBorder="1" applyAlignment="1">
      <alignment horizontal="center" vertical="center"/>
    </xf>
    <xf numFmtId="0" fontId="0" fillId="6" borderId="70" xfId="19" applyFont="1" applyFill="1" applyBorder="1" applyAlignment="1">
      <alignment horizontal="center" vertical="center"/>
    </xf>
    <xf numFmtId="0" fontId="0" fillId="0" borderId="72" xfId="19" applyFont="1" applyBorder="1" applyAlignment="1">
      <alignment horizontal="center" vertical="center"/>
    </xf>
    <xf numFmtId="0" fontId="0" fillId="0" borderId="83" xfId="19" applyFont="1" applyBorder="1" applyAlignment="1">
      <alignment horizontal="center" vertical="center"/>
    </xf>
    <xf numFmtId="0" fontId="0" fillId="0" borderId="85" xfId="19" applyFont="1" applyBorder="1" applyAlignment="1">
      <alignment horizontal="center" vertical="center" wrapText="1"/>
    </xf>
    <xf numFmtId="0" fontId="0" fillId="0" borderId="83" xfId="19" applyFont="1" applyBorder="1" applyAlignment="1">
      <alignment horizontal="center" vertical="center" wrapText="1"/>
    </xf>
    <xf numFmtId="0" fontId="0" fillId="0" borderId="79" xfId="19" applyFont="1" applyBorder="1" applyAlignment="1">
      <alignment horizontal="center" vertical="center" wrapText="1"/>
    </xf>
    <xf numFmtId="0" fontId="14" fillId="0" borderId="85" xfId="19" applyFont="1" applyBorder="1" applyAlignment="1">
      <alignment horizontal="center" vertical="center" wrapText="1"/>
    </xf>
    <xf numFmtId="0" fontId="14" fillId="0" borderId="83" xfId="19" applyFont="1" applyBorder="1" applyAlignment="1">
      <alignment horizontal="center" vertical="center" wrapText="1"/>
    </xf>
    <xf numFmtId="0" fontId="0" fillId="0" borderId="72" xfId="19" applyFont="1" applyBorder="1" applyAlignment="1">
      <alignment horizontal="center" vertical="center" wrapText="1"/>
    </xf>
    <xf numFmtId="0" fontId="12" fillId="0" borderId="0" xfId="20" applyFont="1" applyAlignment="1">
      <alignment horizontal="center" vertical="center"/>
    </xf>
    <xf numFmtId="0" fontId="13" fillId="0" borderId="62" xfId="14" applyFont="1" applyBorder="1" applyAlignment="1">
      <alignment horizontal="center" vertical="center"/>
    </xf>
    <xf numFmtId="0" fontId="13" fillId="0" borderId="67" xfId="14" applyFont="1" applyBorder="1" applyAlignment="1">
      <alignment horizontal="center" vertical="center"/>
    </xf>
    <xf numFmtId="0" fontId="13" fillId="0" borderId="75" xfId="14" applyFont="1" applyBorder="1" applyAlignment="1">
      <alignment horizontal="center" vertical="center"/>
    </xf>
    <xf numFmtId="0" fontId="13" fillId="6" borderId="60" xfId="14" applyFont="1" applyFill="1" applyBorder="1" applyAlignment="1">
      <alignment horizontal="center" vertical="center" wrapText="1"/>
    </xf>
    <xf numFmtId="0" fontId="13" fillId="6" borderId="48" xfId="14" applyFont="1" applyFill="1" applyBorder="1" applyAlignment="1">
      <alignment horizontal="center" vertical="center" wrapText="1"/>
    </xf>
    <xf numFmtId="0" fontId="13" fillId="0" borderId="63" xfId="14" applyFont="1" applyBorder="1" applyAlignment="1">
      <alignment horizontal="center" vertical="center" wrapText="1"/>
    </xf>
    <xf numFmtId="0" fontId="13" fillId="0" borderId="68" xfId="14" applyFont="1" applyBorder="1" applyAlignment="1">
      <alignment horizontal="center" vertical="center" wrapText="1"/>
    </xf>
    <xf numFmtId="0" fontId="13" fillId="0" borderId="76" xfId="14" applyFont="1" applyBorder="1" applyAlignment="1">
      <alignment horizontal="center" vertical="center" wrapText="1"/>
    </xf>
    <xf numFmtId="0" fontId="13" fillId="0" borderId="63" xfId="14" applyFont="1" applyBorder="1" applyAlignment="1">
      <alignment horizontal="center" vertical="center"/>
    </xf>
    <xf numFmtId="0" fontId="13" fillId="0" borderId="84" xfId="14" applyFont="1" applyBorder="1" applyAlignment="1">
      <alignment horizontal="center" vertical="center"/>
    </xf>
    <xf numFmtId="0" fontId="13" fillId="0" borderId="88" xfId="14" applyFont="1" applyBorder="1" applyAlignment="1">
      <alignment horizontal="center" vertical="center"/>
    </xf>
    <xf numFmtId="0" fontId="13" fillId="0" borderId="85" xfId="14" applyFont="1" applyBorder="1" applyAlignment="1">
      <alignment horizontal="center" vertical="center" wrapText="1"/>
    </xf>
    <xf numFmtId="0" fontId="13" fillId="0" borderId="94" xfId="14" applyFont="1" applyBorder="1" applyAlignment="1">
      <alignment horizontal="center" vertical="center" wrapText="1"/>
    </xf>
    <xf numFmtId="0" fontId="13" fillId="0" borderId="95" xfId="14" applyFont="1" applyBorder="1" applyAlignment="1">
      <alignment horizontal="center" vertical="center" wrapText="1"/>
    </xf>
    <xf numFmtId="0" fontId="13" fillId="0" borderId="83" xfId="14" applyFont="1" applyBorder="1" applyAlignment="1">
      <alignment horizontal="center" vertical="center" wrapText="1"/>
    </xf>
    <xf numFmtId="0" fontId="13" fillId="0" borderId="79" xfId="14" applyFont="1" applyBorder="1" applyAlignment="1">
      <alignment horizontal="center" vertical="center" wrapText="1"/>
    </xf>
    <xf numFmtId="0" fontId="13" fillId="6" borderId="61" xfId="2" applyFont="1" applyFill="1" applyBorder="1" applyAlignment="1">
      <alignment horizontal="center" vertical="center" wrapText="1"/>
    </xf>
    <xf numFmtId="0" fontId="13" fillId="6" borderId="14" xfId="2" applyFont="1" applyFill="1" applyBorder="1" applyAlignment="1">
      <alignment horizontal="center" vertical="center" wrapText="1"/>
    </xf>
    <xf numFmtId="0" fontId="13" fillId="0" borderId="4" xfId="14" applyFont="1" applyBorder="1" applyAlignment="1">
      <alignment horizontal="center" vertical="center" wrapText="1"/>
    </xf>
    <xf numFmtId="0" fontId="13" fillId="0" borderId="8" xfId="14" applyFont="1" applyBorder="1" applyAlignment="1">
      <alignment horizontal="center" vertical="center" wrapText="1"/>
    </xf>
    <xf numFmtId="0" fontId="13" fillId="0" borderId="49" xfId="14" applyFont="1" applyBorder="1" applyAlignment="1">
      <alignment horizontal="center" vertical="center" wrapText="1"/>
    </xf>
    <xf numFmtId="0" fontId="13" fillId="0" borderId="21" xfId="14" applyFont="1" applyBorder="1" applyAlignment="1">
      <alignment horizontal="center" vertical="center" wrapText="1"/>
    </xf>
    <xf numFmtId="0" fontId="13" fillId="0" borderId="14" xfId="14" applyFont="1" applyBorder="1" applyAlignment="1">
      <alignment horizontal="center" vertical="center" wrapText="1"/>
    </xf>
    <xf numFmtId="0" fontId="13" fillId="0" borderId="19" xfId="14" applyFont="1" applyBorder="1" applyAlignment="1">
      <alignment horizontal="center" vertical="center" wrapText="1"/>
    </xf>
    <xf numFmtId="0" fontId="13" fillId="0" borderId="17" xfId="14" applyFont="1" applyBorder="1" applyAlignment="1">
      <alignment horizontal="center" vertical="center" wrapText="1"/>
    </xf>
    <xf numFmtId="0" fontId="13" fillId="0" borderId="23" xfId="14" applyFont="1" applyBorder="1" applyAlignment="1">
      <alignment horizontal="center" vertical="center" wrapText="1"/>
    </xf>
    <xf numFmtId="0" fontId="13" fillId="0" borderId="3" xfId="14" applyFont="1" applyBorder="1" applyAlignment="1">
      <alignment horizontal="center" vertical="center" wrapText="1"/>
    </xf>
    <xf numFmtId="0" fontId="13" fillId="0" borderId="7" xfId="14" applyFont="1" applyBorder="1" applyAlignment="1">
      <alignment horizontal="center" vertical="center" wrapText="1"/>
    </xf>
    <xf numFmtId="0" fontId="13" fillId="0" borderId="96" xfId="14" applyFont="1" applyBorder="1" applyAlignment="1">
      <alignment horizontal="center" vertical="center" wrapText="1"/>
    </xf>
    <xf numFmtId="0" fontId="13" fillId="0" borderId="170" xfId="14" applyFont="1" applyBorder="1" applyAlignment="1">
      <alignment horizontal="center" vertical="center" wrapText="1"/>
    </xf>
    <xf numFmtId="0" fontId="13" fillId="0" borderId="171" xfId="14" applyFont="1" applyBorder="1" applyAlignment="1">
      <alignment horizontal="center" vertical="center" wrapText="1"/>
    </xf>
    <xf numFmtId="0" fontId="13" fillId="0" borderId="16" xfId="14" applyFont="1" applyBorder="1" applyAlignment="1">
      <alignment horizontal="center" vertical="center" wrapText="1"/>
    </xf>
    <xf numFmtId="0" fontId="13" fillId="0" borderId="13" xfId="14" applyFont="1" applyBorder="1" applyAlignment="1">
      <alignment horizontal="center" vertical="center" wrapText="1"/>
    </xf>
    <xf numFmtId="0" fontId="14" fillId="0" borderId="83" xfId="8" applyFont="1" applyBorder="1" applyAlignment="1">
      <alignment horizontal="center" vertical="center" wrapText="1"/>
    </xf>
    <xf numFmtId="0" fontId="14" fillId="0" borderId="84" xfId="8" applyFont="1" applyBorder="1" applyAlignment="1">
      <alignment horizontal="center" vertical="center" wrapText="1"/>
    </xf>
    <xf numFmtId="0" fontId="14" fillId="0" borderId="70" xfId="8" applyFont="1" applyBorder="1" applyAlignment="1">
      <alignment horizontal="center" vertical="center" wrapText="1"/>
    </xf>
    <xf numFmtId="0" fontId="14" fillId="0" borderId="89" xfId="8" applyFont="1" applyBorder="1" applyAlignment="1">
      <alignment horizontal="center" vertical="center" wrapText="1"/>
    </xf>
    <xf numFmtId="0" fontId="14" fillId="0" borderId="72" xfId="8" applyFont="1" applyBorder="1" applyAlignment="1">
      <alignment horizontal="center" vertical="center" wrapText="1"/>
    </xf>
    <xf numFmtId="0" fontId="14" fillId="0" borderId="86" xfId="8" applyFont="1" applyBorder="1" applyAlignment="1">
      <alignment horizontal="center" vertical="center" wrapText="1"/>
    </xf>
    <xf numFmtId="0" fontId="14" fillId="0" borderId="98" xfId="8" applyFont="1" applyBorder="1" applyAlignment="1">
      <alignment horizontal="center" vertical="center" wrapText="1"/>
    </xf>
    <xf numFmtId="0" fontId="14" fillId="0" borderId="99" xfId="8" applyFont="1" applyBorder="1" applyAlignment="1">
      <alignment horizontal="center" vertical="center" wrapText="1"/>
    </xf>
    <xf numFmtId="0" fontId="14" fillId="0" borderId="100" xfId="8" applyFont="1" applyBorder="1" applyAlignment="1">
      <alignment horizontal="center" vertical="center" wrapText="1"/>
    </xf>
    <xf numFmtId="0" fontId="14" fillId="0" borderId="101" xfId="8" applyFont="1" applyBorder="1" applyAlignment="1">
      <alignment horizontal="center" vertical="center" wrapText="1"/>
    </xf>
    <xf numFmtId="0" fontId="13" fillId="6" borderId="45" xfId="2" applyFont="1" applyFill="1" applyBorder="1" applyAlignment="1">
      <alignment horizontal="center" vertical="center" wrapText="1"/>
    </xf>
    <xf numFmtId="0" fontId="13" fillId="6" borderId="10" xfId="2" applyFont="1" applyFill="1" applyBorder="1" applyAlignment="1">
      <alignment horizontal="center" vertical="center" wrapText="1"/>
    </xf>
    <xf numFmtId="0" fontId="13" fillId="0" borderId="12" xfId="14" applyFont="1" applyBorder="1" applyAlignment="1">
      <alignment horizontal="center" vertical="center"/>
    </xf>
    <xf numFmtId="0" fontId="13" fillId="0" borderId="92" xfId="14" applyFont="1" applyBorder="1" applyAlignment="1">
      <alignment horizontal="center" vertical="center"/>
    </xf>
    <xf numFmtId="176" fontId="13" fillId="6" borderId="109" xfId="20" applyNumberFormat="1" applyFont="1" applyFill="1" applyBorder="1" applyAlignment="1">
      <alignment horizontal="center" vertical="center"/>
    </xf>
    <xf numFmtId="176" fontId="13" fillId="6" borderId="108" xfId="20" applyNumberFormat="1" applyFont="1" applyFill="1" applyBorder="1" applyAlignment="1">
      <alignment horizontal="center" vertical="center"/>
    </xf>
    <xf numFmtId="176" fontId="13" fillId="6" borderId="125" xfId="20" applyNumberFormat="1" applyFont="1" applyFill="1" applyBorder="1" applyAlignment="1">
      <alignment horizontal="center" vertical="center"/>
    </xf>
    <xf numFmtId="176" fontId="13" fillId="6" borderId="19" xfId="20" applyNumberFormat="1" applyFont="1" applyFill="1" applyBorder="1" applyAlignment="1">
      <alignment horizontal="center" vertical="center"/>
    </xf>
    <xf numFmtId="176" fontId="13" fillId="6" borderId="30" xfId="20" applyNumberFormat="1" applyFont="1" applyFill="1" applyBorder="1" applyAlignment="1">
      <alignment horizontal="center" vertical="center"/>
    </xf>
    <xf numFmtId="176" fontId="13" fillId="6" borderId="20" xfId="20" applyNumberFormat="1" applyFont="1" applyFill="1" applyBorder="1" applyAlignment="1">
      <alignment horizontal="center" vertical="center"/>
    </xf>
    <xf numFmtId="176" fontId="13" fillId="21" borderId="19" xfId="20" applyNumberFormat="1" applyFont="1" applyFill="1" applyBorder="1" applyAlignment="1">
      <alignment horizontal="center" vertical="center"/>
    </xf>
    <xf numFmtId="176" fontId="13" fillId="21" borderId="30" xfId="20" applyNumberFormat="1" applyFont="1" applyFill="1" applyBorder="1" applyAlignment="1">
      <alignment horizontal="center" vertical="center"/>
    </xf>
    <xf numFmtId="176" fontId="13" fillId="21" borderId="20" xfId="20" applyNumberFormat="1" applyFont="1" applyFill="1" applyBorder="1" applyAlignment="1">
      <alignment horizontal="center" vertical="center"/>
    </xf>
    <xf numFmtId="176" fontId="13" fillId="6" borderId="110" xfId="20" applyNumberFormat="1" applyFont="1" applyFill="1" applyBorder="1" applyAlignment="1">
      <alignment horizontal="center" vertical="center"/>
    </xf>
    <xf numFmtId="176" fontId="13" fillId="6" borderId="1" xfId="20" applyNumberFormat="1" applyFont="1" applyFill="1" applyBorder="1" applyAlignment="1">
      <alignment horizontal="center" vertical="center"/>
    </xf>
    <xf numFmtId="176" fontId="13" fillId="6" borderId="126" xfId="20" applyNumberFormat="1" applyFont="1" applyFill="1" applyBorder="1" applyAlignment="1">
      <alignment horizontal="center" vertical="center"/>
    </xf>
    <xf numFmtId="176" fontId="13" fillId="21" borderId="110" xfId="20" applyNumberFormat="1" applyFont="1" applyFill="1" applyBorder="1" applyAlignment="1">
      <alignment horizontal="center" vertical="center"/>
    </xf>
    <xf numFmtId="176" fontId="13" fillId="21" borderId="1" xfId="20" applyNumberFormat="1" applyFont="1" applyFill="1" applyBorder="1" applyAlignment="1">
      <alignment horizontal="center" vertical="center"/>
    </xf>
    <xf numFmtId="176" fontId="13" fillId="21" borderId="126" xfId="20" applyNumberFormat="1" applyFont="1" applyFill="1" applyBorder="1" applyAlignment="1">
      <alignment horizontal="center" vertical="center"/>
    </xf>
    <xf numFmtId="0" fontId="14" fillId="0" borderId="74" xfId="8" applyFont="1" applyBorder="1" applyAlignment="1">
      <alignment horizontal="center" vertical="center" wrapText="1"/>
    </xf>
    <xf numFmtId="0" fontId="14" fillId="0" borderId="82" xfId="8" applyFont="1" applyBorder="1" applyAlignment="1">
      <alignment horizontal="center" vertical="center" wrapText="1"/>
    </xf>
    <xf numFmtId="176" fontId="13" fillId="0" borderId="30" xfId="20" applyNumberFormat="1" applyFont="1" applyBorder="1" applyAlignment="1">
      <alignment horizontal="center" vertical="center"/>
    </xf>
    <xf numFmtId="176" fontId="13" fillId="21" borderId="54" xfId="20" applyNumberFormat="1" applyFont="1" applyFill="1" applyBorder="1" applyAlignment="1">
      <alignment horizontal="center" vertical="center"/>
    </xf>
    <xf numFmtId="176" fontId="13" fillId="7" borderId="19" xfId="20" applyNumberFormat="1" applyFont="1" applyFill="1" applyBorder="1" applyAlignment="1">
      <alignment horizontal="center" vertical="center"/>
    </xf>
    <xf numFmtId="176" fontId="13" fillId="7" borderId="30" xfId="20" applyNumberFormat="1" applyFont="1" applyFill="1" applyBorder="1" applyAlignment="1">
      <alignment horizontal="center" vertical="center"/>
    </xf>
    <xf numFmtId="176" fontId="13" fillId="7" borderId="20" xfId="20" applyNumberFormat="1" applyFont="1" applyFill="1" applyBorder="1" applyAlignment="1">
      <alignment horizontal="center" vertical="center"/>
    </xf>
    <xf numFmtId="173" fontId="7" fillId="0" borderId="51" xfId="7" applyNumberFormat="1" applyFont="1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52" xfId="0" applyBorder="1">
      <alignment vertical="center"/>
    </xf>
    <xf numFmtId="16" fontId="7" fillId="0" borderId="51" xfId="7" applyNumberFormat="1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0" fontId="5" fillId="2" borderId="1" xfId="7" applyFont="1" applyFill="1" applyBorder="1" applyAlignment="1">
      <alignment horizontal="center" vertical="center" wrapText="1"/>
    </xf>
    <xf numFmtId="0" fontId="6" fillId="2" borderId="1" xfId="7" applyFont="1" applyFill="1" applyBorder="1" applyAlignment="1">
      <alignment horizontal="center" vertical="center" wrapText="1"/>
    </xf>
    <xf numFmtId="0" fontId="5" fillId="0" borderId="54" xfId="7" applyFont="1" applyBorder="1" applyAlignment="1">
      <alignment horizontal="center" vertical="center" wrapText="1"/>
    </xf>
    <xf numFmtId="0" fontId="5" fillId="0" borderId="34" xfId="7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0" fontId="5" fillId="0" borderId="51" xfId="7" applyFont="1" applyBorder="1" applyAlignment="1">
      <alignment horizontal="center" vertical="center" wrapText="1"/>
    </xf>
    <xf numFmtId="0" fontId="5" fillId="0" borderId="52" xfId="7" applyFont="1" applyBorder="1" applyAlignment="1">
      <alignment horizontal="center" vertical="center" wrapText="1"/>
    </xf>
  </cellXfs>
  <cellStyles count="21">
    <cellStyle name="Calculation 2 2 4 9 2" xfId="9" xr:uid="{00000000-0005-0000-0000-000038000000}"/>
    <cellStyle name="Comma" xfId="1" builtinId="3"/>
    <cellStyle name="Comma [0] 2" xfId="10" xr:uid="{00000000-0005-0000-0000-000039000000}"/>
    <cellStyle name="Excel Built-in Normal" xfId="12" xr:uid="{00000000-0005-0000-0000-00003B000000}"/>
    <cellStyle name="Excel Built-in Normal 1" xfId="3" xr:uid="{00000000-0005-0000-0000-000014000000}"/>
    <cellStyle name="Excel Built-in Normal 2" xfId="4" xr:uid="{00000000-0005-0000-0000-000016000000}"/>
    <cellStyle name="Normal" xfId="0" builtinId="0"/>
    <cellStyle name="Normal 10" xfId="11" xr:uid="{00000000-0005-0000-0000-00003A000000}"/>
    <cellStyle name="Normal 14" xfId="13" xr:uid="{00000000-0005-0000-0000-00003C000000}"/>
    <cellStyle name="Normal 2" xfId="5" xr:uid="{00000000-0005-0000-0000-000023000000}"/>
    <cellStyle name="Normal 2 10 10" xfId="14" xr:uid="{00000000-0005-0000-0000-00003D000000}"/>
    <cellStyle name="Normal 2 10 2" xfId="15" xr:uid="{00000000-0005-0000-0000-00003E000000}"/>
    <cellStyle name="Normal 2 10 2 2 2" xfId="16" xr:uid="{00000000-0005-0000-0000-00003F000000}"/>
    <cellStyle name="Normal 2 2 2 2 2 3" xfId="2" xr:uid="{00000000-0005-0000-0000-00000B000000}"/>
    <cellStyle name="Normal 2 2 2 2 2 3 2" xfId="8" xr:uid="{00000000-0005-0000-0000-000036000000}"/>
    <cellStyle name="Normal 2 2 2 2 2 5" xfId="7" xr:uid="{00000000-0005-0000-0000-000035000000}"/>
    <cellStyle name="Normal 2 2 2 3" xfId="6" xr:uid="{00000000-0005-0000-0000-00002E000000}"/>
    <cellStyle name="Normal 296" xfId="17" xr:uid="{00000000-0005-0000-0000-000040000000}"/>
    <cellStyle name="Normal 3" xfId="18" xr:uid="{00000000-0005-0000-0000-000041000000}"/>
    <cellStyle name="Normal 302" xfId="19" xr:uid="{00000000-0005-0000-0000-000042000000}"/>
    <cellStyle name="Normal 54" xfId="20" xr:uid="{00000000-0005-0000-0000-000043000000}"/>
  </cellStyles>
  <dxfs count="0"/>
  <tableStyles count="0" defaultTableStyle="TableStyleMedium2" defaultPivotStyle="PivotStyleLight16"/>
  <colors>
    <mruColors>
      <color rgb="FFBB645B"/>
      <color rgb="FFFFB7FF"/>
      <color rgb="FF483263"/>
      <color rgb="FFFF66FF"/>
      <color rgb="FFFD0DFF"/>
      <color rgb="FFDB7FE4"/>
      <color rgb="FF000000"/>
      <color rgb="FFFFFF00"/>
      <color rgb="FFCC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AY878"/>
  <sheetViews>
    <sheetView zoomScale="90" zoomScaleNormal="90" workbookViewId="0">
      <pane xSplit="10" ySplit="2" topLeftCell="K562" activePane="bottomRight" state="frozen"/>
      <selection pane="topRight"/>
      <selection pane="bottomLeft"/>
      <selection pane="bottomRight" activeCell="A586" sqref="A586"/>
    </sheetView>
  </sheetViews>
  <sheetFormatPr defaultColWidth="5.33203125" defaultRowHeight="14.4"/>
  <cols>
    <col min="1" max="1" width="5.33203125" style="934" customWidth="1"/>
    <col min="2" max="2" width="37.77734375" style="934" customWidth="1"/>
    <col min="3" max="3" width="12.44140625" style="934" customWidth="1"/>
    <col min="4" max="4" width="14.33203125" style="828" customWidth="1"/>
    <col min="5" max="6" width="10.44140625" style="934" customWidth="1"/>
    <col min="7" max="7" width="14.6640625" style="934" customWidth="1"/>
    <col min="8" max="8" width="17.44140625" style="934" customWidth="1"/>
    <col min="9" max="9" width="25" style="934" customWidth="1"/>
    <col min="10" max="10" width="9" style="934" customWidth="1"/>
    <col min="11" max="11" width="12.33203125" style="934" customWidth="1"/>
    <col min="12" max="14" width="10.44140625" style="934" customWidth="1"/>
    <col min="15" max="15" width="21.77734375" style="1069" customWidth="1"/>
    <col min="16" max="16" width="14" style="1069" customWidth="1"/>
    <col min="17" max="17" width="27.6640625" style="934" customWidth="1"/>
    <col min="18" max="18" width="21.6640625" style="934" customWidth="1"/>
    <col min="19" max="19" width="12.6640625" style="934" customWidth="1"/>
    <col min="20" max="23" width="11" style="934" customWidth="1"/>
    <col min="24" max="25" width="19.44140625" style="1069" customWidth="1"/>
    <col min="26" max="26" width="12.6640625" style="934" customWidth="1"/>
    <col min="27" max="27" width="26.109375" style="934" hidden="1" customWidth="1"/>
    <col min="28" max="29" width="18.44140625" style="934" hidden="1" customWidth="1"/>
    <col min="30" max="31" width="14.44140625" style="934" hidden="1" customWidth="1"/>
    <col min="32" max="32" width="25.44140625" style="934" hidden="1" customWidth="1"/>
    <col min="33" max="33" width="9.44140625" style="934" hidden="1" customWidth="1"/>
    <col min="34" max="34" width="32.44140625" style="934" hidden="1" customWidth="1"/>
    <col min="35" max="38" width="17.44140625" style="934" hidden="1" customWidth="1"/>
    <col min="39" max="39" width="44.77734375" style="934" hidden="1" customWidth="1"/>
    <col min="40" max="40" width="8.6640625" style="934" hidden="1" customWidth="1"/>
    <col min="41" max="42" width="17.44140625" style="934" hidden="1" customWidth="1"/>
    <col min="43" max="43" width="17.44140625" style="927" hidden="1" customWidth="1"/>
    <col min="44" max="44" width="18.33203125" style="784" hidden="1" customWidth="1"/>
    <col min="45" max="45" width="18.44140625" style="784" hidden="1" customWidth="1"/>
    <col min="46" max="48" width="10.44140625" style="784" hidden="1" customWidth="1"/>
    <col min="49" max="49" width="10.44140625" style="1184" hidden="1" customWidth="1"/>
    <col min="50" max="50" width="10.44140625" style="927" hidden="1" customWidth="1"/>
    <col min="51" max="51" width="10.44140625" style="784" hidden="1" customWidth="1"/>
    <col min="52" max="52" width="5.33203125" style="934" customWidth="1"/>
    <col min="53" max="16384" width="5.33203125" style="934"/>
  </cols>
  <sheetData>
    <row r="1" spans="1:51" ht="21">
      <c r="A1" s="1097"/>
      <c r="B1" s="1506" t="s">
        <v>0</v>
      </c>
      <c r="C1" s="1507"/>
      <c r="D1" s="1507"/>
      <c r="E1" s="1507"/>
      <c r="F1" s="1507"/>
      <c r="G1" s="1507"/>
      <c r="H1" s="1507"/>
      <c r="I1" s="1508"/>
      <c r="J1" s="1507"/>
      <c r="K1" s="1507"/>
      <c r="L1" s="1507"/>
      <c r="M1" s="1507"/>
      <c r="N1" s="1507"/>
      <c r="O1" s="1509"/>
      <c r="P1" s="1509"/>
      <c r="Q1" s="1507"/>
      <c r="R1" s="1507"/>
      <c r="S1" s="1507"/>
      <c r="T1" s="1507"/>
      <c r="U1" s="1507"/>
      <c r="V1" s="1507"/>
      <c r="W1" s="1507"/>
      <c r="X1" s="1509"/>
      <c r="Y1" s="1509"/>
      <c r="Z1" s="1507"/>
      <c r="AA1" s="1507"/>
      <c r="AB1" s="1507"/>
      <c r="AC1" s="1507"/>
      <c r="AD1" s="1507"/>
      <c r="AE1" s="1510"/>
      <c r="AF1" s="1507"/>
      <c r="AG1" s="1507"/>
      <c r="AH1" s="1511"/>
      <c r="AI1" s="1507"/>
      <c r="AJ1" s="1507"/>
      <c r="AK1" s="1507"/>
      <c r="AL1" s="1507"/>
      <c r="AM1" s="1508"/>
      <c r="AN1" s="1233"/>
      <c r="AO1" s="828"/>
      <c r="AQ1" s="934"/>
      <c r="AR1" s="828"/>
      <c r="AS1" s="828"/>
      <c r="AT1" s="828"/>
      <c r="AU1" s="828"/>
      <c r="AV1" s="828"/>
      <c r="AW1" s="828"/>
      <c r="AX1" s="934"/>
      <c r="AY1" s="828"/>
    </row>
    <row r="2" spans="1:51" ht="18" customHeight="1">
      <c r="A2" s="1097"/>
      <c r="B2" s="1512" t="s">
        <v>1</v>
      </c>
      <c r="C2" s="1513"/>
      <c r="D2" s="1513"/>
      <c r="E2" s="1513"/>
      <c r="F2" s="1513"/>
      <c r="G2" s="1513"/>
      <c r="H2" s="1513"/>
      <c r="I2" s="1513"/>
      <c r="J2" s="1513"/>
      <c r="K2" s="1513"/>
      <c r="L2" s="1513"/>
      <c r="M2" s="1513"/>
      <c r="N2" s="1513"/>
      <c r="O2" s="1514"/>
      <c r="P2" s="1514"/>
      <c r="Q2" s="1513"/>
      <c r="R2" s="1513"/>
      <c r="S2" s="1513"/>
      <c r="T2" s="1513"/>
      <c r="U2" s="1513"/>
      <c r="V2" s="1513"/>
      <c r="W2" s="1513"/>
      <c r="X2" s="1514"/>
      <c r="Y2" s="1514"/>
      <c r="Z2" s="1513"/>
      <c r="AA2" s="1513"/>
      <c r="AB2" s="1513"/>
      <c r="AC2" s="1513"/>
      <c r="AD2" s="1513"/>
      <c r="AE2" s="1515"/>
      <c r="AF2" s="1513"/>
      <c r="AG2" s="1513"/>
      <c r="AH2" s="1516"/>
      <c r="AI2" s="1513"/>
      <c r="AJ2" s="1513"/>
      <c r="AK2" s="1513"/>
      <c r="AL2" s="1513"/>
      <c r="AM2" s="1513"/>
      <c r="AN2" s="5"/>
      <c r="AO2" s="828"/>
      <c r="AQ2" s="934"/>
      <c r="AR2" s="828"/>
      <c r="AS2" s="828"/>
      <c r="AT2" s="828"/>
      <c r="AU2" s="828"/>
      <c r="AV2" s="828"/>
      <c r="AW2" s="828"/>
      <c r="AX2" s="934"/>
      <c r="AY2" s="828"/>
    </row>
    <row r="3" spans="1:51" ht="18">
      <c r="A3" s="1097"/>
      <c r="B3" s="1185" t="s">
        <v>2</v>
      </c>
      <c r="C3" s="717"/>
      <c r="D3" s="717"/>
      <c r="E3" s="717"/>
      <c r="F3" s="717"/>
      <c r="G3" s="717"/>
      <c r="H3" s="717"/>
      <c r="I3" s="5"/>
      <c r="J3" s="717"/>
      <c r="K3" s="717"/>
      <c r="L3" s="717"/>
      <c r="M3" s="717"/>
      <c r="N3" s="717"/>
      <c r="O3" s="1194"/>
      <c r="P3" s="1194"/>
      <c r="Q3" s="717"/>
      <c r="R3" s="717"/>
      <c r="S3" s="717"/>
      <c r="T3" s="717"/>
      <c r="U3" s="717"/>
      <c r="V3" s="717"/>
      <c r="W3" s="717"/>
      <c r="X3" s="1194"/>
      <c r="Y3" s="1194"/>
      <c r="Z3" s="717"/>
      <c r="AA3" s="717"/>
      <c r="AB3" s="717"/>
      <c r="AC3" s="717"/>
      <c r="AD3" s="717"/>
      <c r="AE3" s="1216"/>
      <c r="AF3" s="717"/>
      <c r="AG3" s="717"/>
      <c r="AH3" s="1182"/>
      <c r="AI3" s="1234"/>
      <c r="AJ3" s="1234"/>
      <c r="AK3" s="1235"/>
      <c r="AL3" s="717"/>
      <c r="AM3" s="5"/>
      <c r="AN3" s="1236"/>
      <c r="AO3" s="828"/>
      <c r="AQ3" s="934"/>
      <c r="AR3" s="828"/>
      <c r="AS3" s="828"/>
      <c r="AT3" s="828"/>
      <c r="AU3" s="828"/>
      <c r="AV3" s="828"/>
      <c r="AW3" s="828"/>
      <c r="AX3" s="934"/>
      <c r="AY3" s="828"/>
    </row>
    <row r="4" spans="1:51" ht="18">
      <c r="A4" s="1097"/>
      <c r="B4" s="1186" t="s">
        <v>3</v>
      </c>
      <c r="C4" s="717"/>
      <c r="D4" s="717"/>
      <c r="E4" s="717"/>
      <c r="F4" s="717"/>
      <c r="G4" s="717"/>
      <c r="H4" s="717"/>
      <c r="I4" s="5"/>
      <c r="J4" s="717"/>
      <c r="K4" s="717"/>
      <c r="L4" s="717"/>
      <c r="M4" s="717"/>
      <c r="N4" s="717"/>
      <c r="O4" s="1194"/>
      <c r="P4" s="1194"/>
      <c r="Q4" s="717"/>
      <c r="R4" s="717"/>
      <c r="S4" s="717"/>
      <c r="T4" s="717"/>
      <c r="U4" s="717"/>
      <c r="V4" s="717"/>
      <c r="W4" s="717"/>
      <c r="X4" s="1194"/>
      <c r="Y4" s="1194"/>
      <c r="Z4" s="717"/>
      <c r="AA4" s="717"/>
      <c r="AB4" s="717"/>
      <c r="AC4" s="717"/>
      <c r="AD4" s="717"/>
      <c r="AE4" s="1216"/>
      <c r="AF4" s="717"/>
      <c r="AG4" s="717"/>
      <c r="AH4" s="1237"/>
      <c r="AI4" s="717"/>
      <c r="AJ4" s="717"/>
      <c r="AK4" s="1238"/>
      <c r="AL4" s="717"/>
      <c r="AM4" s="5"/>
      <c r="AN4" s="5"/>
      <c r="AO4" s="828"/>
      <c r="AQ4" s="934"/>
      <c r="AR4" s="828"/>
      <c r="AS4" s="828"/>
      <c r="AT4" s="828"/>
      <c r="AU4" s="828"/>
      <c r="AV4" s="828"/>
      <c r="AW4" s="828"/>
      <c r="AX4" s="934"/>
      <c r="AY4" s="828"/>
    </row>
    <row r="5" spans="1:51" ht="18">
      <c r="A5" s="1097"/>
      <c r="B5" s="1187"/>
      <c r="C5" s="717"/>
      <c r="D5" s="717"/>
      <c r="E5" s="717"/>
      <c r="F5" s="717"/>
      <c r="G5" s="717"/>
      <c r="H5" s="717"/>
      <c r="I5" s="5"/>
      <c r="J5" s="717"/>
      <c r="K5" s="717"/>
      <c r="L5" s="717"/>
      <c r="M5" s="1195"/>
      <c r="N5" s="717"/>
      <c r="O5" s="1196">
        <v>45515</v>
      </c>
      <c r="P5" s="1194"/>
      <c r="Q5" s="717"/>
      <c r="R5" s="717"/>
      <c r="S5" s="717"/>
      <c r="T5" s="717"/>
      <c r="U5" s="717"/>
      <c r="V5" s="717"/>
      <c r="W5" s="717"/>
      <c r="X5" s="1194"/>
      <c r="Y5" s="1179">
        <v>45516</v>
      </c>
      <c r="Z5" s="717"/>
      <c r="AA5" s="717"/>
      <c r="AB5" s="1217">
        <v>45455</v>
      </c>
      <c r="AC5" s="717"/>
      <c r="AD5" s="717"/>
      <c r="AE5" s="1218">
        <f>AD5/1073</f>
        <v>0</v>
      </c>
      <c r="AF5" s="717"/>
      <c r="AG5" s="1239"/>
      <c r="AH5" s="1237"/>
      <c r="AI5" s="1217">
        <v>46550</v>
      </c>
      <c r="AJ5" s="717"/>
      <c r="AK5" s="1238"/>
      <c r="AL5" s="1218">
        <f>AK5/60000</f>
        <v>0</v>
      </c>
      <c r="AM5" s="5"/>
      <c r="AN5" s="1240"/>
      <c r="AO5" s="828"/>
      <c r="AP5" s="1248">
        <v>44803</v>
      </c>
      <c r="AQ5" s="934"/>
      <c r="AR5" s="828"/>
      <c r="AS5" s="828"/>
      <c r="AT5" s="828"/>
      <c r="AU5" s="828"/>
      <c r="AV5" s="828"/>
      <c r="AW5" s="828"/>
      <c r="AX5" s="934"/>
      <c r="AY5" s="828"/>
    </row>
    <row r="6" spans="1:51" ht="18">
      <c r="A6" s="1097"/>
      <c r="B6" s="1187"/>
      <c r="C6" s="717"/>
      <c r="D6" s="717"/>
      <c r="E6" s="717"/>
      <c r="F6" s="717"/>
      <c r="G6" s="717"/>
      <c r="H6" s="717"/>
      <c r="I6" s="5"/>
      <c r="J6" s="717"/>
      <c r="K6" s="1517" t="s">
        <v>4</v>
      </c>
      <c r="L6" s="1518"/>
      <c r="M6" s="1518"/>
      <c r="N6" s="1518"/>
      <c r="O6" s="1519"/>
      <c r="P6" s="1519"/>
      <c r="Q6" s="1518"/>
      <c r="R6" s="1518"/>
      <c r="S6" s="1520"/>
      <c r="T6" s="1521" t="s">
        <v>5</v>
      </c>
      <c r="U6" s="1521"/>
      <c r="V6" s="1521"/>
      <c r="W6" s="1521"/>
      <c r="X6" s="1522"/>
      <c r="Y6" s="1522"/>
      <c r="Z6" s="1521"/>
      <c r="AA6" s="1523" t="s">
        <v>6</v>
      </c>
      <c r="AB6" s="1524"/>
      <c r="AC6" s="1524"/>
      <c r="AD6" s="1524"/>
      <c r="AE6" s="1524"/>
      <c r="AF6" s="1524"/>
      <c r="AG6" s="1525"/>
      <c r="AH6" s="1526" t="s">
        <v>7</v>
      </c>
      <c r="AI6" s="1527"/>
      <c r="AJ6" s="1527"/>
      <c r="AK6" s="1527"/>
      <c r="AL6" s="1527"/>
      <c r="AM6" s="1528"/>
      <c r="AN6" s="1240"/>
      <c r="AO6" s="828"/>
      <c r="AP6" s="1270"/>
      <c r="AQ6" s="934"/>
      <c r="AR6" s="1504" t="s">
        <v>8</v>
      </c>
      <c r="AS6" s="1505"/>
      <c r="AT6" s="828"/>
      <c r="AU6" s="828"/>
      <c r="AV6" s="828"/>
      <c r="AW6" s="828"/>
      <c r="AX6" s="934"/>
      <c r="AY6" s="828"/>
    </row>
    <row r="7" spans="1:51" s="828" customFormat="1" ht="46.8">
      <c r="A7" s="1072" t="s">
        <v>9</v>
      </c>
      <c r="B7" s="1188" t="s">
        <v>10</v>
      </c>
      <c r="C7" s="1188" t="s">
        <v>11</v>
      </c>
      <c r="D7" s="1188" t="s">
        <v>12</v>
      </c>
      <c r="E7" s="1188" t="s">
        <v>13</v>
      </c>
      <c r="F7" s="1189" t="s">
        <v>14</v>
      </c>
      <c r="G7" s="1188" t="s">
        <v>15</v>
      </c>
      <c r="H7" s="1188" t="s">
        <v>16</v>
      </c>
      <c r="I7" s="1197" t="s">
        <v>17</v>
      </c>
      <c r="J7" s="1188" t="s">
        <v>18</v>
      </c>
      <c r="K7" s="1198" t="s">
        <v>19</v>
      </c>
      <c r="L7" s="1198" t="s">
        <v>20</v>
      </c>
      <c r="M7" s="1198" t="s">
        <v>21</v>
      </c>
      <c r="N7" s="1198" t="s">
        <v>22</v>
      </c>
      <c r="O7" s="1199" t="s">
        <v>23</v>
      </c>
      <c r="P7" s="1199" t="s">
        <v>24</v>
      </c>
      <c r="Q7" s="1198" t="s">
        <v>25</v>
      </c>
      <c r="R7" s="1198" t="s">
        <v>26</v>
      </c>
      <c r="S7" s="1206" t="s">
        <v>27</v>
      </c>
      <c r="T7" s="1207" t="s">
        <v>28</v>
      </c>
      <c r="U7" s="1207" t="s">
        <v>29</v>
      </c>
      <c r="V7" s="1207" t="s">
        <v>21</v>
      </c>
      <c r="W7" s="1207" t="s">
        <v>22</v>
      </c>
      <c r="X7" s="1208" t="s">
        <v>30</v>
      </c>
      <c r="Y7" s="1208" t="s">
        <v>31</v>
      </c>
      <c r="Z7" s="1206" t="s">
        <v>27</v>
      </c>
      <c r="AA7" s="1219" t="s">
        <v>32</v>
      </c>
      <c r="AB7" s="1220" t="s">
        <v>33</v>
      </c>
      <c r="AC7" s="1221" t="s">
        <v>34</v>
      </c>
      <c r="AD7" s="1221" t="s">
        <v>35</v>
      </c>
      <c r="AE7" s="1222" t="s">
        <v>36</v>
      </c>
      <c r="AF7" s="1223" t="s">
        <v>37</v>
      </c>
      <c r="AG7" s="1223" t="s">
        <v>38</v>
      </c>
      <c r="AH7" s="1241" t="s">
        <v>32</v>
      </c>
      <c r="AI7" s="1242" t="s">
        <v>39</v>
      </c>
      <c r="AJ7" s="1242" t="s">
        <v>40</v>
      </c>
      <c r="AK7" s="1243" t="s">
        <v>41</v>
      </c>
      <c r="AL7" s="1244" t="s">
        <v>36</v>
      </c>
      <c r="AM7" s="1245" t="s">
        <v>37</v>
      </c>
      <c r="AN7" s="1246" t="s">
        <v>38</v>
      </c>
      <c r="AO7" s="1271" t="s">
        <v>42</v>
      </c>
      <c r="AP7" s="1272" t="s">
        <v>43</v>
      </c>
      <c r="AQ7" s="1273" t="s">
        <v>44</v>
      </c>
      <c r="AR7" s="1274" t="s">
        <v>45</v>
      </c>
      <c r="AS7" s="1274" t="s">
        <v>46</v>
      </c>
      <c r="AT7" s="1275" t="s">
        <v>47</v>
      </c>
      <c r="AU7" s="1275" t="s">
        <v>48</v>
      </c>
      <c r="AV7" s="1275" t="s">
        <v>49</v>
      </c>
      <c r="AW7" s="1275" t="s">
        <v>50</v>
      </c>
      <c r="AX7" s="1275" t="s">
        <v>51</v>
      </c>
      <c r="AY7" s="1275" t="s">
        <v>52</v>
      </c>
    </row>
    <row r="8" spans="1:51" ht="15.6">
      <c r="A8" s="1097" t="s">
        <v>53</v>
      </c>
      <c r="B8" s="1103" t="s">
        <v>54</v>
      </c>
      <c r="C8" s="1098" t="s">
        <v>55</v>
      </c>
      <c r="D8" s="1098" t="s">
        <v>56</v>
      </c>
      <c r="E8" s="1432" t="s">
        <v>57</v>
      </c>
      <c r="F8" s="856">
        <v>2024</v>
      </c>
      <c r="G8" s="1190" t="s">
        <v>58</v>
      </c>
      <c r="H8" s="3">
        <v>300021182</v>
      </c>
      <c r="I8" s="1200" t="s">
        <v>59</v>
      </c>
      <c r="J8" s="1177">
        <v>1</v>
      </c>
      <c r="K8" s="749" t="s">
        <v>60</v>
      </c>
      <c r="L8" s="1201"/>
      <c r="M8" s="786">
        <v>427.99</v>
      </c>
      <c r="N8" s="1201"/>
      <c r="O8" s="1202">
        <v>45429</v>
      </c>
      <c r="P8" s="1203"/>
      <c r="Q8" s="3" t="s">
        <v>61</v>
      </c>
      <c r="R8" s="1209"/>
      <c r="S8" s="856" t="s">
        <v>62</v>
      </c>
      <c r="T8" s="856" t="s">
        <v>63</v>
      </c>
      <c r="U8" s="1210"/>
      <c r="V8" s="856">
        <f>463.9+305.16</f>
        <v>769.06</v>
      </c>
      <c r="W8" s="1210"/>
      <c r="X8" s="1179">
        <v>45432</v>
      </c>
      <c r="Y8" s="1224"/>
      <c r="Z8" s="856" t="s">
        <v>62</v>
      </c>
      <c r="AA8" s="1225"/>
      <c r="AB8" s="1099">
        <v>45434</v>
      </c>
      <c r="AC8" s="1099">
        <v>45434</v>
      </c>
      <c r="AD8" s="1226">
        <f>250+220+270</f>
        <v>740</v>
      </c>
      <c r="AE8" s="1227">
        <f t="shared" ref="AE8:AE10" si="0">AD8/252</f>
        <v>2.9365079365079363</v>
      </c>
      <c r="AF8" s="1228" t="s">
        <v>64</v>
      </c>
      <c r="AG8" s="1247">
        <v>1</v>
      </c>
      <c r="AH8" s="1178" t="s">
        <v>65</v>
      </c>
      <c r="AI8" s="1248">
        <v>45441</v>
      </c>
      <c r="AJ8" s="1248"/>
      <c r="AK8" s="1249">
        <f>16046</f>
        <v>16046</v>
      </c>
      <c r="AL8" s="1227">
        <f t="shared" ref="AL8:AL10" si="1">AK8/35000</f>
        <v>0.45845714285714284</v>
      </c>
      <c r="AM8" s="1250" t="s">
        <v>66</v>
      </c>
      <c r="AN8" s="1251">
        <f>AL8/1</f>
        <v>0.45845714285714284</v>
      </c>
      <c r="AO8" s="1276"/>
      <c r="AP8" s="1277"/>
      <c r="AQ8" s="1276"/>
      <c r="AR8" s="1278"/>
      <c r="AS8" s="1278"/>
    </row>
    <row r="9" spans="1:51" ht="15.6">
      <c r="A9" s="1097" t="s">
        <v>53</v>
      </c>
      <c r="B9" s="1103" t="s">
        <v>54</v>
      </c>
      <c r="C9" s="1098" t="s">
        <v>55</v>
      </c>
      <c r="D9" s="1098" t="s">
        <v>56</v>
      </c>
      <c r="E9" s="1432" t="s">
        <v>57</v>
      </c>
      <c r="F9" s="856">
        <v>2024</v>
      </c>
      <c r="G9" s="1190" t="s">
        <v>58</v>
      </c>
      <c r="H9" s="3">
        <v>300021183</v>
      </c>
      <c r="I9" s="1200" t="s">
        <v>67</v>
      </c>
      <c r="J9" s="1177">
        <v>2</v>
      </c>
      <c r="K9" s="749" t="s">
        <v>60</v>
      </c>
      <c r="L9" s="1201"/>
      <c r="M9" s="858">
        <v>425.72</v>
      </c>
      <c r="N9" s="1201"/>
      <c r="O9" s="1202">
        <v>45436</v>
      </c>
      <c r="P9" s="1203"/>
      <c r="Q9" s="3" t="s">
        <v>68</v>
      </c>
      <c r="R9" s="1209"/>
      <c r="S9" s="856" t="s">
        <v>62</v>
      </c>
      <c r="T9" s="856" t="s">
        <v>63</v>
      </c>
      <c r="U9" s="856" t="s">
        <v>69</v>
      </c>
      <c r="V9" s="856">
        <v>462.2</v>
      </c>
      <c r="W9" s="856">
        <v>446.18</v>
      </c>
      <c r="X9" s="1179">
        <v>45440</v>
      </c>
      <c r="Y9" s="1179">
        <v>45443</v>
      </c>
      <c r="Z9" s="856" t="s">
        <v>62</v>
      </c>
      <c r="AA9" s="1225"/>
      <c r="AB9" s="1099">
        <v>45444</v>
      </c>
      <c r="AC9" s="1099">
        <v>45444</v>
      </c>
      <c r="AD9" s="1226">
        <f>250+462</f>
        <v>712</v>
      </c>
      <c r="AE9" s="1227">
        <f t="shared" si="0"/>
        <v>2.8253968253968256</v>
      </c>
      <c r="AF9" s="1228" t="s">
        <v>64</v>
      </c>
      <c r="AG9" s="1247">
        <v>1</v>
      </c>
      <c r="AH9" s="1178" t="s">
        <v>65</v>
      </c>
      <c r="AI9" s="1248">
        <v>45447</v>
      </c>
      <c r="AJ9" s="1248">
        <v>45447</v>
      </c>
      <c r="AK9" s="1249">
        <f>20000+77622</f>
        <v>97622</v>
      </c>
      <c r="AL9" s="1227">
        <f t="shared" si="1"/>
        <v>2.7892000000000001</v>
      </c>
      <c r="AM9" s="1252" t="s">
        <v>62</v>
      </c>
      <c r="AN9" s="1251">
        <v>1</v>
      </c>
      <c r="AO9" s="1276"/>
      <c r="AP9" s="1277"/>
      <c r="AQ9" s="1276"/>
      <c r="AR9" s="1278"/>
      <c r="AS9" s="1278"/>
    </row>
    <row r="10" spans="1:51" ht="15.6">
      <c r="A10" s="1097" t="s">
        <v>53</v>
      </c>
      <c r="B10" s="1103" t="s">
        <v>54</v>
      </c>
      <c r="C10" s="1098" t="s">
        <v>55</v>
      </c>
      <c r="D10" s="1098" t="s">
        <v>56</v>
      </c>
      <c r="E10" s="1432" t="s">
        <v>57</v>
      </c>
      <c r="F10" s="856">
        <v>2024</v>
      </c>
      <c r="G10" s="1190" t="s">
        <v>58</v>
      </c>
      <c r="H10" s="3">
        <v>300021184</v>
      </c>
      <c r="I10" s="1200" t="s">
        <v>70</v>
      </c>
      <c r="J10" s="1177">
        <v>3</v>
      </c>
      <c r="K10" s="749" t="s">
        <v>60</v>
      </c>
      <c r="L10" s="1201"/>
      <c r="M10" s="865">
        <v>429.17</v>
      </c>
      <c r="N10" s="1201"/>
      <c r="O10" s="1202">
        <v>45439</v>
      </c>
      <c r="P10" s="1203"/>
      <c r="Q10" s="3" t="s">
        <v>71</v>
      </c>
      <c r="R10" s="1209"/>
      <c r="S10" s="856" t="s">
        <v>62</v>
      </c>
      <c r="T10" s="856" t="s">
        <v>63</v>
      </c>
      <c r="U10" s="856" t="s">
        <v>69</v>
      </c>
      <c r="V10" s="856">
        <v>466.88</v>
      </c>
      <c r="W10" s="856">
        <v>466.39</v>
      </c>
      <c r="X10" s="1179">
        <v>45440</v>
      </c>
      <c r="Y10" s="1179">
        <v>45443</v>
      </c>
      <c r="Z10" s="856" t="s">
        <v>62</v>
      </c>
      <c r="AA10" s="1225"/>
      <c r="AB10" s="1099">
        <v>45444</v>
      </c>
      <c r="AC10" s="1099">
        <v>45446</v>
      </c>
      <c r="AD10" s="1226">
        <f>350+235+168</f>
        <v>753</v>
      </c>
      <c r="AE10" s="1227">
        <f t="shared" si="0"/>
        <v>2.9880952380952381</v>
      </c>
      <c r="AF10" s="1228" t="s">
        <v>64</v>
      </c>
      <c r="AG10" s="1247">
        <v>1</v>
      </c>
      <c r="AH10" s="1178" t="s">
        <v>65</v>
      </c>
      <c r="AI10" s="1248">
        <v>45447</v>
      </c>
      <c r="AJ10" s="1248">
        <v>45448</v>
      </c>
      <c r="AK10" s="1253">
        <f>6000+87802+8541</f>
        <v>102343</v>
      </c>
      <c r="AL10" s="1227">
        <f t="shared" si="1"/>
        <v>2.9240857142857144</v>
      </c>
      <c r="AM10" s="1252" t="s">
        <v>62</v>
      </c>
      <c r="AN10" s="1251">
        <v>1</v>
      </c>
      <c r="AO10" s="1276"/>
      <c r="AP10" s="1277"/>
      <c r="AQ10" s="1276"/>
      <c r="AR10" s="1278"/>
      <c r="AS10" s="1278"/>
    </row>
    <row r="11" spans="1:51" ht="15.6">
      <c r="A11" s="1097" t="s">
        <v>53</v>
      </c>
      <c r="B11" s="1103"/>
      <c r="C11" s="1098"/>
      <c r="D11" s="1098"/>
      <c r="E11" s="856"/>
      <c r="F11" s="856"/>
      <c r="G11" s="1191"/>
      <c r="H11" s="3"/>
      <c r="I11" s="3"/>
      <c r="J11" s="1177"/>
      <c r="K11" s="856"/>
      <c r="L11" s="1201"/>
      <c r="M11" s="856"/>
      <c r="N11" s="1201"/>
      <c r="O11" s="1202"/>
      <c r="P11" s="1203"/>
      <c r="Q11" s="764"/>
      <c r="R11" s="1209"/>
      <c r="S11" s="856"/>
      <c r="T11" s="856"/>
      <c r="U11" s="856"/>
      <c r="V11" s="856"/>
      <c r="W11" s="856"/>
      <c r="X11" s="1179"/>
      <c r="Y11" s="1202"/>
      <c r="Z11" s="856"/>
      <c r="AA11" s="1225"/>
      <c r="AB11" s="1099"/>
      <c r="AC11" s="1099"/>
      <c r="AD11" s="1226"/>
      <c r="AE11" s="1227"/>
      <c r="AF11" s="1228"/>
      <c r="AG11" s="1247"/>
      <c r="AH11" s="1178"/>
      <c r="AI11" s="1254"/>
      <c r="AJ11" s="1248"/>
      <c r="AK11" s="1249"/>
      <c r="AL11" s="1227"/>
      <c r="AM11" s="1255"/>
      <c r="AN11" s="1251"/>
      <c r="AO11" s="1276"/>
      <c r="AP11" s="1277"/>
      <c r="AQ11" s="1276"/>
      <c r="AR11" s="1278"/>
      <c r="AS11" s="1278"/>
    </row>
    <row r="12" spans="1:51" ht="15.6">
      <c r="A12" s="1097" t="s">
        <v>53</v>
      </c>
      <c r="B12" s="1103" t="s">
        <v>54</v>
      </c>
      <c r="C12" s="1098" t="s">
        <v>55</v>
      </c>
      <c r="D12" s="1098" t="s">
        <v>56</v>
      </c>
      <c r="E12" s="1432" t="s">
        <v>72</v>
      </c>
      <c r="F12" s="856">
        <v>2024</v>
      </c>
      <c r="G12" s="1099">
        <v>45388</v>
      </c>
      <c r="H12" s="3">
        <v>300021320</v>
      </c>
      <c r="I12" s="973" t="s">
        <v>73</v>
      </c>
      <c r="J12" s="1177">
        <v>1</v>
      </c>
      <c r="K12" s="749" t="s">
        <v>60</v>
      </c>
      <c r="L12" s="1201"/>
      <c r="M12" s="762">
        <v>429.63</v>
      </c>
      <c r="N12" s="1201"/>
      <c r="O12" s="1202">
        <v>45448</v>
      </c>
      <c r="P12" s="1203"/>
      <c r="Q12" s="3" t="s">
        <v>74</v>
      </c>
      <c r="R12" s="1209"/>
      <c r="S12" s="856" t="s">
        <v>62</v>
      </c>
      <c r="T12" s="856" t="s">
        <v>75</v>
      </c>
      <c r="U12" s="856" t="s">
        <v>69</v>
      </c>
      <c r="V12" s="856">
        <v>467.08</v>
      </c>
      <c r="W12" s="856">
        <v>307.02999999999997</v>
      </c>
      <c r="X12" s="1179">
        <v>45450</v>
      </c>
      <c r="Y12" s="1179">
        <v>45450</v>
      </c>
      <c r="Z12" s="856" t="s">
        <v>62</v>
      </c>
      <c r="AA12" s="1225"/>
      <c r="AB12" s="1099">
        <v>45452</v>
      </c>
      <c r="AC12" s="1099">
        <v>45452</v>
      </c>
      <c r="AD12" s="1226">
        <f>380+371</f>
        <v>751</v>
      </c>
      <c r="AE12" s="1227">
        <f t="shared" ref="AE12:AE23" si="2">AD12/800</f>
        <v>0.93874999999999997</v>
      </c>
      <c r="AF12" s="1228" t="s">
        <v>64</v>
      </c>
      <c r="AG12" s="1247">
        <v>1</v>
      </c>
      <c r="AH12" s="1178" t="s">
        <v>76</v>
      </c>
      <c r="AI12" s="1248">
        <v>45455</v>
      </c>
      <c r="AJ12" s="1248">
        <v>45455</v>
      </c>
      <c r="AK12" s="1249">
        <f>38345+65943</f>
        <v>104288</v>
      </c>
      <c r="AL12" s="1227">
        <f t="shared" ref="AL12:AL23" si="3">AK12/105000</f>
        <v>0.99321904761904767</v>
      </c>
      <c r="AM12" s="1252" t="s">
        <v>62</v>
      </c>
      <c r="AN12" s="1251">
        <v>1</v>
      </c>
      <c r="AO12" s="1276"/>
      <c r="AP12" s="1277"/>
      <c r="AQ12" s="1276"/>
      <c r="AR12" s="1278"/>
      <c r="AS12" s="1278"/>
    </row>
    <row r="13" spans="1:51" ht="15.6">
      <c r="A13" s="1097" t="s">
        <v>53</v>
      </c>
      <c r="B13" s="1103" t="s">
        <v>54</v>
      </c>
      <c r="C13" s="1098" t="s">
        <v>55</v>
      </c>
      <c r="D13" s="1098" t="s">
        <v>56</v>
      </c>
      <c r="E13" s="1432" t="s">
        <v>72</v>
      </c>
      <c r="F13" s="856">
        <v>2024</v>
      </c>
      <c r="G13" s="1099">
        <v>45388</v>
      </c>
      <c r="H13" s="3">
        <v>300021321</v>
      </c>
      <c r="I13" s="973" t="s">
        <v>77</v>
      </c>
      <c r="J13" s="1177">
        <v>2</v>
      </c>
      <c r="K13" s="749" t="s">
        <v>60</v>
      </c>
      <c r="L13" s="1201"/>
      <c r="M13" s="762">
        <v>432.82</v>
      </c>
      <c r="N13" s="1201"/>
      <c r="O13" s="1202">
        <v>45448</v>
      </c>
      <c r="P13" s="1203"/>
      <c r="Q13" s="3" t="s">
        <v>78</v>
      </c>
      <c r="R13" s="1209"/>
      <c r="S13" s="856" t="s">
        <v>62</v>
      </c>
      <c r="T13" s="856" t="s">
        <v>75</v>
      </c>
      <c r="U13" s="856" t="s">
        <v>69</v>
      </c>
      <c r="V13" s="856">
        <v>470.5</v>
      </c>
      <c r="W13" s="856">
        <v>307.33</v>
      </c>
      <c r="X13" s="1179">
        <v>45450</v>
      </c>
      <c r="Y13" s="1179">
        <v>45450</v>
      </c>
      <c r="Z13" s="856" t="s">
        <v>62</v>
      </c>
      <c r="AA13" s="1225"/>
      <c r="AB13" s="1099">
        <v>45452</v>
      </c>
      <c r="AC13" s="1099">
        <v>45453</v>
      </c>
      <c r="AD13" s="1226">
        <f>65+455+222</f>
        <v>742</v>
      </c>
      <c r="AE13" s="1227">
        <f t="shared" si="2"/>
        <v>0.92749999999999999</v>
      </c>
      <c r="AF13" s="1228" t="s">
        <v>64</v>
      </c>
      <c r="AG13" s="1247">
        <v>1</v>
      </c>
      <c r="AH13" s="1178" t="s">
        <v>76</v>
      </c>
      <c r="AI13" s="1248">
        <v>45455</v>
      </c>
      <c r="AJ13" s="1248">
        <v>45456</v>
      </c>
      <c r="AK13" s="1249">
        <f>23800+79287</f>
        <v>103087</v>
      </c>
      <c r="AL13" s="1227">
        <f t="shared" si="3"/>
        <v>0.98178095238095242</v>
      </c>
      <c r="AM13" s="1252" t="s">
        <v>62</v>
      </c>
      <c r="AN13" s="1251">
        <v>1</v>
      </c>
      <c r="AO13" s="1276"/>
      <c r="AP13" s="1277"/>
      <c r="AQ13" s="1276"/>
      <c r="AR13" s="1278"/>
      <c r="AS13" s="1278"/>
    </row>
    <row r="14" spans="1:51" ht="15.6">
      <c r="A14" s="1097" t="s">
        <v>53</v>
      </c>
      <c r="B14" s="1103" t="s">
        <v>54</v>
      </c>
      <c r="C14" s="1098" t="s">
        <v>55</v>
      </c>
      <c r="D14" s="1098" t="s">
        <v>56</v>
      </c>
      <c r="E14" s="1432" t="s">
        <v>72</v>
      </c>
      <c r="F14" s="856">
        <v>2024</v>
      </c>
      <c r="G14" s="1099">
        <v>45388</v>
      </c>
      <c r="H14" s="3">
        <v>300021322</v>
      </c>
      <c r="I14" s="973" t="s">
        <v>79</v>
      </c>
      <c r="J14" s="1177">
        <v>3</v>
      </c>
      <c r="K14" s="749" t="s">
        <v>60</v>
      </c>
      <c r="L14" s="1201"/>
      <c r="M14" s="762">
        <f>146.63+143.23+146.38</f>
        <v>436.24</v>
      </c>
      <c r="N14" s="1201"/>
      <c r="O14" s="1202">
        <v>45448</v>
      </c>
      <c r="P14" s="1203"/>
      <c r="Q14" s="3" t="s">
        <v>80</v>
      </c>
      <c r="R14" s="1209"/>
      <c r="S14" s="856" t="s">
        <v>62</v>
      </c>
      <c r="T14" s="856" t="s">
        <v>63</v>
      </c>
      <c r="U14" s="856" t="s">
        <v>69</v>
      </c>
      <c r="V14" s="856">
        <v>305.3</v>
      </c>
      <c r="W14" s="856">
        <v>473.97</v>
      </c>
      <c r="X14" s="1179">
        <v>45452</v>
      </c>
      <c r="Y14" s="1179">
        <v>45452</v>
      </c>
      <c r="Z14" s="856" t="s">
        <v>62</v>
      </c>
      <c r="AA14" s="1225"/>
      <c r="AB14" s="1099">
        <v>45453</v>
      </c>
      <c r="AC14" s="1099">
        <v>45453</v>
      </c>
      <c r="AD14" s="1226">
        <f>225+533</f>
        <v>758</v>
      </c>
      <c r="AE14" s="1227">
        <f t="shared" si="2"/>
        <v>0.94750000000000001</v>
      </c>
      <c r="AF14" s="1228" t="s">
        <v>64</v>
      </c>
      <c r="AG14" s="1247">
        <v>1</v>
      </c>
      <c r="AH14" s="1178" t="s">
        <v>76</v>
      </c>
      <c r="AI14" s="1248">
        <v>45456</v>
      </c>
      <c r="AJ14" s="1248">
        <v>45456</v>
      </c>
      <c r="AK14" s="1249">
        <f>73500+31785</f>
        <v>105285</v>
      </c>
      <c r="AL14" s="1227">
        <f t="shared" si="3"/>
        <v>1.0027142857142857</v>
      </c>
      <c r="AM14" s="1252" t="s">
        <v>62</v>
      </c>
      <c r="AN14" s="1251">
        <v>1</v>
      </c>
      <c r="AO14" s="1276"/>
      <c r="AP14" s="1277"/>
      <c r="AQ14" s="1276"/>
      <c r="AR14" s="1278"/>
      <c r="AS14" s="1278"/>
    </row>
    <row r="15" spans="1:51" ht="15.6">
      <c r="A15" s="1097" t="s">
        <v>53</v>
      </c>
      <c r="B15" s="1103" t="s">
        <v>54</v>
      </c>
      <c r="C15" s="1098" t="s">
        <v>55</v>
      </c>
      <c r="D15" s="1098" t="s">
        <v>56</v>
      </c>
      <c r="E15" s="1432" t="s">
        <v>72</v>
      </c>
      <c r="F15" s="856">
        <v>2024</v>
      </c>
      <c r="G15" s="1099">
        <v>45388</v>
      </c>
      <c r="H15" s="3">
        <v>300021323</v>
      </c>
      <c r="I15" s="973" t="s">
        <v>81</v>
      </c>
      <c r="J15" s="1177">
        <v>4</v>
      </c>
      <c r="K15" s="749" t="s">
        <v>60</v>
      </c>
      <c r="L15" s="1201"/>
      <c r="M15" s="786">
        <v>428</v>
      </c>
      <c r="N15" s="1201"/>
      <c r="O15" s="1202">
        <v>45453</v>
      </c>
      <c r="P15" s="1203"/>
      <c r="Q15" s="3" t="s">
        <v>82</v>
      </c>
      <c r="R15" s="1209"/>
      <c r="S15" s="856" t="s">
        <v>62</v>
      </c>
      <c r="T15" s="856" t="s">
        <v>69</v>
      </c>
      <c r="U15" s="856" t="s">
        <v>69</v>
      </c>
      <c r="V15" s="856">
        <v>465.06</v>
      </c>
      <c r="W15" s="856">
        <v>307.51</v>
      </c>
      <c r="X15" s="1179">
        <v>45453</v>
      </c>
      <c r="Y15" s="1179">
        <v>45453</v>
      </c>
      <c r="Z15" s="856" t="s">
        <v>62</v>
      </c>
      <c r="AA15" s="1225"/>
      <c r="AB15" s="1099">
        <v>45453</v>
      </c>
      <c r="AC15" s="1099">
        <v>45454</v>
      </c>
      <c r="AD15" s="1226">
        <f>520+213</f>
        <v>733</v>
      </c>
      <c r="AE15" s="1227">
        <f t="shared" si="2"/>
        <v>0.91625000000000001</v>
      </c>
      <c r="AF15" s="1228" t="s">
        <v>64</v>
      </c>
      <c r="AG15" s="1247">
        <v>1</v>
      </c>
      <c r="AH15" s="1178" t="s">
        <v>76</v>
      </c>
      <c r="AI15" s="1248">
        <v>45456</v>
      </c>
      <c r="AJ15" s="1248">
        <v>45457</v>
      </c>
      <c r="AK15" s="1249">
        <f>20150+74580+6947</f>
        <v>101677</v>
      </c>
      <c r="AL15" s="1227">
        <f t="shared" si="3"/>
        <v>0.96835238095238096</v>
      </c>
      <c r="AM15" s="1252" t="s">
        <v>62</v>
      </c>
      <c r="AN15" s="1251">
        <v>1</v>
      </c>
      <c r="AO15" s="1276"/>
      <c r="AP15" s="1277"/>
      <c r="AQ15" s="1276"/>
      <c r="AR15" s="1278"/>
      <c r="AS15" s="1278"/>
    </row>
    <row r="16" spans="1:51" ht="15.6">
      <c r="A16" s="1097" t="s">
        <v>53</v>
      </c>
      <c r="B16" s="1103" t="s">
        <v>54</v>
      </c>
      <c r="C16" s="1098" t="s">
        <v>55</v>
      </c>
      <c r="D16" s="1098" t="s">
        <v>56</v>
      </c>
      <c r="E16" s="1432" t="s">
        <v>72</v>
      </c>
      <c r="F16" s="856">
        <v>2024</v>
      </c>
      <c r="G16" s="1099">
        <v>45388</v>
      </c>
      <c r="H16" s="3">
        <v>300021324</v>
      </c>
      <c r="I16" s="973" t="s">
        <v>83</v>
      </c>
      <c r="J16" s="1177">
        <v>5</v>
      </c>
      <c r="K16" s="749" t="s">
        <v>60</v>
      </c>
      <c r="L16" s="1201"/>
      <c r="M16" s="762">
        <v>434</v>
      </c>
      <c r="N16" s="1201"/>
      <c r="O16" s="1202">
        <v>45453</v>
      </c>
      <c r="P16" s="1203"/>
      <c r="Q16" s="3" t="s">
        <v>84</v>
      </c>
      <c r="R16" s="1209"/>
      <c r="S16" s="856" t="s">
        <v>62</v>
      </c>
      <c r="T16" s="856" t="s">
        <v>69</v>
      </c>
      <c r="U16" s="856" t="s">
        <v>63</v>
      </c>
      <c r="V16" s="856">
        <v>471.08</v>
      </c>
      <c r="W16" s="856">
        <v>307.06</v>
      </c>
      <c r="X16" s="1179">
        <v>45453</v>
      </c>
      <c r="Y16" s="1179">
        <v>45454</v>
      </c>
      <c r="Z16" s="856" t="s">
        <v>62</v>
      </c>
      <c r="AA16" s="1225"/>
      <c r="AB16" s="1099">
        <v>45454</v>
      </c>
      <c r="AC16" s="1099">
        <v>45454</v>
      </c>
      <c r="AD16" s="1226">
        <f>360+385</f>
        <v>745</v>
      </c>
      <c r="AE16" s="1227">
        <f t="shared" si="2"/>
        <v>0.93125000000000002</v>
      </c>
      <c r="AF16" s="1228" t="s">
        <v>64</v>
      </c>
      <c r="AG16" s="1247">
        <v>1</v>
      </c>
      <c r="AH16" s="1178" t="s">
        <v>76</v>
      </c>
      <c r="AI16" s="1248">
        <v>45457</v>
      </c>
      <c r="AJ16" s="1248">
        <v>45457</v>
      </c>
      <c r="AK16" s="1249">
        <f>52000+51519</f>
        <v>103519</v>
      </c>
      <c r="AL16" s="1227">
        <f t="shared" si="3"/>
        <v>0.98589523809523805</v>
      </c>
      <c r="AM16" s="1252" t="s">
        <v>62</v>
      </c>
      <c r="AN16" s="1251">
        <v>1</v>
      </c>
      <c r="AO16" s="1276"/>
      <c r="AP16" s="1277"/>
      <c r="AQ16" s="1276"/>
      <c r="AR16" s="1278"/>
      <c r="AS16" s="1278"/>
    </row>
    <row r="17" spans="1:45" ht="15.6">
      <c r="A17" s="1097" t="s">
        <v>53</v>
      </c>
      <c r="B17" s="1103" t="s">
        <v>54</v>
      </c>
      <c r="C17" s="1098" t="s">
        <v>55</v>
      </c>
      <c r="D17" s="1098" t="s">
        <v>56</v>
      </c>
      <c r="E17" s="1432" t="s">
        <v>72</v>
      </c>
      <c r="F17" s="856">
        <v>2024</v>
      </c>
      <c r="G17" s="1099">
        <v>45388</v>
      </c>
      <c r="H17" s="3">
        <v>300021325</v>
      </c>
      <c r="I17" s="973" t="s">
        <v>85</v>
      </c>
      <c r="J17" s="1177">
        <v>6</v>
      </c>
      <c r="K17" s="749" t="s">
        <v>60</v>
      </c>
      <c r="L17" s="1201"/>
      <c r="M17" s="762">
        <v>424.11</v>
      </c>
      <c r="N17" s="1201"/>
      <c r="O17" s="1202">
        <v>45454</v>
      </c>
      <c r="P17" s="1203"/>
      <c r="Q17" s="3" t="s">
        <v>86</v>
      </c>
      <c r="R17" s="1209"/>
      <c r="S17" s="856" t="s">
        <v>62</v>
      </c>
      <c r="T17" s="856" t="s">
        <v>69</v>
      </c>
      <c r="U17" s="856" t="s">
        <v>75</v>
      </c>
      <c r="V17" s="856">
        <v>461.41</v>
      </c>
      <c r="W17" s="856">
        <v>307.56</v>
      </c>
      <c r="X17" s="1179">
        <v>45454</v>
      </c>
      <c r="Y17" s="1179">
        <v>45454</v>
      </c>
      <c r="Z17" s="856" t="s">
        <v>62</v>
      </c>
      <c r="AA17" s="1225"/>
      <c r="AB17" s="1099">
        <v>45455</v>
      </c>
      <c r="AC17" s="1099">
        <v>45455</v>
      </c>
      <c r="AD17" s="1226">
        <f>585+160</f>
        <v>745</v>
      </c>
      <c r="AE17" s="1227">
        <f t="shared" si="2"/>
        <v>0.93125000000000002</v>
      </c>
      <c r="AF17" s="1228" t="s">
        <v>64</v>
      </c>
      <c r="AG17" s="1247">
        <v>1</v>
      </c>
      <c r="AH17" s="1178" t="s">
        <v>76</v>
      </c>
      <c r="AI17" s="1248">
        <v>45457</v>
      </c>
      <c r="AJ17" s="1248">
        <v>45458</v>
      </c>
      <c r="AK17" s="1249">
        <f>19350+82433+2749</f>
        <v>104532</v>
      </c>
      <c r="AL17" s="1227">
        <f t="shared" si="3"/>
        <v>0.99554285714285717</v>
      </c>
      <c r="AM17" s="1252" t="s">
        <v>62</v>
      </c>
      <c r="AN17" s="1251">
        <v>1</v>
      </c>
      <c r="AO17" s="1276"/>
      <c r="AP17" s="1277"/>
      <c r="AQ17" s="1276"/>
      <c r="AR17" s="1278"/>
      <c r="AS17" s="1278"/>
    </row>
    <row r="18" spans="1:45" ht="15.6">
      <c r="A18" s="1097" t="s">
        <v>53</v>
      </c>
      <c r="B18" s="1103" t="s">
        <v>54</v>
      </c>
      <c r="C18" s="1098" t="s">
        <v>55</v>
      </c>
      <c r="D18" s="1098" t="s">
        <v>56</v>
      </c>
      <c r="E18" s="1432" t="s">
        <v>72</v>
      </c>
      <c r="F18" s="856">
        <v>2024</v>
      </c>
      <c r="G18" s="1099">
        <v>45388</v>
      </c>
      <c r="H18" s="3">
        <v>300021326</v>
      </c>
      <c r="I18" s="973" t="s">
        <v>87</v>
      </c>
      <c r="J18" s="1177">
        <v>7</v>
      </c>
      <c r="K18" s="749" t="s">
        <v>60</v>
      </c>
      <c r="L18" s="1201"/>
      <c r="M18" s="786">
        <v>428.9</v>
      </c>
      <c r="N18" s="1201"/>
      <c r="O18" s="1202">
        <v>45455</v>
      </c>
      <c r="P18" s="1203"/>
      <c r="Q18" s="3" t="s">
        <v>88</v>
      </c>
      <c r="R18" s="1209"/>
      <c r="S18" s="856" t="s">
        <v>62</v>
      </c>
      <c r="T18" s="856" t="s">
        <v>75</v>
      </c>
      <c r="U18" s="856" t="s">
        <v>63</v>
      </c>
      <c r="V18" s="856">
        <v>466</v>
      </c>
      <c r="W18" s="856">
        <v>307.32</v>
      </c>
      <c r="X18" s="1179">
        <v>45455</v>
      </c>
      <c r="Y18" s="1179">
        <v>45455</v>
      </c>
      <c r="Z18" s="856" t="s">
        <v>62</v>
      </c>
      <c r="AA18" s="1225"/>
      <c r="AB18" s="1099">
        <v>45455</v>
      </c>
      <c r="AC18" s="1099">
        <v>45455</v>
      </c>
      <c r="AD18" s="1226">
        <f>325+419</f>
        <v>744</v>
      </c>
      <c r="AE18" s="1227">
        <f t="shared" si="2"/>
        <v>0.93</v>
      </c>
      <c r="AF18" s="1228" t="s">
        <v>64</v>
      </c>
      <c r="AG18" s="1247">
        <v>1</v>
      </c>
      <c r="AH18" s="1178" t="s">
        <v>76</v>
      </c>
      <c r="AI18" s="1248">
        <v>45458</v>
      </c>
      <c r="AJ18" s="1248">
        <v>45458</v>
      </c>
      <c r="AK18" s="1249">
        <f>81500+21513</f>
        <v>103013</v>
      </c>
      <c r="AL18" s="1227">
        <f t="shared" si="3"/>
        <v>0.98107619047619044</v>
      </c>
      <c r="AM18" s="1252" t="s">
        <v>62</v>
      </c>
      <c r="AN18" s="1251">
        <v>1</v>
      </c>
      <c r="AO18" s="1276"/>
      <c r="AP18" s="1277"/>
      <c r="AQ18" s="1276"/>
      <c r="AR18" s="1278"/>
      <c r="AS18" s="1278"/>
    </row>
    <row r="19" spans="1:45" ht="15.6">
      <c r="A19" s="1097" t="s">
        <v>53</v>
      </c>
      <c r="B19" s="1103" t="s">
        <v>54</v>
      </c>
      <c r="C19" s="1098" t="s">
        <v>55</v>
      </c>
      <c r="D19" s="1098" t="s">
        <v>56</v>
      </c>
      <c r="E19" s="1432" t="s">
        <v>72</v>
      </c>
      <c r="F19" s="856">
        <v>2024</v>
      </c>
      <c r="G19" s="1099">
        <v>45388</v>
      </c>
      <c r="H19" s="3">
        <v>300021327</v>
      </c>
      <c r="I19" s="973" t="s">
        <v>89</v>
      </c>
      <c r="J19" s="1177">
        <v>8</v>
      </c>
      <c r="K19" s="749" t="s">
        <v>60</v>
      </c>
      <c r="L19" s="1201"/>
      <c r="M19" s="786">
        <f>141.2+146.7+147.5</f>
        <v>435.4</v>
      </c>
      <c r="N19" s="1201"/>
      <c r="O19" s="1202">
        <v>45455</v>
      </c>
      <c r="P19" s="1203"/>
      <c r="Q19" s="3" t="s">
        <v>90</v>
      </c>
      <c r="R19" s="1209"/>
      <c r="S19" s="856" t="s">
        <v>62</v>
      </c>
      <c r="T19" s="856" t="s">
        <v>75</v>
      </c>
      <c r="U19" s="856" t="s">
        <v>69</v>
      </c>
      <c r="V19" s="856">
        <v>473.1</v>
      </c>
      <c r="W19" s="856">
        <v>307.8</v>
      </c>
      <c r="X19" s="1179">
        <v>45455</v>
      </c>
      <c r="Y19" s="1179">
        <v>45456</v>
      </c>
      <c r="Z19" s="856" t="s">
        <v>62</v>
      </c>
      <c r="AA19" s="1225"/>
      <c r="AB19" s="1099">
        <v>45456</v>
      </c>
      <c r="AC19" s="1099">
        <v>45457</v>
      </c>
      <c r="AD19" s="1226">
        <f>50+340+356</f>
        <v>746</v>
      </c>
      <c r="AE19" s="1227">
        <f t="shared" si="2"/>
        <v>0.9325</v>
      </c>
      <c r="AF19" s="1228" t="s">
        <v>64</v>
      </c>
      <c r="AG19" s="1247">
        <v>1</v>
      </c>
      <c r="AH19" s="1256" t="s">
        <v>76</v>
      </c>
      <c r="AI19" s="1257">
        <v>45463</v>
      </c>
      <c r="AJ19" s="1257">
        <v>45463</v>
      </c>
      <c r="AK19" s="1249">
        <f>47000+56417</f>
        <v>103417</v>
      </c>
      <c r="AL19" s="1227">
        <f t="shared" si="3"/>
        <v>0.98492380952380953</v>
      </c>
      <c r="AM19" s="1252" t="s">
        <v>62</v>
      </c>
      <c r="AN19" s="1251">
        <v>1</v>
      </c>
      <c r="AO19" s="1276"/>
      <c r="AP19" s="1277"/>
      <c r="AQ19" s="1276"/>
      <c r="AR19" s="1278"/>
      <c r="AS19" s="1278"/>
    </row>
    <row r="20" spans="1:45" ht="15.6">
      <c r="A20" s="1097" t="s">
        <v>53</v>
      </c>
      <c r="B20" s="1103" t="s">
        <v>54</v>
      </c>
      <c r="C20" s="1098" t="s">
        <v>55</v>
      </c>
      <c r="D20" s="1098" t="s">
        <v>56</v>
      </c>
      <c r="E20" s="1432" t="s">
        <v>72</v>
      </c>
      <c r="F20" s="856">
        <v>2024</v>
      </c>
      <c r="G20" s="1099">
        <v>45388</v>
      </c>
      <c r="H20" s="3">
        <v>300021328</v>
      </c>
      <c r="I20" s="973" t="s">
        <v>91</v>
      </c>
      <c r="J20" s="1177">
        <v>9</v>
      </c>
      <c r="K20" s="749" t="s">
        <v>60</v>
      </c>
      <c r="L20" s="1201"/>
      <c r="M20" s="786">
        <v>435.7</v>
      </c>
      <c r="N20" s="1201"/>
      <c r="O20" s="1202">
        <v>45455</v>
      </c>
      <c r="P20" s="1203"/>
      <c r="Q20" s="785" t="s">
        <v>92</v>
      </c>
      <c r="R20" s="1209"/>
      <c r="S20" s="856" t="s">
        <v>62</v>
      </c>
      <c r="T20" s="856" t="s">
        <v>75</v>
      </c>
      <c r="U20" s="856" t="s">
        <v>63</v>
      </c>
      <c r="V20" s="856">
        <v>473.22</v>
      </c>
      <c r="W20" s="856">
        <v>307.45999999999998</v>
      </c>
      <c r="X20" s="1179">
        <v>45457</v>
      </c>
      <c r="Y20" s="1179">
        <v>45457</v>
      </c>
      <c r="Z20" s="856" t="s">
        <v>62</v>
      </c>
      <c r="AA20" s="1225"/>
      <c r="AB20" s="1099">
        <v>45461</v>
      </c>
      <c r="AC20" s="1099">
        <v>45461</v>
      </c>
      <c r="AD20" s="1226">
        <f>150+295+304</f>
        <v>749</v>
      </c>
      <c r="AE20" s="1227">
        <f t="shared" si="2"/>
        <v>0.93625000000000003</v>
      </c>
      <c r="AF20" s="1228" t="s">
        <v>64</v>
      </c>
      <c r="AG20" s="1247">
        <v>1</v>
      </c>
      <c r="AH20" s="1256" t="s">
        <v>76</v>
      </c>
      <c r="AI20" s="1257">
        <v>45463</v>
      </c>
      <c r="AJ20" s="1257">
        <v>45463</v>
      </c>
      <c r="AK20" s="1249">
        <f>40983+60068</f>
        <v>101051</v>
      </c>
      <c r="AL20" s="1227">
        <f t="shared" si="3"/>
        <v>0.96239047619047624</v>
      </c>
      <c r="AM20" s="1252" t="s">
        <v>62</v>
      </c>
      <c r="AN20" s="1251">
        <v>1</v>
      </c>
      <c r="AO20" s="1276"/>
      <c r="AP20" s="1277"/>
      <c r="AQ20" s="1276"/>
      <c r="AR20" s="1278"/>
      <c r="AS20" s="1278"/>
    </row>
    <row r="21" spans="1:45" ht="15.6">
      <c r="A21" s="1097" t="s">
        <v>53</v>
      </c>
      <c r="B21" s="1103" t="s">
        <v>54</v>
      </c>
      <c r="C21" s="1098" t="s">
        <v>55</v>
      </c>
      <c r="D21" s="1098" t="s">
        <v>56</v>
      </c>
      <c r="E21" s="1432" t="s">
        <v>72</v>
      </c>
      <c r="F21" s="856">
        <v>2024</v>
      </c>
      <c r="G21" s="1099">
        <v>45388</v>
      </c>
      <c r="H21" s="3">
        <v>300021329</v>
      </c>
      <c r="I21" s="1204" t="s">
        <v>93</v>
      </c>
      <c r="J21" s="1177">
        <v>10</v>
      </c>
      <c r="K21" s="749" t="s">
        <v>60</v>
      </c>
      <c r="L21" s="1201"/>
      <c r="M21" s="786">
        <v>427.2</v>
      </c>
      <c r="N21" s="1201"/>
      <c r="O21" s="1202">
        <v>45456</v>
      </c>
      <c r="P21" s="1203"/>
      <c r="Q21" s="3" t="s">
        <v>94</v>
      </c>
      <c r="R21" s="1209"/>
      <c r="S21" s="856" t="s">
        <v>62</v>
      </c>
      <c r="T21" s="856" t="s">
        <v>63</v>
      </c>
      <c r="U21" s="1174" t="s">
        <v>75</v>
      </c>
      <c r="V21" s="856">
        <v>464.6</v>
      </c>
      <c r="W21" s="856">
        <v>307.44</v>
      </c>
      <c r="X21" s="1179">
        <v>45461</v>
      </c>
      <c r="Y21" s="1179">
        <v>45461</v>
      </c>
      <c r="Z21" s="856" t="s">
        <v>62</v>
      </c>
      <c r="AA21" s="1225"/>
      <c r="AB21" s="1099">
        <v>45461</v>
      </c>
      <c r="AC21" s="1099">
        <v>45462</v>
      </c>
      <c r="AD21" s="1226">
        <f>260+483</f>
        <v>743</v>
      </c>
      <c r="AE21" s="1227">
        <f t="shared" si="2"/>
        <v>0.92874999999999996</v>
      </c>
      <c r="AF21" s="1228" t="s">
        <v>64</v>
      </c>
      <c r="AG21" s="1247">
        <v>1</v>
      </c>
      <c r="AH21" s="1178" t="s">
        <v>76</v>
      </c>
      <c r="AI21" s="1248">
        <v>45464</v>
      </c>
      <c r="AJ21" s="1248">
        <v>45464</v>
      </c>
      <c r="AK21" s="1249">
        <f>18000+69200+16212</f>
        <v>103412</v>
      </c>
      <c r="AL21" s="1227">
        <f t="shared" si="3"/>
        <v>0.98487619047619046</v>
      </c>
      <c r="AM21" s="1252" t="s">
        <v>62</v>
      </c>
      <c r="AN21" s="1251">
        <v>1</v>
      </c>
      <c r="AO21" s="1276"/>
      <c r="AP21" s="1277"/>
      <c r="AQ21" s="1276"/>
      <c r="AR21" s="1278"/>
      <c r="AS21" s="1278"/>
    </row>
    <row r="22" spans="1:45" ht="15.6">
      <c r="A22" s="1097" t="s">
        <v>53</v>
      </c>
      <c r="B22" s="1103" t="s">
        <v>54</v>
      </c>
      <c r="C22" s="1098" t="s">
        <v>55</v>
      </c>
      <c r="D22" s="1098" t="s">
        <v>56</v>
      </c>
      <c r="E22" s="1432" t="s">
        <v>72</v>
      </c>
      <c r="F22" s="856">
        <v>2024</v>
      </c>
      <c r="G22" s="1099">
        <v>45388</v>
      </c>
      <c r="H22" s="3">
        <v>300021330</v>
      </c>
      <c r="I22" s="1204" t="s">
        <v>95</v>
      </c>
      <c r="J22" s="1177">
        <v>11</v>
      </c>
      <c r="K22" s="749" t="s">
        <v>60</v>
      </c>
      <c r="L22" s="1201"/>
      <c r="M22" s="786">
        <v>431.4</v>
      </c>
      <c r="N22" s="1201"/>
      <c r="O22" s="1202">
        <v>45456</v>
      </c>
      <c r="P22" s="1203"/>
      <c r="Q22" s="3" t="s">
        <v>96</v>
      </c>
      <c r="R22" s="1209"/>
      <c r="S22" s="856" t="s">
        <v>62</v>
      </c>
      <c r="T22" s="856" t="s">
        <v>63</v>
      </c>
      <c r="U22" s="1174" t="s">
        <v>75</v>
      </c>
      <c r="V22" s="856">
        <v>469.12</v>
      </c>
      <c r="W22" s="856">
        <v>307.44</v>
      </c>
      <c r="X22" s="1179">
        <v>45461</v>
      </c>
      <c r="Y22" s="1179">
        <v>45461</v>
      </c>
      <c r="Z22" s="856" t="s">
        <v>62</v>
      </c>
      <c r="AA22" s="1225"/>
      <c r="AB22" s="1099">
        <v>45462</v>
      </c>
      <c r="AC22" s="1099">
        <v>45462</v>
      </c>
      <c r="AD22" s="1226">
        <f>520+227</f>
        <v>747</v>
      </c>
      <c r="AE22" s="1227">
        <f t="shared" si="2"/>
        <v>0.93374999999999997</v>
      </c>
      <c r="AF22" s="1228" t="s">
        <v>64</v>
      </c>
      <c r="AG22" s="1247">
        <v>1</v>
      </c>
      <c r="AH22" s="1178" t="s">
        <v>76</v>
      </c>
      <c r="AI22" s="1248">
        <v>45464</v>
      </c>
      <c r="AJ22" s="1248">
        <v>45464</v>
      </c>
      <c r="AK22" s="1249">
        <f>60494+43295</f>
        <v>103789</v>
      </c>
      <c r="AL22" s="1227">
        <f t="shared" si="3"/>
        <v>0.98846666666666672</v>
      </c>
      <c r="AM22" s="1252" t="s">
        <v>97</v>
      </c>
      <c r="AN22" s="1251">
        <v>1</v>
      </c>
      <c r="AO22" s="1276"/>
      <c r="AP22" s="1277"/>
      <c r="AQ22" s="1276"/>
      <c r="AR22" s="1278"/>
      <c r="AS22" s="1278"/>
    </row>
    <row r="23" spans="1:45" ht="15.6">
      <c r="A23" s="1097" t="s">
        <v>53</v>
      </c>
      <c r="B23" s="1103" t="s">
        <v>54</v>
      </c>
      <c r="C23" s="1098" t="s">
        <v>55</v>
      </c>
      <c r="D23" s="1098" t="s">
        <v>56</v>
      </c>
      <c r="E23" s="1432" t="s">
        <v>72</v>
      </c>
      <c r="F23" s="856">
        <v>2024</v>
      </c>
      <c r="G23" s="1099">
        <v>45388</v>
      </c>
      <c r="H23" s="3">
        <v>300021331</v>
      </c>
      <c r="I23" s="1204" t="s">
        <v>98</v>
      </c>
      <c r="J23" s="1177">
        <v>12</v>
      </c>
      <c r="K23" s="749" t="s">
        <v>60</v>
      </c>
      <c r="L23" s="1201"/>
      <c r="M23" s="786">
        <v>429.3</v>
      </c>
      <c r="N23" s="1201"/>
      <c r="O23" s="1202">
        <v>45457</v>
      </c>
      <c r="P23" s="1203"/>
      <c r="Q23" s="3" t="s">
        <v>99</v>
      </c>
      <c r="R23" s="1209"/>
      <c r="S23" s="856" t="s">
        <v>62</v>
      </c>
      <c r="T23" s="856" t="s">
        <v>63</v>
      </c>
      <c r="U23" s="1174" t="s">
        <v>75</v>
      </c>
      <c r="V23" s="856">
        <v>468.04</v>
      </c>
      <c r="W23" s="856">
        <v>307</v>
      </c>
      <c r="X23" s="1179">
        <v>45461</v>
      </c>
      <c r="Y23" s="1179">
        <v>45461</v>
      </c>
      <c r="Z23" s="856" t="s">
        <v>62</v>
      </c>
      <c r="AA23" s="1225"/>
      <c r="AB23" s="1099">
        <v>45462</v>
      </c>
      <c r="AC23" s="1099">
        <v>45463</v>
      </c>
      <c r="AD23" s="1226">
        <f>320+425</f>
        <v>745</v>
      </c>
      <c r="AE23" s="1227">
        <f t="shared" si="2"/>
        <v>0.93125000000000002</v>
      </c>
      <c r="AF23" s="1228" t="s">
        <v>64</v>
      </c>
      <c r="AG23" s="1247">
        <v>1</v>
      </c>
      <c r="AH23" s="1178" t="s">
        <v>76</v>
      </c>
      <c r="AI23" s="1248">
        <v>45464</v>
      </c>
      <c r="AJ23" s="1248">
        <v>45465</v>
      </c>
      <c r="AK23" s="1249">
        <f>44642+57794+1121</f>
        <v>103557</v>
      </c>
      <c r="AL23" s="1227">
        <f t="shared" si="3"/>
        <v>0.98625714285714283</v>
      </c>
      <c r="AM23" s="1252" t="s">
        <v>62</v>
      </c>
      <c r="AN23" s="1251">
        <v>1</v>
      </c>
      <c r="AO23" s="1276"/>
      <c r="AP23" s="1277"/>
      <c r="AQ23" s="1276"/>
      <c r="AR23" s="1278"/>
      <c r="AS23" s="1278"/>
    </row>
    <row r="24" spans="1:45" ht="15.6">
      <c r="A24" s="1097" t="s">
        <v>53</v>
      </c>
      <c r="B24" s="1103"/>
      <c r="C24" s="1098"/>
      <c r="D24" s="1098"/>
      <c r="E24" s="856"/>
      <c r="F24" s="856"/>
      <c r="G24" s="1099"/>
      <c r="H24" s="3"/>
      <c r="I24" s="3"/>
      <c r="J24" s="1177"/>
      <c r="K24" s="856"/>
      <c r="L24" s="1201"/>
      <c r="M24" s="856"/>
      <c r="N24" s="1201"/>
      <c r="O24" s="1202"/>
      <c r="P24" s="1203"/>
      <c r="Q24" s="764"/>
      <c r="R24" s="1209"/>
      <c r="S24" s="856"/>
      <c r="T24" s="856"/>
      <c r="U24" s="856"/>
      <c r="V24" s="856"/>
      <c r="W24" s="856"/>
      <c r="X24" s="1179"/>
      <c r="Y24" s="1179"/>
      <c r="Z24" s="856"/>
      <c r="AA24" s="1225"/>
      <c r="AB24" s="1099"/>
      <c r="AC24" s="1099"/>
      <c r="AD24" s="1226"/>
      <c r="AE24" s="1227"/>
      <c r="AF24" s="1228"/>
      <c r="AG24" s="1247"/>
      <c r="AH24" s="1178"/>
      <c r="AI24" s="1254"/>
      <c r="AJ24" s="1248"/>
      <c r="AK24" s="1249"/>
      <c r="AL24" s="1227"/>
      <c r="AM24" s="1255"/>
      <c r="AN24" s="1251"/>
      <c r="AO24" s="1276"/>
      <c r="AP24" s="1277"/>
      <c r="AQ24" s="1276"/>
      <c r="AR24" s="1278"/>
      <c r="AS24" s="1278"/>
    </row>
    <row r="25" spans="1:45" ht="15.6">
      <c r="A25" s="1097" t="s">
        <v>53</v>
      </c>
      <c r="B25" s="1103" t="s">
        <v>54</v>
      </c>
      <c r="C25" s="1098" t="s">
        <v>55</v>
      </c>
      <c r="D25" s="1098" t="s">
        <v>56</v>
      </c>
      <c r="E25" s="1432" t="s">
        <v>100</v>
      </c>
      <c r="F25" s="856">
        <v>2024</v>
      </c>
      <c r="G25" s="1099">
        <v>45497</v>
      </c>
      <c r="H25" s="3">
        <v>300021499</v>
      </c>
      <c r="I25" s="1200" t="s">
        <v>101</v>
      </c>
      <c r="J25" s="1177">
        <v>1</v>
      </c>
      <c r="K25" s="749" t="s">
        <v>60</v>
      </c>
      <c r="L25" s="1201"/>
      <c r="M25" s="858">
        <v>431.14</v>
      </c>
      <c r="N25" s="1201"/>
      <c r="O25" s="1202">
        <v>45468</v>
      </c>
      <c r="P25" s="1203"/>
      <c r="Q25" s="785" t="s">
        <v>102</v>
      </c>
      <c r="R25" s="1209"/>
      <c r="S25" s="856" t="s">
        <v>62</v>
      </c>
      <c r="T25" s="1174" t="s">
        <v>75</v>
      </c>
      <c r="U25" s="856" t="s">
        <v>69</v>
      </c>
      <c r="V25" s="856">
        <v>468.88</v>
      </c>
      <c r="W25" s="856">
        <v>307.68</v>
      </c>
      <c r="X25" s="1179">
        <v>45499</v>
      </c>
      <c r="Y25" s="1179">
        <v>45499</v>
      </c>
      <c r="Z25" s="856" t="s">
        <v>62</v>
      </c>
      <c r="AA25" s="1225"/>
      <c r="AB25" s="1099">
        <v>45502</v>
      </c>
      <c r="AC25" s="1099">
        <v>45502</v>
      </c>
      <c r="AD25" s="1226">
        <f>180+554</f>
        <v>734</v>
      </c>
      <c r="AE25" s="1227">
        <f t="shared" ref="AE25:AE28" si="4">AD25/800</f>
        <v>0.91749999999999998</v>
      </c>
      <c r="AF25" s="1228" t="s">
        <v>64</v>
      </c>
      <c r="AG25" s="1247">
        <v>1</v>
      </c>
      <c r="AH25" s="1178" t="s">
        <v>103</v>
      </c>
      <c r="AI25" s="1248">
        <v>45505</v>
      </c>
      <c r="AJ25" s="1248">
        <v>45505</v>
      </c>
      <c r="AK25" s="1249">
        <f>57000+44840</f>
        <v>101840</v>
      </c>
      <c r="AL25" s="1227">
        <f t="shared" ref="AL25:AL28" si="5">AK25/105000</f>
        <v>0.96990476190476194</v>
      </c>
      <c r="AM25" s="1252" t="s">
        <v>62</v>
      </c>
      <c r="AN25" s="1251">
        <v>1</v>
      </c>
      <c r="AO25" s="1276"/>
      <c r="AP25" s="1277"/>
      <c r="AQ25" s="1276"/>
      <c r="AR25" s="1278"/>
      <c r="AS25" s="1278"/>
    </row>
    <row r="26" spans="1:45" ht="15.6">
      <c r="A26" s="1097" t="s">
        <v>53</v>
      </c>
      <c r="B26" s="1103" t="s">
        <v>54</v>
      </c>
      <c r="C26" s="1098" t="s">
        <v>55</v>
      </c>
      <c r="D26" s="1098" t="s">
        <v>56</v>
      </c>
      <c r="E26" s="1432" t="s">
        <v>100</v>
      </c>
      <c r="F26" s="856">
        <v>2024</v>
      </c>
      <c r="G26" s="1099">
        <v>45497</v>
      </c>
      <c r="H26" s="3">
        <v>300021628</v>
      </c>
      <c r="I26" s="1200" t="s">
        <v>104</v>
      </c>
      <c r="J26" s="1177">
        <v>2</v>
      </c>
      <c r="K26" s="749" t="s">
        <v>60</v>
      </c>
      <c r="L26" s="1201"/>
      <c r="M26" s="858">
        <v>431.65</v>
      </c>
      <c r="N26" s="1201"/>
      <c r="O26" s="1202">
        <v>45468</v>
      </c>
      <c r="P26" s="1203"/>
      <c r="Q26" s="3" t="s">
        <v>105</v>
      </c>
      <c r="R26" s="1209"/>
      <c r="S26" s="856" t="s">
        <v>62</v>
      </c>
      <c r="T26" s="1174" t="s">
        <v>75</v>
      </c>
      <c r="U26" s="856" t="s">
        <v>69</v>
      </c>
      <c r="V26" s="856">
        <v>469.38</v>
      </c>
      <c r="W26" s="856">
        <v>307.60000000000002</v>
      </c>
      <c r="X26" s="1179">
        <v>45499</v>
      </c>
      <c r="Y26" s="1179">
        <v>45499</v>
      </c>
      <c r="Z26" s="856" t="s">
        <v>62</v>
      </c>
      <c r="AA26" s="1225"/>
      <c r="AB26" s="1099">
        <v>45502</v>
      </c>
      <c r="AC26" s="1099">
        <v>45503</v>
      </c>
      <c r="AD26" s="1226">
        <f>455+274</f>
        <v>729</v>
      </c>
      <c r="AE26" s="1227">
        <f t="shared" si="4"/>
        <v>0.91125</v>
      </c>
      <c r="AF26" s="1228" t="s">
        <v>64</v>
      </c>
      <c r="AG26" s="1247">
        <v>1</v>
      </c>
      <c r="AH26" s="1178" t="s">
        <v>103</v>
      </c>
      <c r="AI26" s="1248">
        <v>45504</v>
      </c>
      <c r="AJ26" s="1248">
        <v>45504</v>
      </c>
      <c r="AK26" s="1249">
        <f>59000+33108</f>
        <v>92108</v>
      </c>
      <c r="AL26" s="1227">
        <f t="shared" si="5"/>
        <v>0.87721904761904756</v>
      </c>
      <c r="AM26" s="1252" t="s">
        <v>62</v>
      </c>
      <c r="AN26" s="1251">
        <v>1</v>
      </c>
      <c r="AO26" s="1276"/>
      <c r="AP26" s="1277"/>
      <c r="AQ26" s="1276"/>
      <c r="AR26" s="1278"/>
      <c r="AS26" s="1278"/>
    </row>
    <row r="27" spans="1:45" ht="15.6">
      <c r="A27" s="1097" t="s">
        <v>53</v>
      </c>
      <c r="B27" s="1103" t="s">
        <v>54</v>
      </c>
      <c r="C27" s="1098" t="s">
        <v>55</v>
      </c>
      <c r="D27" s="1098" t="s">
        <v>56</v>
      </c>
      <c r="E27" s="1432" t="s">
        <v>100</v>
      </c>
      <c r="F27" s="856">
        <v>2024</v>
      </c>
      <c r="G27" s="1099">
        <v>45497</v>
      </c>
      <c r="H27" s="3">
        <v>300021629</v>
      </c>
      <c r="I27" s="1200" t="s">
        <v>106</v>
      </c>
      <c r="J27" s="1177">
        <v>3</v>
      </c>
      <c r="K27" s="749" t="s">
        <v>60</v>
      </c>
      <c r="L27" s="1201"/>
      <c r="M27" s="858">
        <v>433.33</v>
      </c>
      <c r="N27" s="1201"/>
      <c r="O27" s="1202">
        <v>45468</v>
      </c>
      <c r="P27" s="1203"/>
      <c r="Q27" s="3" t="s">
        <v>107</v>
      </c>
      <c r="R27" s="1209"/>
      <c r="S27" s="856" t="s">
        <v>62</v>
      </c>
      <c r="T27" s="1174" t="s">
        <v>75</v>
      </c>
      <c r="U27" s="856" t="s">
        <v>69</v>
      </c>
      <c r="V27" s="856">
        <v>471.04</v>
      </c>
      <c r="W27" s="856">
        <v>307.7</v>
      </c>
      <c r="X27" s="1179">
        <v>45502</v>
      </c>
      <c r="Y27" s="1179">
        <v>45502</v>
      </c>
      <c r="Z27" s="856" t="s">
        <v>62</v>
      </c>
      <c r="AA27" s="1225"/>
      <c r="AB27" s="1099">
        <v>45503</v>
      </c>
      <c r="AC27" s="1099">
        <v>45503</v>
      </c>
      <c r="AD27" s="1226">
        <f>115+620</f>
        <v>735</v>
      </c>
      <c r="AE27" s="1227">
        <f t="shared" si="4"/>
        <v>0.91874999999999996</v>
      </c>
      <c r="AF27" s="1228" t="s">
        <v>64</v>
      </c>
      <c r="AG27" s="1247">
        <v>1</v>
      </c>
      <c r="AH27" s="1178" t="s">
        <v>103</v>
      </c>
      <c r="AI27" s="1248">
        <v>45505</v>
      </c>
      <c r="AJ27" s="1248">
        <v>45505</v>
      </c>
      <c r="AK27" s="1249">
        <f>45700+56307</f>
        <v>102007</v>
      </c>
      <c r="AL27" s="1227">
        <f t="shared" si="5"/>
        <v>0.97149523809523808</v>
      </c>
      <c r="AM27" s="1252" t="s">
        <v>62</v>
      </c>
      <c r="AN27" s="1251">
        <v>1</v>
      </c>
      <c r="AO27" s="1276"/>
      <c r="AP27" s="1277"/>
      <c r="AQ27" s="1276"/>
      <c r="AR27" s="1278"/>
      <c r="AS27" s="1278"/>
    </row>
    <row r="28" spans="1:45" ht="15.6">
      <c r="A28" s="1097" t="s">
        <v>53</v>
      </c>
      <c r="B28" s="1103" t="s">
        <v>54</v>
      </c>
      <c r="C28" s="1098" t="s">
        <v>55</v>
      </c>
      <c r="D28" s="1098" t="s">
        <v>56</v>
      </c>
      <c r="E28" s="1432" t="s">
        <v>100</v>
      </c>
      <c r="F28" s="856">
        <v>2024</v>
      </c>
      <c r="G28" s="1099">
        <v>45497</v>
      </c>
      <c r="H28" s="3">
        <v>300021630</v>
      </c>
      <c r="I28" s="1200" t="s">
        <v>108</v>
      </c>
      <c r="J28" s="1177">
        <v>4</v>
      </c>
      <c r="K28" s="749" t="s">
        <v>60</v>
      </c>
      <c r="L28" s="1201"/>
      <c r="M28" s="786">
        <v>423.6</v>
      </c>
      <c r="N28" s="1201"/>
      <c r="O28" s="1202">
        <v>45469</v>
      </c>
      <c r="P28" s="1203"/>
      <c r="Q28" s="3" t="s">
        <v>109</v>
      </c>
      <c r="R28" s="1209"/>
      <c r="S28" s="856" t="s">
        <v>62</v>
      </c>
      <c r="T28" s="1174" t="s">
        <v>75</v>
      </c>
      <c r="U28" s="856" t="s">
        <v>69</v>
      </c>
      <c r="V28" s="856">
        <v>461.32</v>
      </c>
      <c r="W28" s="856">
        <v>306.27</v>
      </c>
      <c r="X28" s="1179">
        <v>45502</v>
      </c>
      <c r="Y28" s="1179">
        <v>45502</v>
      </c>
      <c r="Z28" s="856" t="s">
        <v>62</v>
      </c>
      <c r="AA28" s="1225"/>
      <c r="AB28" s="1099">
        <v>45503</v>
      </c>
      <c r="AC28" s="1099">
        <v>45504</v>
      </c>
      <c r="AD28" s="1226">
        <f>455+274</f>
        <v>729</v>
      </c>
      <c r="AE28" s="1227">
        <f t="shared" si="4"/>
        <v>0.91125</v>
      </c>
      <c r="AF28" s="1228" t="s">
        <v>64</v>
      </c>
      <c r="AG28" s="1247">
        <v>1</v>
      </c>
      <c r="AH28" s="1178" t="s">
        <v>103</v>
      </c>
      <c r="AI28" s="1248">
        <v>45505</v>
      </c>
      <c r="AJ28" s="1248">
        <v>45506</v>
      </c>
      <c r="AK28" s="1249">
        <f>57000+43992</f>
        <v>100992</v>
      </c>
      <c r="AL28" s="1227">
        <f t="shared" si="5"/>
        <v>0.96182857142857148</v>
      </c>
      <c r="AM28" s="1252" t="s">
        <v>62</v>
      </c>
      <c r="AN28" s="1251">
        <v>1</v>
      </c>
      <c r="AO28" s="1276"/>
      <c r="AP28" s="1277"/>
      <c r="AQ28" s="1276"/>
      <c r="AR28" s="1278"/>
      <c r="AS28" s="1278"/>
    </row>
    <row r="29" spans="1:45" ht="15.6">
      <c r="A29" s="1097"/>
      <c r="B29" s="1103"/>
      <c r="C29" s="1098"/>
      <c r="D29" s="1098"/>
      <c r="E29" s="856"/>
      <c r="F29" s="856"/>
      <c r="G29" s="1099"/>
      <c r="H29" s="3"/>
      <c r="I29" s="1200"/>
      <c r="J29" s="1177"/>
      <c r="K29" s="749"/>
      <c r="L29" s="1201"/>
      <c r="M29" s="786"/>
      <c r="N29" s="1201"/>
      <c r="O29" s="1202"/>
      <c r="P29" s="1203"/>
      <c r="Q29" s="764"/>
      <c r="R29" s="1209"/>
      <c r="S29" s="856"/>
      <c r="T29" s="1174"/>
      <c r="U29" s="856"/>
      <c r="V29" s="856"/>
      <c r="W29" s="856"/>
      <c r="X29" s="1179"/>
      <c r="Y29" s="1179"/>
      <c r="Z29" s="856"/>
      <c r="AA29" s="1225"/>
      <c r="AB29" s="1099"/>
      <c r="AC29" s="1099"/>
      <c r="AD29" s="1226"/>
      <c r="AE29" s="1227"/>
      <c r="AF29" s="1228"/>
      <c r="AG29" s="1247"/>
      <c r="AH29" s="1178"/>
      <c r="AI29" s="1254"/>
      <c r="AJ29" s="1248"/>
      <c r="AK29" s="1249"/>
      <c r="AL29" s="1227"/>
      <c r="AM29" s="1252"/>
      <c r="AN29" s="1251"/>
      <c r="AO29" s="1276"/>
      <c r="AP29" s="1277"/>
      <c r="AQ29" s="1276"/>
      <c r="AR29" s="1278"/>
      <c r="AS29" s="1278"/>
    </row>
    <row r="30" spans="1:45" ht="15.6">
      <c r="A30" s="1097"/>
      <c r="B30" s="1103" t="s">
        <v>54</v>
      </c>
      <c r="C30" s="1098" t="s">
        <v>55</v>
      </c>
      <c r="D30" s="1098" t="s">
        <v>56</v>
      </c>
      <c r="E30" s="1432" t="s">
        <v>100</v>
      </c>
      <c r="F30" s="856">
        <v>2024</v>
      </c>
      <c r="G30" s="1099">
        <v>45532</v>
      </c>
      <c r="H30" s="12" t="s">
        <v>110</v>
      </c>
      <c r="I30" s="12" t="s">
        <v>111</v>
      </c>
      <c r="J30" s="1177">
        <v>1</v>
      </c>
      <c r="K30" s="749" t="s">
        <v>60</v>
      </c>
      <c r="L30" s="1201"/>
      <c r="M30" s="865">
        <v>428.7</v>
      </c>
      <c r="N30" s="1201"/>
      <c r="O30" s="1202">
        <v>45534</v>
      </c>
      <c r="P30" s="1203"/>
      <c r="Q30" s="3" t="s">
        <v>112</v>
      </c>
      <c r="R30" s="1209"/>
      <c r="S30" s="856" t="s">
        <v>62</v>
      </c>
      <c r="T30" s="1174"/>
      <c r="U30" s="856"/>
      <c r="V30" s="856"/>
      <c r="W30" s="856"/>
      <c r="X30" s="1179"/>
      <c r="Y30" s="1179"/>
      <c r="Z30" s="856"/>
      <c r="AA30" s="1225"/>
      <c r="AB30" s="1099"/>
      <c r="AC30" s="1099"/>
      <c r="AD30" s="1226"/>
      <c r="AE30" s="1227"/>
      <c r="AF30" s="1228"/>
      <c r="AG30" s="1247"/>
      <c r="AH30" s="1178"/>
      <c r="AI30" s="1254"/>
      <c r="AJ30" s="1248"/>
      <c r="AK30" s="1249"/>
      <c r="AL30" s="1227"/>
      <c r="AM30" s="1252"/>
      <c r="AN30" s="1251"/>
      <c r="AO30" s="1276"/>
      <c r="AP30" s="1277"/>
      <c r="AQ30" s="1276"/>
      <c r="AR30" s="1278"/>
      <c r="AS30" s="1278"/>
    </row>
    <row r="31" spans="1:45" ht="15.6">
      <c r="A31" s="1097"/>
      <c r="B31" s="1103" t="s">
        <v>54</v>
      </c>
      <c r="C31" s="1098" t="s">
        <v>55</v>
      </c>
      <c r="D31" s="1098" t="s">
        <v>56</v>
      </c>
      <c r="E31" s="1432" t="s">
        <v>100</v>
      </c>
      <c r="F31" s="856">
        <v>2024</v>
      </c>
      <c r="G31" s="1099">
        <v>45532</v>
      </c>
      <c r="H31" s="12" t="s">
        <v>113</v>
      </c>
      <c r="I31" s="12" t="s">
        <v>114</v>
      </c>
      <c r="J31" s="1177">
        <v>2</v>
      </c>
      <c r="K31" s="749" t="s">
        <v>60</v>
      </c>
      <c r="L31" s="1201"/>
      <c r="M31" s="858">
        <v>426.8</v>
      </c>
      <c r="N31" s="1201"/>
      <c r="O31" s="1202">
        <v>45534</v>
      </c>
      <c r="P31" s="1203"/>
      <c r="Q31" s="3" t="s">
        <v>115</v>
      </c>
      <c r="R31" s="1209"/>
      <c r="S31" s="856" t="s">
        <v>62</v>
      </c>
      <c r="T31" s="1174"/>
      <c r="U31" s="856"/>
      <c r="V31" s="856"/>
      <c r="W31" s="856"/>
      <c r="X31" s="1179"/>
      <c r="Y31" s="1179"/>
      <c r="Z31" s="856"/>
      <c r="AA31" s="1225"/>
      <c r="AB31" s="1099"/>
      <c r="AC31" s="1099"/>
      <c r="AD31" s="1226"/>
      <c r="AE31" s="1227"/>
      <c r="AF31" s="1228"/>
      <c r="AG31" s="1247"/>
      <c r="AH31" s="1178"/>
      <c r="AI31" s="1254"/>
      <c r="AJ31" s="1248"/>
      <c r="AK31" s="1249"/>
      <c r="AL31" s="1227"/>
      <c r="AM31" s="1252"/>
      <c r="AN31" s="1251"/>
      <c r="AO31" s="1276"/>
      <c r="AP31" s="1277"/>
      <c r="AQ31" s="1276"/>
      <c r="AR31" s="1278"/>
      <c r="AS31" s="1278"/>
    </row>
    <row r="32" spans="1:45" ht="15.6">
      <c r="A32" s="1097"/>
      <c r="B32" s="1103" t="s">
        <v>54</v>
      </c>
      <c r="C32" s="1098" t="s">
        <v>55</v>
      </c>
      <c r="D32" s="1098" t="s">
        <v>56</v>
      </c>
      <c r="E32" s="1432" t="s">
        <v>100</v>
      </c>
      <c r="F32" s="856">
        <v>2024</v>
      </c>
      <c r="G32" s="1099">
        <v>45532</v>
      </c>
      <c r="H32" s="12" t="s">
        <v>116</v>
      </c>
      <c r="I32" s="12" t="s">
        <v>117</v>
      </c>
      <c r="J32" s="1177">
        <v>3</v>
      </c>
      <c r="K32" s="749" t="s">
        <v>60</v>
      </c>
      <c r="L32" s="1201"/>
      <c r="M32" s="858">
        <v>434.8</v>
      </c>
      <c r="N32" s="1201"/>
      <c r="O32" s="1202">
        <v>45534</v>
      </c>
      <c r="P32" s="1203"/>
      <c r="Q32" s="3" t="s">
        <v>118</v>
      </c>
      <c r="R32" s="1209"/>
      <c r="S32" s="856" t="s">
        <v>62</v>
      </c>
      <c r="T32" s="1174"/>
      <c r="U32" s="856"/>
      <c r="V32" s="856"/>
      <c r="W32" s="856"/>
      <c r="X32" s="1179"/>
      <c r="Y32" s="1179"/>
      <c r="Z32" s="856"/>
      <c r="AA32" s="1225"/>
      <c r="AB32" s="1099"/>
      <c r="AC32" s="1099"/>
      <c r="AD32" s="1226"/>
      <c r="AE32" s="1227"/>
      <c r="AF32" s="1228"/>
      <c r="AG32" s="1247"/>
      <c r="AH32" s="1178"/>
      <c r="AI32" s="1254"/>
      <c r="AJ32" s="1248"/>
      <c r="AK32" s="1249"/>
      <c r="AL32" s="1227"/>
      <c r="AM32" s="1252"/>
      <c r="AN32" s="1251"/>
      <c r="AO32" s="1276"/>
      <c r="AP32" s="1277"/>
      <c r="AQ32" s="1276"/>
      <c r="AR32" s="1278"/>
      <c r="AS32" s="1278"/>
    </row>
    <row r="33" spans="1:45" ht="15.6">
      <c r="A33" s="1097"/>
      <c r="B33" s="1103" t="s">
        <v>54</v>
      </c>
      <c r="C33" s="1098" t="s">
        <v>55</v>
      </c>
      <c r="D33" s="1098" t="s">
        <v>56</v>
      </c>
      <c r="E33" s="1432" t="s">
        <v>100</v>
      </c>
      <c r="F33" s="856">
        <v>2024</v>
      </c>
      <c r="G33" s="1099">
        <v>45532</v>
      </c>
      <c r="H33" s="12" t="s">
        <v>119</v>
      </c>
      <c r="I33" s="12" t="s">
        <v>120</v>
      </c>
      <c r="J33" s="1177">
        <v>4</v>
      </c>
      <c r="K33" s="749" t="s">
        <v>60</v>
      </c>
      <c r="L33" s="1201"/>
      <c r="M33" s="858">
        <v>431.5</v>
      </c>
      <c r="N33" s="1201"/>
      <c r="O33" s="1202">
        <v>45537</v>
      </c>
      <c r="P33" s="1203"/>
      <c r="Q33" s="3" t="s">
        <v>121</v>
      </c>
      <c r="R33" s="1209"/>
      <c r="S33" s="856"/>
      <c r="T33" s="1174"/>
      <c r="U33" s="856"/>
      <c r="V33" s="856"/>
      <c r="W33" s="856"/>
      <c r="X33" s="1179"/>
      <c r="Y33" s="1179"/>
      <c r="Z33" s="856"/>
      <c r="AA33" s="1225"/>
      <c r="AB33" s="1099"/>
      <c r="AC33" s="1099"/>
      <c r="AD33" s="1226"/>
      <c r="AE33" s="1227"/>
      <c r="AF33" s="1228"/>
      <c r="AG33" s="1247"/>
      <c r="AH33" s="1178"/>
      <c r="AI33" s="1254"/>
      <c r="AJ33" s="1248"/>
      <c r="AK33" s="1249"/>
      <c r="AL33" s="1227"/>
      <c r="AM33" s="1252"/>
      <c r="AN33" s="1251"/>
      <c r="AO33" s="1276"/>
      <c r="AP33" s="1277"/>
      <c r="AQ33" s="1276"/>
      <c r="AR33" s="1278"/>
      <c r="AS33" s="1278"/>
    </row>
    <row r="34" spans="1:45" ht="15.6">
      <c r="A34" s="1097" t="s">
        <v>53</v>
      </c>
      <c r="B34" s="1103"/>
      <c r="C34" s="1098"/>
      <c r="D34" s="1098"/>
      <c r="E34" s="856"/>
      <c r="F34" s="856"/>
      <c r="G34" s="1190"/>
      <c r="H34" s="1190"/>
      <c r="I34" s="1181"/>
      <c r="J34" s="1177"/>
      <c r="K34" s="856"/>
      <c r="L34" s="856"/>
      <c r="M34" s="856"/>
      <c r="N34" s="856"/>
      <c r="O34" s="1202"/>
      <c r="P34" s="1202"/>
      <c r="Q34" s="856"/>
      <c r="R34" s="1209"/>
      <c r="S34" s="856"/>
      <c r="T34" s="856"/>
      <c r="U34" s="856"/>
      <c r="V34" s="856"/>
      <c r="W34" s="856"/>
      <c r="X34" s="1211"/>
      <c r="Y34" s="1202"/>
      <c r="Z34" s="856"/>
      <c r="AA34" s="1225"/>
      <c r="AB34" s="1099"/>
      <c r="AC34" s="1099"/>
      <c r="AD34" s="1229"/>
      <c r="AE34" s="1227"/>
      <c r="AF34" s="1228"/>
      <c r="AG34" s="1247"/>
      <c r="AH34" s="1258"/>
      <c r="AI34" s="1217"/>
      <c r="AJ34" s="1099"/>
      <c r="AK34" s="1259"/>
      <c r="AL34" s="1227"/>
      <c r="AM34" s="1260"/>
      <c r="AN34" s="1261"/>
      <c r="AO34" s="1276"/>
      <c r="AP34" s="1277"/>
      <c r="AQ34" s="1276"/>
      <c r="AR34" s="1278"/>
      <c r="AS34" s="1278"/>
    </row>
    <row r="35" spans="1:45" ht="15.6">
      <c r="A35" s="1097" t="s">
        <v>53</v>
      </c>
      <c r="B35" s="1075" t="s">
        <v>122</v>
      </c>
      <c r="C35" s="851" t="s">
        <v>123</v>
      </c>
      <c r="D35" s="851" t="s">
        <v>124</v>
      </c>
      <c r="E35" s="1432" t="s">
        <v>125</v>
      </c>
      <c r="F35" s="856">
        <v>2024</v>
      </c>
      <c r="G35" s="784" t="s">
        <v>126</v>
      </c>
      <c r="H35" s="1192">
        <v>200104487</v>
      </c>
      <c r="I35" s="1433" t="s">
        <v>127</v>
      </c>
      <c r="J35" s="856">
        <v>1</v>
      </c>
      <c r="K35" s="3" t="s">
        <v>128</v>
      </c>
      <c r="L35" s="1201"/>
      <c r="M35" s="762">
        <v>466.4</v>
      </c>
      <c r="N35" s="1201"/>
      <c r="O35" s="1205">
        <v>45281</v>
      </c>
      <c r="P35" s="1203"/>
      <c r="Q35" s="3" t="s">
        <v>129</v>
      </c>
      <c r="R35" s="1209"/>
      <c r="S35" s="856" t="s">
        <v>62</v>
      </c>
      <c r="T35" s="1212"/>
      <c r="U35" s="3" t="s">
        <v>130</v>
      </c>
      <c r="V35" s="1212"/>
      <c r="W35" s="762">
        <v>330</v>
      </c>
      <c r="X35" s="1213"/>
      <c r="Y35" s="1205">
        <v>45280</v>
      </c>
      <c r="Z35" s="856" t="s">
        <v>62</v>
      </c>
      <c r="AA35" s="1230"/>
      <c r="AB35" s="1099">
        <v>45282</v>
      </c>
      <c r="AC35" s="1099">
        <v>45287</v>
      </c>
      <c r="AD35" s="1176">
        <f>30+514+232</f>
        <v>776</v>
      </c>
      <c r="AE35" s="1227">
        <f t="shared" ref="AE35:AE47" si="6">AD35/800</f>
        <v>0.97</v>
      </c>
      <c r="AF35" s="1231" t="s">
        <v>131</v>
      </c>
      <c r="AG35" s="1262">
        <v>1</v>
      </c>
      <c r="AH35" s="1248" t="s">
        <v>132</v>
      </c>
      <c r="AI35" s="1248">
        <v>45288</v>
      </c>
      <c r="AJ35" s="1248">
        <v>45289</v>
      </c>
      <c r="AK35" s="1263">
        <f>82366+137800+21846</f>
        <v>242012</v>
      </c>
      <c r="AL35" s="1264">
        <f t="shared" ref="AL35:AL47" si="7">AK35/250000</f>
        <v>0.96804800000000002</v>
      </c>
      <c r="AM35" s="1265" t="s">
        <v>62</v>
      </c>
      <c r="AN35" s="1261">
        <v>1</v>
      </c>
      <c r="AO35" s="1276"/>
      <c r="AP35" s="1277"/>
      <c r="AQ35" s="1276"/>
      <c r="AR35" s="1278"/>
      <c r="AS35" s="1278"/>
    </row>
    <row r="36" spans="1:45" ht="15.6">
      <c r="A36" s="1097" t="s">
        <v>53</v>
      </c>
      <c r="B36" s="1075" t="s">
        <v>122</v>
      </c>
      <c r="C36" s="851" t="s">
        <v>123</v>
      </c>
      <c r="D36" s="851" t="s">
        <v>124</v>
      </c>
      <c r="E36" s="1432" t="s">
        <v>125</v>
      </c>
      <c r="F36" s="856">
        <v>2024</v>
      </c>
      <c r="G36" s="784" t="s">
        <v>126</v>
      </c>
      <c r="H36" s="1192">
        <v>200104488</v>
      </c>
      <c r="I36" s="1433" t="s">
        <v>133</v>
      </c>
      <c r="J36" s="856">
        <v>2</v>
      </c>
      <c r="K36" s="3" t="s">
        <v>128</v>
      </c>
      <c r="L36" s="1201"/>
      <c r="M36" s="762">
        <v>460.2</v>
      </c>
      <c r="N36" s="1201"/>
      <c r="O36" s="1205">
        <v>45282</v>
      </c>
      <c r="P36" s="1203"/>
      <c r="Q36" s="3" t="s">
        <v>134</v>
      </c>
      <c r="R36" s="1209"/>
      <c r="S36" s="856" t="s">
        <v>62</v>
      </c>
      <c r="T36" s="1212"/>
      <c r="U36" s="3" t="s">
        <v>130</v>
      </c>
      <c r="V36" s="1212"/>
      <c r="W36" s="762">
        <v>330.1</v>
      </c>
      <c r="X36" s="1213"/>
      <c r="Y36" s="1205">
        <v>45282</v>
      </c>
      <c r="Z36" s="856" t="s">
        <v>62</v>
      </c>
      <c r="AA36" s="1230"/>
      <c r="AB36" s="1099">
        <v>45287</v>
      </c>
      <c r="AC36" s="1099">
        <v>45288</v>
      </c>
      <c r="AD36" s="1176">
        <f>218+492+63</f>
        <v>773</v>
      </c>
      <c r="AE36" s="1227">
        <f t="shared" si="6"/>
        <v>0.96625000000000005</v>
      </c>
      <c r="AF36" s="1231" t="s">
        <v>131</v>
      </c>
      <c r="AG36" s="1262">
        <v>1</v>
      </c>
      <c r="AH36" s="1248" t="s">
        <v>132</v>
      </c>
      <c r="AI36" s="1248">
        <v>45289</v>
      </c>
      <c r="AJ36" s="1248">
        <v>45293</v>
      </c>
      <c r="AK36" s="1263">
        <f>82522+103100+55976</f>
        <v>241598</v>
      </c>
      <c r="AL36" s="1264">
        <f t="shared" si="7"/>
        <v>0.96639200000000003</v>
      </c>
      <c r="AM36" s="1265" t="s">
        <v>62</v>
      </c>
      <c r="AN36" s="1261">
        <v>1</v>
      </c>
      <c r="AO36" s="1276"/>
      <c r="AP36" s="1277"/>
      <c r="AQ36" s="1276"/>
      <c r="AR36" s="1278"/>
      <c r="AS36" s="1278"/>
    </row>
    <row r="37" spans="1:45" ht="15.6">
      <c r="A37" s="1097" t="s">
        <v>53</v>
      </c>
      <c r="B37" s="1075" t="s">
        <v>122</v>
      </c>
      <c r="C37" s="851" t="s">
        <v>123</v>
      </c>
      <c r="D37" s="851" t="s">
        <v>124</v>
      </c>
      <c r="E37" s="1432" t="s">
        <v>125</v>
      </c>
      <c r="F37" s="856">
        <v>2024</v>
      </c>
      <c r="G37" s="784" t="s">
        <v>126</v>
      </c>
      <c r="H37" s="1192">
        <v>200104489</v>
      </c>
      <c r="I37" s="1433" t="s">
        <v>135</v>
      </c>
      <c r="J37" s="856">
        <v>3</v>
      </c>
      <c r="K37" s="3" t="s">
        <v>128</v>
      </c>
      <c r="L37" s="1201"/>
      <c r="M37" s="762">
        <v>466.1</v>
      </c>
      <c r="N37" s="1201"/>
      <c r="O37" s="1205">
        <v>45282</v>
      </c>
      <c r="P37" s="1203"/>
      <c r="Q37" s="3" t="s">
        <v>136</v>
      </c>
      <c r="R37" s="1209"/>
      <c r="S37" s="856" t="s">
        <v>62</v>
      </c>
      <c r="T37" s="1212"/>
      <c r="U37" s="3" t="s">
        <v>130</v>
      </c>
      <c r="V37" s="1212"/>
      <c r="W37" s="762">
        <v>330.2</v>
      </c>
      <c r="X37" s="1213"/>
      <c r="Y37" s="1205">
        <v>45282</v>
      </c>
      <c r="Z37" s="856" t="s">
        <v>62</v>
      </c>
      <c r="AA37" s="1230"/>
      <c r="AB37" s="1099">
        <v>45288</v>
      </c>
      <c r="AC37" s="1099">
        <v>45288</v>
      </c>
      <c r="AD37" s="1176">
        <f>578+203</f>
        <v>781</v>
      </c>
      <c r="AE37" s="1227">
        <f t="shared" si="6"/>
        <v>0.97624999999999995</v>
      </c>
      <c r="AF37" s="1231" t="s">
        <v>131</v>
      </c>
      <c r="AG37" s="1262">
        <v>1</v>
      </c>
      <c r="AH37" s="1076" t="s">
        <v>132</v>
      </c>
      <c r="AI37" s="1266">
        <v>45293</v>
      </c>
      <c r="AJ37" s="1266">
        <v>45294</v>
      </c>
      <c r="AK37" s="1267">
        <f>137224+106471</f>
        <v>243695</v>
      </c>
      <c r="AL37" s="1264">
        <f t="shared" si="7"/>
        <v>0.97477999999999998</v>
      </c>
      <c r="AM37" s="1265" t="s">
        <v>62</v>
      </c>
      <c r="AN37" s="1261">
        <v>1</v>
      </c>
      <c r="AO37" s="1276"/>
      <c r="AP37" s="1277"/>
      <c r="AQ37" s="1276"/>
      <c r="AR37" s="1278"/>
      <c r="AS37" s="1278"/>
    </row>
    <row r="38" spans="1:45" ht="15.6">
      <c r="A38" s="1097" t="s">
        <v>53</v>
      </c>
      <c r="B38" s="1075" t="s">
        <v>122</v>
      </c>
      <c r="C38" s="851" t="s">
        <v>123</v>
      </c>
      <c r="D38" s="851" t="s">
        <v>124</v>
      </c>
      <c r="E38" s="1432" t="s">
        <v>125</v>
      </c>
      <c r="F38" s="856">
        <v>2024</v>
      </c>
      <c r="G38" s="784" t="s">
        <v>126</v>
      </c>
      <c r="H38" s="1192">
        <v>200104490</v>
      </c>
      <c r="I38" s="1433" t="s">
        <v>137</v>
      </c>
      <c r="J38" s="856">
        <v>4</v>
      </c>
      <c r="K38" s="3" t="s">
        <v>128</v>
      </c>
      <c r="L38" s="1201"/>
      <c r="M38" s="762">
        <v>464.2</v>
      </c>
      <c r="N38" s="1201"/>
      <c r="O38" s="1205">
        <v>45287</v>
      </c>
      <c r="P38" s="1203"/>
      <c r="Q38" s="3" t="s">
        <v>138</v>
      </c>
      <c r="R38" s="1209"/>
      <c r="S38" s="856" t="s">
        <v>62</v>
      </c>
      <c r="T38" s="1212"/>
      <c r="U38" s="3" t="s">
        <v>130</v>
      </c>
      <c r="V38" s="1212"/>
      <c r="W38" s="762">
        <v>330.2</v>
      </c>
      <c r="X38" s="1213"/>
      <c r="Y38" s="1205">
        <v>45282</v>
      </c>
      <c r="Z38" s="856" t="s">
        <v>62</v>
      </c>
      <c r="AA38" s="1230"/>
      <c r="AB38" s="1099">
        <v>45288</v>
      </c>
      <c r="AC38" s="1099">
        <v>45289</v>
      </c>
      <c r="AD38" s="1176">
        <f>406+376</f>
        <v>782</v>
      </c>
      <c r="AE38" s="1227">
        <f t="shared" si="6"/>
        <v>0.97750000000000004</v>
      </c>
      <c r="AF38" s="1231" t="s">
        <v>131</v>
      </c>
      <c r="AG38" s="1262">
        <v>1</v>
      </c>
      <c r="AH38" s="1076" t="s">
        <v>132</v>
      </c>
      <c r="AI38" s="1266">
        <v>45294</v>
      </c>
      <c r="AJ38" s="1266">
        <v>45295</v>
      </c>
      <c r="AK38" s="1267">
        <f>28000+145202+70873</f>
        <v>244075</v>
      </c>
      <c r="AL38" s="1264">
        <f t="shared" si="7"/>
        <v>0.97629999999999995</v>
      </c>
      <c r="AM38" s="1265" t="s">
        <v>62</v>
      </c>
      <c r="AN38" s="1261">
        <v>1</v>
      </c>
      <c r="AO38" s="1276"/>
      <c r="AP38" s="1277"/>
      <c r="AQ38" s="1276"/>
      <c r="AR38" s="1278"/>
      <c r="AS38" s="1278"/>
    </row>
    <row r="39" spans="1:45" ht="15.6">
      <c r="A39" s="1097" t="s">
        <v>53</v>
      </c>
      <c r="B39" s="1075" t="s">
        <v>122</v>
      </c>
      <c r="C39" s="851" t="s">
        <v>123</v>
      </c>
      <c r="D39" s="851" t="s">
        <v>124</v>
      </c>
      <c r="E39" s="1432" t="s">
        <v>125</v>
      </c>
      <c r="F39" s="856">
        <v>2024</v>
      </c>
      <c r="G39" s="784" t="s">
        <v>126</v>
      </c>
      <c r="H39" s="1192">
        <v>200104491</v>
      </c>
      <c r="I39" s="1433" t="s">
        <v>139</v>
      </c>
      <c r="J39" s="856">
        <v>5</v>
      </c>
      <c r="K39" s="3" t="s">
        <v>128</v>
      </c>
      <c r="L39" s="1201"/>
      <c r="M39" s="762">
        <v>465.4</v>
      </c>
      <c r="N39" s="1201"/>
      <c r="O39" s="1205">
        <v>45287</v>
      </c>
      <c r="P39" s="1203"/>
      <c r="Q39" s="3" t="s">
        <v>140</v>
      </c>
      <c r="R39" s="1209"/>
      <c r="S39" s="856" t="s">
        <v>62</v>
      </c>
      <c r="T39" s="1212"/>
      <c r="U39" s="3" t="s">
        <v>130</v>
      </c>
      <c r="V39" s="1212"/>
      <c r="W39" s="762">
        <v>330.2</v>
      </c>
      <c r="X39" s="1213"/>
      <c r="Y39" s="1205">
        <v>45288</v>
      </c>
      <c r="Z39" s="856" t="s">
        <v>62</v>
      </c>
      <c r="AA39" s="1230"/>
      <c r="AB39" s="1099">
        <v>45289</v>
      </c>
      <c r="AC39" s="1099">
        <v>45289</v>
      </c>
      <c r="AD39" s="1176">
        <f>132+651</f>
        <v>783</v>
      </c>
      <c r="AE39" s="1227">
        <f t="shared" si="6"/>
        <v>0.97875000000000001</v>
      </c>
      <c r="AF39" s="1231" t="s">
        <v>131</v>
      </c>
      <c r="AG39" s="1262">
        <v>1</v>
      </c>
      <c r="AH39" s="1076" t="s">
        <v>132</v>
      </c>
      <c r="AI39" s="1266">
        <v>45295</v>
      </c>
      <c r="AJ39" s="1266">
        <v>45296</v>
      </c>
      <c r="AK39" s="1267">
        <f>76000+122811+43982</f>
        <v>242793</v>
      </c>
      <c r="AL39" s="1264">
        <f t="shared" si="7"/>
        <v>0.97117200000000004</v>
      </c>
      <c r="AM39" s="1265" t="s">
        <v>62</v>
      </c>
      <c r="AN39" s="1261">
        <v>1</v>
      </c>
      <c r="AO39" s="1276"/>
      <c r="AP39" s="1277"/>
      <c r="AQ39" s="1276"/>
      <c r="AR39" s="1278"/>
      <c r="AS39" s="1278"/>
    </row>
    <row r="40" spans="1:45" ht="15.6">
      <c r="A40" s="1097" t="s">
        <v>53</v>
      </c>
      <c r="B40" s="1075" t="s">
        <v>122</v>
      </c>
      <c r="C40" s="851" t="s">
        <v>123</v>
      </c>
      <c r="D40" s="851" t="s">
        <v>124</v>
      </c>
      <c r="E40" s="1432" t="s">
        <v>125</v>
      </c>
      <c r="F40" s="856">
        <v>2024</v>
      </c>
      <c r="G40" s="784" t="s">
        <v>126</v>
      </c>
      <c r="H40" s="1192">
        <v>200104492</v>
      </c>
      <c r="I40" s="1433" t="s">
        <v>141</v>
      </c>
      <c r="J40" s="856">
        <v>6</v>
      </c>
      <c r="K40" s="3" t="s">
        <v>128</v>
      </c>
      <c r="L40" s="1201"/>
      <c r="M40" s="786">
        <v>464.6</v>
      </c>
      <c r="N40" s="1201"/>
      <c r="O40" s="1205">
        <v>45296</v>
      </c>
      <c r="P40" s="1203"/>
      <c r="Q40" s="3" t="s">
        <v>142</v>
      </c>
      <c r="R40" s="1209"/>
      <c r="S40" s="856" t="s">
        <v>62</v>
      </c>
      <c r="T40" s="1212"/>
      <c r="U40" s="3" t="s">
        <v>130</v>
      </c>
      <c r="V40" s="1212"/>
      <c r="W40" s="786">
        <v>330</v>
      </c>
      <c r="X40" s="1213"/>
      <c r="Y40" s="1205">
        <v>45295</v>
      </c>
      <c r="Z40" s="856" t="s">
        <v>62</v>
      </c>
      <c r="AA40" s="1232"/>
      <c r="AB40" s="1099">
        <v>45299</v>
      </c>
      <c r="AC40" s="1099">
        <v>45300</v>
      </c>
      <c r="AD40" s="1176">
        <f>370+410</f>
        <v>780</v>
      </c>
      <c r="AE40" s="1227">
        <f t="shared" si="6"/>
        <v>0.97499999999999998</v>
      </c>
      <c r="AF40" s="1231" t="s">
        <v>131</v>
      </c>
      <c r="AG40" s="1262">
        <v>1</v>
      </c>
      <c r="AH40" s="1076" t="s">
        <v>132</v>
      </c>
      <c r="AI40" s="1266">
        <v>45302</v>
      </c>
      <c r="AJ40" s="1266">
        <v>45302</v>
      </c>
      <c r="AK40" s="1267">
        <f>26500+152100+65241</f>
        <v>243841</v>
      </c>
      <c r="AL40" s="1264">
        <f t="shared" si="7"/>
        <v>0.97536400000000001</v>
      </c>
      <c r="AM40" s="1265" t="s">
        <v>62</v>
      </c>
      <c r="AN40" s="1261">
        <v>1</v>
      </c>
      <c r="AO40" s="1276"/>
      <c r="AP40" s="1277"/>
      <c r="AQ40" s="1276"/>
      <c r="AR40" s="1278"/>
      <c r="AS40" s="1278"/>
    </row>
    <row r="41" spans="1:45" ht="15.6">
      <c r="A41" s="1097" t="s">
        <v>53</v>
      </c>
      <c r="B41" s="1075" t="s">
        <v>122</v>
      </c>
      <c r="C41" s="851" t="s">
        <v>123</v>
      </c>
      <c r="D41" s="851" t="s">
        <v>124</v>
      </c>
      <c r="E41" s="1432" t="s">
        <v>125</v>
      </c>
      <c r="F41" s="856">
        <v>2024</v>
      </c>
      <c r="G41" s="1099">
        <v>45656</v>
      </c>
      <c r="H41" s="1192">
        <v>200104538</v>
      </c>
      <c r="I41" s="1434" t="s">
        <v>143</v>
      </c>
      <c r="J41" s="856">
        <v>7</v>
      </c>
      <c r="K41" s="851" t="s">
        <v>144</v>
      </c>
      <c r="L41" s="1201"/>
      <c r="M41" s="851">
        <v>460.54</v>
      </c>
      <c r="N41" s="1201"/>
      <c r="O41" s="1205">
        <v>45296</v>
      </c>
      <c r="P41" s="1203"/>
      <c r="Q41" s="1214"/>
      <c r="R41" s="1209"/>
      <c r="S41" s="856" t="s">
        <v>62</v>
      </c>
      <c r="T41" s="1212"/>
      <c r="U41" s="3" t="s">
        <v>130</v>
      </c>
      <c r="V41" s="1212"/>
      <c r="W41" s="786">
        <v>329.8</v>
      </c>
      <c r="X41" s="1213"/>
      <c r="Y41" s="1205">
        <v>45295</v>
      </c>
      <c r="Z41" s="856" t="s">
        <v>62</v>
      </c>
      <c r="AA41" s="1232"/>
      <c r="AB41" s="1099">
        <v>45299</v>
      </c>
      <c r="AC41" s="1099">
        <v>45299</v>
      </c>
      <c r="AD41" s="1176">
        <f>340+280+156</f>
        <v>776</v>
      </c>
      <c r="AE41" s="1227">
        <f t="shared" si="6"/>
        <v>0.97</v>
      </c>
      <c r="AF41" s="1231" t="s">
        <v>131</v>
      </c>
      <c r="AG41" s="1262">
        <v>1</v>
      </c>
      <c r="AH41" s="1076" t="s">
        <v>132</v>
      </c>
      <c r="AI41" s="1266">
        <v>45301</v>
      </c>
      <c r="AJ41" s="1266">
        <v>45302</v>
      </c>
      <c r="AK41" s="1267">
        <f>16347+141000+84990</f>
        <v>242337</v>
      </c>
      <c r="AL41" s="1264">
        <f t="shared" si="7"/>
        <v>0.96934799999999999</v>
      </c>
      <c r="AM41" s="1265" t="s">
        <v>62</v>
      </c>
      <c r="AN41" s="1261">
        <v>1</v>
      </c>
      <c r="AO41" s="1276"/>
      <c r="AP41" s="1277"/>
      <c r="AQ41" s="1276"/>
      <c r="AR41" s="1278"/>
      <c r="AS41" s="1278"/>
    </row>
    <row r="42" spans="1:45" ht="15.6">
      <c r="A42" s="1097" t="s">
        <v>53</v>
      </c>
      <c r="B42" s="1075" t="s">
        <v>122</v>
      </c>
      <c r="C42" s="851" t="s">
        <v>123</v>
      </c>
      <c r="D42" s="851" t="s">
        <v>124</v>
      </c>
      <c r="E42" s="1432" t="s">
        <v>125</v>
      </c>
      <c r="F42" s="856">
        <v>2024</v>
      </c>
      <c r="G42" s="1099">
        <v>45656</v>
      </c>
      <c r="H42" s="1192">
        <v>200104539</v>
      </c>
      <c r="I42" s="1434" t="s">
        <v>145</v>
      </c>
      <c r="J42" s="856">
        <v>8</v>
      </c>
      <c r="K42" s="851" t="s">
        <v>144</v>
      </c>
      <c r="L42" s="1201"/>
      <c r="M42" s="851">
        <v>474</v>
      </c>
      <c r="N42" s="1201"/>
      <c r="O42" s="1205">
        <v>45296</v>
      </c>
      <c r="P42" s="1203"/>
      <c r="Q42" s="1214"/>
      <c r="R42" s="1209"/>
      <c r="S42" s="856" t="s">
        <v>62</v>
      </c>
      <c r="T42" s="1212"/>
      <c r="U42" s="3" t="s">
        <v>130</v>
      </c>
      <c r="V42" s="1212"/>
      <c r="W42" s="786">
        <v>329.9</v>
      </c>
      <c r="X42" s="1213"/>
      <c r="Y42" s="1205">
        <v>45299</v>
      </c>
      <c r="Z42" s="856" t="s">
        <v>62</v>
      </c>
      <c r="AA42" s="1232"/>
      <c r="AB42" s="1099">
        <v>45300</v>
      </c>
      <c r="AC42" s="1099">
        <v>45300</v>
      </c>
      <c r="AD42" s="1176">
        <f>248+214+329</f>
        <v>791</v>
      </c>
      <c r="AE42" s="1227">
        <f t="shared" si="6"/>
        <v>0.98875000000000002</v>
      </c>
      <c r="AF42" s="1231" t="s">
        <v>131</v>
      </c>
      <c r="AG42" s="1262">
        <v>1</v>
      </c>
      <c r="AH42" s="1076" t="s">
        <v>132</v>
      </c>
      <c r="AI42" s="1266">
        <v>45302</v>
      </c>
      <c r="AJ42" s="1266">
        <v>45303</v>
      </c>
      <c r="AK42" s="1267">
        <f>66500+100524+79748</f>
        <v>246772</v>
      </c>
      <c r="AL42" s="1264">
        <f t="shared" si="7"/>
        <v>0.98708799999999997</v>
      </c>
      <c r="AM42" s="1265" t="s">
        <v>62</v>
      </c>
      <c r="AN42" s="1261">
        <v>1</v>
      </c>
      <c r="AO42" s="1276"/>
      <c r="AP42" s="1277"/>
      <c r="AQ42" s="1276"/>
      <c r="AR42" s="1278"/>
      <c r="AS42" s="1278"/>
    </row>
    <row r="43" spans="1:45" ht="15.6">
      <c r="A43" s="1097" t="s">
        <v>53</v>
      </c>
      <c r="B43" s="1075" t="s">
        <v>122</v>
      </c>
      <c r="C43" s="851" t="s">
        <v>123</v>
      </c>
      <c r="D43" s="851" t="s">
        <v>124</v>
      </c>
      <c r="E43" s="1432" t="s">
        <v>125</v>
      </c>
      <c r="F43" s="856">
        <v>2024</v>
      </c>
      <c r="G43" s="1099">
        <v>45656</v>
      </c>
      <c r="H43" s="1193" t="s">
        <v>146</v>
      </c>
      <c r="I43" s="1435" t="s">
        <v>147</v>
      </c>
      <c r="J43" s="856">
        <v>9</v>
      </c>
      <c r="K43" s="3" t="s">
        <v>128</v>
      </c>
      <c r="L43" s="1201"/>
      <c r="M43" s="786">
        <v>465</v>
      </c>
      <c r="N43" s="1201"/>
      <c r="O43" s="1205">
        <v>45300</v>
      </c>
      <c r="P43" s="1203"/>
      <c r="Q43" s="3" t="s">
        <v>148</v>
      </c>
      <c r="R43" s="1209"/>
      <c r="S43" s="856" t="s">
        <v>62</v>
      </c>
      <c r="T43" s="1212"/>
      <c r="U43" s="3" t="s">
        <v>130</v>
      </c>
      <c r="V43" s="1212"/>
      <c r="W43" s="786">
        <v>329.9</v>
      </c>
      <c r="X43" s="1213"/>
      <c r="Y43" s="1205">
        <v>45300</v>
      </c>
      <c r="Z43" s="856" t="s">
        <v>62</v>
      </c>
      <c r="AA43" s="1232"/>
      <c r="AB43" s="1099">
        <v>45300</v>
      </c>
      <c r="AC43" s="1099">
        <v>45301</v>
      </c>
      <c r="AD43" s="1176">
        <f>290+490</f>
        <v>780</v>
      </c>
      <c r="AE43" s="1227">
        <f t="shared" si="6"/>
        <v>0.97499999999999998</v>
      </c>
      <c r="AF43" s="1231" t="s">
        <v>131</v>
      </c>
      <c r="AG43" s="1262">
        <v>1</v>
      </c>
      <c r="AH43" s="1076" t="s">
        <v>132</v>
      </c>
      <c r="AI43" s="1266">
        <v>45303</v>
      </c>
      <c r="AJ43" s="1266">
        <v>45306</v>
      </c>
      <c r="AK43" s="1267">
        <f>20600+134100+88695</f>
        <v>243395</v>
      </c>
      <c r="AL43" s="1264">
        <f t="shared" si="7"/>
        <v>0.97358</v>
      </c>
      <c r="AM43" s="1265" t="s">
        <v>62</v>
      </c>
      <c r="AN43" s="1261">
        <v>1</v>
      </c>
      <c r="AO43" s="1276"/>
      <c r="AP43" s="1277"/>
      <c r="AQ43" s="1276"/>
      <c r="AR43" s="1278"/>
      <c r="AS43" s="1278"/>
    </row>
    <row r="44" spans="1:45" ht="15.6">
      <c r="A44" s="1097" t="s">
        <v>53</v>
      </c>
      <c r="B44" s="1075" t="s">
        <v>122</v>
      </c>
      <c r="C44" s="851" t="s">
        <v>123</v>
      </c>
      <c r="D44" s="851" t="s">
        <v>124</v>
      </c>
      <c r="E44" s="1432" t="s">
        <v>125</v>
      </c>
      <c r="F44" s="856">
        <v>2024</v>
      </c>
      <c r="G44" s="1099">
        <v>45656</v>
      </c>
      <c r="H44" s="1193" t="s">
        <v>149</v>
      </c>
      <c r="I44" s="1435" t="s">
        <v>150</v>
      </c>
      <c r="J44" s="856">
        <v>10</v>
      </c>
      <c r="K44" s="3" t="s">
        <v>128</v>
      </c>
      <c r="L44" s="1201"/>
      <c r="M44" s="786">
        <v>467.3</v>
      </c>
      <c r="N44" s="1201"/>
      <c r="O44" s="1205">
        <v>45300</v>
      </c>
      <c r="P44" s="1203"/>
      <c r="Q44" s="3" t="s">
        <v>151</v>
      </c>
      <c r="R44" s="1209"/>
      <c r="S44" s="856" t="s">
        <v>62</v>
      </c>
      <c r="T44" s="1212"/>
      <c r="U44" s="3" t="s">
        <v>130</v>
      </c>
      <c r="V44" s="1212"/>
      <c r="W44" s="786">
        <v>330.2</v>
      </c>
      <c r="X44" s="1213"/>
      <c r="Y44" s="1205">
        <v>45300</v>
      </c>
      <c r="Z44" s="856" t="s">
        <v>62</v>
      </c>
      <c r="AA44" s="1232"/>
      <c r="AB44" s="1099">
        <v>45301</v>
      </c>
      <c r="AC44" s="1099">
        <v>45301</v>
      </c>
      <c r="AD44" s="1176">
        <f>168+132+480</f>
        <v>780</v>
      </c>
      <c r="AE44" s="1227">
        <f t="shared" si="6"/>
        <v>0.97499999999999998</v>
      </c>
      <c r="AF44" s="1231" t="s">
        <v>131</v>
      </c>
      <c r="AG44" s="1262">
        <v>1</v>
      </c>
      <c r="AH44" s="1076" t="s">
        <v>132</v>
      </c>
      <c r="AI44" s="1266">
        <v>45306</v>
      </c>
      <c r="AJ44" s="1266">
        <v>45307</v>
      </c>
      <c r="AK44" s="1267">
        <f>53100+168874+21461</f>
        <v>243435</v>
      </c>
      <c r="AL44" s="1264">
        <f t="shared" si="7"/>
        <v>0.97374000000000005</v>
      </c>
      <c r="AM44" s="1265" t="s">
        <v>62</v>
      </c>
      <c r="AN44" s="1261">
        <v>1</v>
      </c>
      <c r="AO44" s="1276"/>
      <c r="AP44" s="1277"/>
      <c r="AQ44" s="1276"/>
      <c r="AR44" s="1278"/>
      <c r="AS44" s="1278"/>
    </row>
    <row r="45" spans="1:45" ht="15.6">
      <c r="A45" s="1097" t="s">
        <v>53</v>
      </c>
      <c r="B45" s="1075" t="s">
        <v>122</v>
      </c>
      <c r="C45" s="851" t="s">
        <v>123</v>
      </c>
      <c r="D45" s="851" t="s">
        <v>124</v>
      </c>
      <c r="E45" s="1432" t="s">
        <v>125</v>
      </c>
      <c r="F45" s="856">
        <v>2024</v>
      </c>
      <c r="G45" s="3" t="s">
        <v>152</v>
      </c>
      <c r="H45" s="1193" t="s">
        <v>153</v>
      </c>
      <c r="I45" s="1436" t="s">
        <v>154</v>
      </c>
      <c r="J45" s="856">
        <v>11</v>
      </c>
      <c r="K45" s="3" t="s">
        <v>128</v>
      </c>
      <c r="L45" s="1201"/>
      <c r="M45" s="762">
        <v>462</v>
      </c>
      <c r="N45" s="1201"/>
      <c r="O45" s="1205">
        <v>45546</v>
      </c>
      <c r="P45" s="1203"/>
      <c r="Q45" s="3" t="s">
        <v>155</v>
      </c>
      <c r="R45" s="1209"/>
      <c r="S45" s="856" t="s">
        <v>62</v>
      </c>
      <c r="T45" s="1212"/>
      <c r="U45" s="3" t="s">
        <v>130</v>
      </c>
      <c r="V45" s="1212"/>
      <c r="W45" s="786">
        <v>330.1</v>
      </c>
      <c r="X45" s="1213"/>
      <c r="Y45" s="1205">
        <v>45301</v>
      </c>
      <c r="Z45" s="856" t="s">
        <v>62</v>
      </c>
      <c r="AA45" s="1232"/>
      <c r="AB45" s="1099">
        <v>45302</v>
      </c>
      <c r="AC45" s="1099">
        <v>45303</v>
      </c>
      <c r="AD45" s="1176">
        <f>630+143</f>
        <v>773</v>
      </c>
      <c r="AE45" s="1227">
        <f t="shared" si="6"/>
        <v>0.96625000000000005</v>
      </c>
      <c r="AF45" s="1231" t="s">
        <v>131</v>
      </c>
      <c r="AG45" s="1262">
        <v>1</v>
      </c>
      <c r="AH45" s="1076" t="s">
        <v>132</v>
      </c>
      <c r="AI45" s="1266">
        <v>45307</v>
      </c>
      <c r="AJ45" s="1266">
        <v>45307</v>
      </c>
      <c r="AK45" s="1267">
        <f>97500+144033</f>
        <v>241533</v>
      </c>
      <c r="AL45" s="1264">
        <f t="shared" si="7"/>
        <v>0.96613199999999999</v>
      </c>
      <c r="AM45" s="1265" t="s">
        <v>62</v>
      </c>
      <c r="AN45" s="1261">
        <v>1</v>
      </c>
      <c r="AO45" s="1276"/>
      <c r="AP45" s="1277"/>
      <c r="AQ45" s="1276"/>
      <c r="AR45" s="1278"/>
      <c r="AS45" s="1278"/>
    </row>
    <row r="46" spans="1:45" ht="15.6">
      <c r="A46" s="1097" t="s">
        <v>53</v>
      </c>
      <c r="B46" s="1075" t="s">
        <v>122</v>
      </c>
      <c r="C46" s="851" t="s">
        <v>123</v>
      </c>
      <c r="D46" s="851" t="s">
        <v>124</v>
      </c>
      <c r="E46" s="1432" t="s">
        <v>125</v>
      </c>
      <c r="F46" s="856">
        <v>2024</v>
      </c>
      <c r="G46" s="3" t="s">
        <v>156</v>
      </c>
      <c r="H46" s="3">
        <v>200104620</v>
      </c>
      <c r="I46" s="1436" t="s">
        <v>157</v>
      </c>
      <c r="J46" s="856">
        <v>12</v>
      </c>
      <c r="K46" s="3" t="s">
        <v>128</v>
      </c>
      <c r="L46" s="1201"/>
      <c r="M46" s="786">
        <v>464.4</v>
      </c>
      <c r="N46" s="1201"/>
      <c r="O46" s="1205">
        <v>45546</v>
      </c>
      <c r="P46" s="1203"/>
      <c r="Q46" s="3" t="s">
        <v>158</v>
      </c>
      <c r="R46" s="1209"/>
      <c r="S46" s="856" t="s">
        <v>62</v>
      </c>
      <c r="T46" s="1212"/>
      <c r="U46" s="3" t="s">
        <v>130</v>
      </c>
      <c r="V46" s="1212"/>
      <c r="W46" s="786">
        <v>330.1</v>
      </c>
      <c r="X46" s="1213"/>
      <c r="Y46" s="1205">
        <v>45301</v>
      </c>
      <c r="Z46" s="856" t="s">
        <v>62</v>
      </c>
      <c r="AA46" s="1232"/>
      <c r="AB46" s="1099">
        <v>45303</v>
      </c>
      <c r="AC46" s="1099">
        <v>45303</v>
      </c>
      <c r="AD46" s="1176">
        <f>82+532+163</f>
        <v>777</v>
      </c>
      <c r="AE46" s="1227">
        <f t="shared" si="6"/>
        <v>0.97124999999999995</v>
      </c>
      <c r="AF46" s="1231" t="s">
        <v>131</v>
      </c>
      <c r="AG46" s="1262">
        <v>1</v>
      </c>
      <c r="AH46" s="1076" t="s">
        <v>132</v>
      </c>
      <c r="AI46" s="1266">
        <v>45307</v>
      </c>
      <c r="AJ46" s="1266">
        <v>45309</v>
      </c>
      <c r="AK46" s="1267">
        <f>132774+30600+79235</f>
        <v>242609</v>
      </c>
      <c r="AL46" s="1264">
        <f t="shared" si="7"/>
        <v>0.97043599999999997</v>
      </c>
      <c r="AM46" s="1265" t="s">
        <v>62</v>
      </c>
      <c r="AN46" s="1261">
        <v>1</v>
      </c>
      <c r="AO46" s="1276"/>
      <c r="AP46" s="1277"/>
      <c r="AQ46" s="1276"/>
      <c r="AR46" s="1278"/>
      <c r="AS46" s="1278"/>
    </row>
    <row r="47" spans="1:45" ht="15.6">
      <c r="A47" s="1097" t="s">
        <v>53</v>
      </c>
      <c r="B47" s="1075" t="s">
        <v>122</v>
      </c>
      <c r="C47" s="851" t="s">
        <v>123</v>
      </c>
      <c r="D47" s="851" t="s">
        <v>124</v>
      </c>
      <c r="E47" s="1432" t="s">
        <v>125</v>
      </c>
      <c r="F47" s="856">
        <v>2024</v>
      </c>
      <c r="G47" s="3" t="s">
        <v>156</v>
      </c>
      <c r="H47" s="3">
        <v>200104621</v>
      </c>
      <c r="I47" s="1436" t="s">
        <v>159</v>
      </c>
      <c r="J47" s="856">
        <v>13</v>
      </c>
      <c r="K47" s="3" t="s">
        <v>128</v>
      </c>
      <c r="L47" s="1201"/>
      <c r="M47" s="762">
        <v>466.1</v>
      </c>
      <c r="N47" s="1201"/>
      <c r="O47" s="1205">
        <v>45547</v>
      </c>
      <c r="P47" s="1203"/>
      <c r="Q47" s="3" t="s">
        <v>160</v>
      </c>
      <c r="R47" s="1209"/>
      <c r="S47" s="856" t="s">
        <v>62</v>
      </c>
      <c r="T47" s="1212"/>
      <c r="U47" s="3" t="s">
        <v>130</v>
      </c>
      <c r="V47" s="1212"/>
      <c r="W47" s="762">
        <v>330.11</v>
      </c>
      <c r="X47" s="1213"/>
      <c r="Y47" s="1205">
        <v>45302</v>
      </c>
      <c r="Z47" s="856" t="s">
        <v>62</v>
      </c>
      <c r="AA47" s="1232"/>
      <c r="AB47" s="1099">
        <v>45303</v>
      </c>
      <c r="AC47" s="1099">
        <v>45303</v>
      </c>
      <c r="AD47" s="1176">
        <f>478</f>
        <v>478</v>
      </c>
      <c r="AE47" s="1227">
        <f t="shared" si="6"/>
        <v>0.59750000000000003</v>
      </c>
      <c r="AF47" s="1231" t="s">
        <v>131</v>
      </c>
      <c r="AG47" s="1262">
        <v>1</v>
      </c>
      <c r="AH47" s="1076" t="s">
        <v>132</v>
      </c>
      <c r="AI47" s="1266">
        <v>45309</v>
      </c>
      <c r="AJ47" s="1266">
        <v>45309</v>
      </c>
      <c r="AK47" s="1267">
        <f>20600+123720</f>
        <v>144320</v>
      </c>
      <c r="AL47" s="1264">
        <f t="shared" si="7"/>
        <v>0.57728000000000002</v>
      </c>
      <c r="AM47" s="1265" t="s">
        <v>161</v>
      </c>
      <c r="AN47" s="1261">
        <v>1</v>
      </c>
      <c r="AO47" s="1276">
        <v>300</v>
      </c>
      <c r="AP47" s="1277">
        <v>45462</v>
      </c>
      <c r="AQ47" s="1276" t="s">
        <v>162</v>
      </c>
      <c r="AR47" s="1278"/>
      <c r="AS47" s="1278"/>
    </row>
    <row r="48" spans="1:45" ht="15.6">
      <c r="A48" s="1097" t="s">
        <v>53</v>
      </c>
      <c r="B48" s="1075"/>
      <c r="C48" s="851"/>
      <c r="D48" s="851"/>
      <c r="E48" s="856"/>
      <c r="F48" s="856"/>
      <c r="G48" s="3"/>
      <c r="H48" s="3"/>
      <c r="I48" s="3"/>
      <c r="J48" s="856"/>
      <c r="K48" s="851"/>
      <c r="L48" s="851"/>
      <c r="M48" s="851"/>
      <c r="N48" s="851"/>
      <c r="O48" s="1205"/>
      <c r="P48" s="1205"/>
      <c r="Q48" s="851"/>
      <c r="R48" s="1209"/>
      <c r="S48" s="851"/>
      <c r="T48" s="1215"/>
      <c r="U48" s="851"/>
      <c r="V48" s="851"/>
      <c r="W48" s="851"/>
      <c r="X48" s="1179"/>
      <c r="Y48" s="1205"/>
      <c r="Z48" s="851"/>
      <c r="AA48" s="1232"/>
      <c r="AB48" s="1099"/>
      <c r="AC48" s="1099"/>
      <c r="AD48" s="1176"/>
      <c r="AE48" s="1227"/>
      <c r="AF48" s="1231"/>
      <c r="AG48" s="1268"/>
      <c r="AH48" s="1076"/>
      <c r="AI48" s="1266"/>
      <c r="AJ48" s="1248"/>
      <c r="AK48" s="1267"/>
      <c r="AL48" s="1264"/>
      <c r="AM48" s="1269"/>
      <c r="AN48" s="1261"/>
      <c r="AO48" s="1276"/>
      <c r="AP48" s="1277"/>
      <c r="AQ48" s="1276"/>
      <c r="AR48" s="1278"/>
      <c r="AS48" s="1278"/>
    </row>
    <row r="49" spans="1:45" ht="15.6">
      <c r="A49" s="1097" t="s">
        <v>53</v>
      </c>
      <c r="B49" s="1075" t="s">
        <v>122</v>
      </c>
      <c r="C49" s="851" t="s">
        <v>123</v>
      </c>
      <c r="D49" s="851" t="s">
        <v>124</v>
      </c>
      <c r="E49" s="1432" t="s">
        <v>163</v>
      </c>
      <c r="F49" s="856">
        <v>2024</v>
      </c>
      <c r="G49" s="3" t="s">
        <v>164</v>
      </c>
      <c r="H49" s="3">
        <v>200104726</v>
      </c>
      <c r="I49" s="1437" t="s">
        <v>165</v>
      </c>
      <c r="J49" s="856">
        <v>1</v>
      </c>
      <c r="K49" s="3" t="s">
        <v>128</v>
      </c>
      <c r="L49" s="1201"/>
      <c r="M49" s="762">
        <v>464.7</v>
      </c>
      <c r="N49" s="1201"/>
      <c r="O49" s="1205">
        <v>45310</v>
      </c>
      <c r="P49" s="1203"/>
      <c r="Q49" s="3" t="s">
        <v>166</v>
      </c>
      <c r="R49" s="1209"/>
      <c r="S49" s="856" t="s">
        <v>62</v>
      </c>
      <c r="T49" s="1212"/>
      <c r="U49" s="3" t="s">
        <v>130</v>
      </c>
      <c r="V49" s="1212"/>
      <c r="W49" s="762">
        <v>329.9</v>
      </c>
      <c r="X49" s="1213"/>
      <c r="Y49" s="1205">
        <v>45310</v>
      </c>
      <c r="Z49" s="856" t="s">
        <v>62</v>
      </c>
      <c r="AA49" s="1232"/>
      <c r="AB49" s="1099">
        <v>45314</v>
      </c>
      <c r="AC49" s="1099">
        <v>45315</v>
      </c>
      <c r="AD49" s="1176">
        <f>36+516+223</f>
        <v>775</v>
      </c>
      <c r="AE49" s="1227">
        <f t="shared" ref="AE49:AE72" si="8">AD49/800</f>
        <v>0.96875</v>
      </c>
      <c r="AF49" s="1231" t="s">
        <v>131</v>
      </c>
      <c r="AG49" s="1262">
        <v>1</v>
      </c>
      <c r="AH49" s="1076" t="s">
        <v>132</v>
      </c>
      <c r="AI49" s="1266">
        <v>45317</v>
      </c>
      <c r="AJ49" s="1266">
        <v>45320</v>
      </c>
      <c r="AK49" s="1267">
        <f>134495+67170+38518</f>
        <v>240183</v>
      </c>
      <c r="AL49" s="1264">
        <f t="shared" ref="AL49:AL72" si="9">AK49/250000</f>
        <v>0.96073200000000003</v>
      </c>
      <c r="AM49" s="1265" t="s">
        <v>62</v>
      </c>
      <c r="AN49" s="1261">
        <v>1</v>
      </c>
      <c r="AO49" s="1276"/>
      <c r="AP49" s="1277"/>
      <c r="AQ49" s="1276"/>
      <c r="AR49" s="1278"/>
      <c r="AS49" s="1278"/>
    </row>
    <row r="50" spans="1:45" ht="15.6">
      <c r="A50" s="1097" t="s">
        <v>53</v>
      </c>
      <c r="B50" s="1075" t="s">
        <v>122</v>
      </c>
      <c r="C50" s="851" t="s">
        <v>123</v>
      </c>
      <c r="D50" s="851" t="s">
        <v>124</v>
      </c>
      <c r="E50" s="1432" t="s">
        <v>163</v>
      </c>
      <c r="F50" s="856">
        <v>2024</v>
      </c>
      <c r="G50" s="3" t="s">
        <v>164</v>
      </c>
      <c r="H50" s="3">
        <v>200104727</v>
      </c>
      <c r="I50" s="1437" t="s">
        <v>167</v>
      </c>
      <c r="J50" s="856">
        <v>2</v>
      </c>
      <c r="K50" s="3" t="s">
        <v>128</v>
      </c>
      <c r="L50" s="1201"/>
      <c r="M50" s="762">
        <v>464</v>
      </c>
      <c r="N50" s="1201"/>
      <c r="O50" s="1205">
        <v>45310</v>
      </c>
      <c r="P50" s="1203"/>
      <c r="Q50" s="3" t="s">
        <v>168</v>
      </c>
      <c r="R50" s="1209"/>
      <c r="S50" s="856" t="s">
        <v>62</v>
      </c>
      <c r="T50" s="1212"/>
      <c r="U50" s="3" t="s">
        <v>130</v>
      </c>
      <c r="V50" s="1212"/>
      <c r="W50" s="762">
        <v>330</v>
      </c>
      <c r="X50" s="1213"/>
      <c r="Y50" s="1205">
        <v>45310</v>
      </c>
      <c r="Z50" s="856" t="s">
        <v>62</v>
      </c>
      <c r="AA50" s="1232"/>
      <c r="AB50" s="1099">
        <v>45315</v>
      </c>
      <c r="AC50" s="1099">
        <v>45315</v>
      </c>
      <c r="AD50" s="1176">
        <f>330+445</f>
        <v>775</v>
      </c>
      <c r="AE50" s="1227">
        <f t="shared" si="8"/>
        <v>0.96875</v>
      </c>
      <c r="AF50" s="1231" t="s">
        <v>131</v>
      </c>
      <c r="AG50" s="1262">
        <v>1</v>
      </c>
      <c r="AH50" s="1076" t="s">
        <v>132</v>
      </c>
      <c r="AI50" s="1266">
        <v>45317</v>
      </c>
      <c r="AJ50" s="1266">
        <v>45317</v>
      </c>
      <c r="AK50" s="1267">
        <f>34000+115000+92402</f>
        <v>241402</v>
      </c>
      <c r="AL50" s="1264">
        <f t="shared" si="9"/>
        <v>0.96560800000000002</v>
      </c>
      <c r="AM50" s="1265" t="s">
        <v>62</v>
      </c>
      <c r="AN50" s="1261">
        <v>1</v>
      </c>
      <c r="AO50" s="1276"/>
      <c r="AP50" s="1277"/>
      <c r="AQ50" s="1276"/>
      <c r="AR50" s="1278"/>
      <c r="AS50" s="1278"/>
    </row>
    <row r="51" spans="1:45" ht="15.6">
      <c r="A51" s="1097" t="s">
        <v>53</v>
      </c>
      <c r="B51" s="1075" t="s">
        <v>122</v>
      </c>
      <c r="C51" s="851" t="s">
        <v>123</v>
      </c>
      <c r="D51" s="851" t="s">
        <v>124</v>
      </c>
      <c r="E51" s="1432" t="s">
        <v>163</v>
      </c>
      <c r="F51" s="856">
        <v>2024</v>
      </c>
      <c r="G51" s="3" t="s">
        <v>164</v>
      </c>
      <c r="H51" s="3">
        <v>200104728</v>
      </c>
      <c r="I51" s="1437" t="s">
        <v>169</v>
      </c>
      <c r="J51" s="856">
        <v>3</v>
      </c>
      <c r="K51" s="3" t="s">
        <v>128</v>
      </c>
      <c r="L51" s="1201"/>
      <c r="M51" s="762">
        <v>463</v>
      </c>
      <c r="N51" s="1201"/>
      <c r="O51" s="1205">
        <v>45313</v>
      </c>
      <c r="P51" s="1203"/>
      <c r="Q51" s="3" t="s">
        <v>170</v>
      </c>
      <c r="R51" s="1209"/>
      <c r="S51" s="856" t="s">
        <v>62</v>
      </c>
      <c r="T51" s="1212"/>
      <c r="U51" s="3" t="s">
        <v>130</v>
      </c>
      <c r="V51" s="1212"/>
      <c r="W51" s="762">
        <v>320.2</v>
      </c>
      <c r="X51" s="1213"/>
      <c r="Y51" s="1205">
        <v>45310</v>
      </c>
      <c r="Z51" s="856" t="s">
        <v>62</v>
      </c>
      <c r="AA51" s="1232"/>
      <c r="AB51" s="1099">
        <v>45315</v>
      </c>
      <c r="AC51" s="1099">
        <v>45316</v>
      </c>
      <c r="AD51" s="1176">
        <f>182+260+331</f>
        <v>773</v>
      </c>
      <c r="AE51" s="1227">
        <f t="shared" si="8"/>
        <v>0.96625000000000005</v>
      </c>
      <c r="AF51" s="1231" t="s">
        <v>131</v>
      </c>
      <c r="AG51" s="1262">
        <v>1</v>
      </c>
      <c r="AH51" s="1248" t="s">
        <v>132</v>
      </c>
      <c r="AI51" s="1248">
        <v>45323</v>
      </c>
      <c r="AJ51" s="1248">
        <v>45324</v>
      </c>
      <c r="AK51" s="1267">
        <f>50814+149300+41263</f>
        <v>241377</v>
      </c>
      <c r="AL51" s="1264">
        <f t="shared" si="9"/>
        <v>0.96550800000000003</v>
      </c>
      <c r="AM51" s="1265" t="s">
        <v>62</v>
      </c>
      <c r="AN51" s="1261">
        <v>1</v>
      </c>
      <c r="AO51" s="1276"/>
      <c r="AP51" s="1277"/>
      <c r="AQ51" s="1276"/>
      <c r="AR51" s="1278"/>
      <c r="AS51" s="1278"/>
    </row>
    <row r="52" spans="1:45" ht="15.6">
      <c r="A52" s="1097" t="s">
        <v>53</v>
      </c>
      <c r="B52" s="1075" t="s">
        <v>122</v>
      </c>
      <c r="C52" s="851" t="s">
        <v>123</v>
      </c>
      <c r="D52" s="851" t="s">
        <v>124</v>
      </c>
      <c r="E52" s="1432" t="s">
        <v>163</v>
      </c>
      <c r="F52" s="856">
        <v>2024</v>
      </c>
      <c r="G52" s="3" t="s">
        <v>164</v>
      </c>
      <c r="H52" s="3">
        <v>200104729</v>
      </c>
      <c r="I52" s="1437" t="s">
        <v>171</v>
      </c>
      <c r="J52" s="856">
        <v>4</v>
      </c>
      <c r="K52" s="3" t="s">
        <v>128</v>
      </c>
      <c r="L52" s="1201"/>
      <c r="M52" s="762">
        <v>463</v>
      </c>
      <c r="N52" s="1201"/>
      <c r="O52" s="1205">
        <v>45313</v>
      </c>
      <c r="P52" s="1203"/>
      <c r="Q52" s="3" t="s">
        <v>172</v>
      </c>
      <c r="R52" s="1209"/>
      <c r="S52" s="856" t="s">
        <v>62</v>
      </c>
      <c r="T52" s="1212"/>
      <c r="U52" s="3" t="s">
        <v>130</v>
      </c>
      <c r="V52" s="1212"/>
      <c r="W52" s="762">
        <v>330.3</v>
      </c>
      <c r="X52" s="1213"/>
      <c r="Y52" s="1205">
        <v>45314</v>
      </c>
      <c r="Z52" s="856" t="s">
        <v>62</v>
      </c>
      <c r="AA52" s="1232"/>
      <c r="AB52" s="1099">
        <v>45316</v>
      </c>
      <c r="AC52" s="1099">
        <v>45316</v>
      </c>
      <c r="AD52" s="1176">
        <f>177+603</f>
        <v>780</v>
      </c>
      <c r="AE52" s="1227">
        <f t="shared" si="8"/>
        <v>0.97499999999999998</v>
      </c>
      <c r="AF52" s="1231" t="s">
        <v>131</v>
      </c>
      <c r="AG52" s="1262">
        <v>1</v>
      </c>
      <c r="AH52" s="1248" t="s">
        <v>132</v>
      </c>
      <c r="AI52" s="1248">
        <v>45321</v>
      </c>
      <c r="AJ52" s="1248">
        <v>45322</v>
      </c>
      <c r="AK52" s="1267">
        <f>81567+139400+22421</f>
        <v>243388</v>
      </c>
      <c r="AL52" s="1264">
        <f t="shared" si="9"/>
        <v>0.97355199999999997</v>
      </c>
      <c r="AM52" s="1265" t="s">
        <v>62</v>
      </c>
      <c r="AN52" s="1261">
        <v>1</v>
      </c>
      <c r="AO52" s="1276"/>
      <c r="AP52" s="1277"/>
      <c r="AQ52" s="1276"/>
      <c r="AR52" s="1278"/>
      <c r="AS52" s="1278"/>
    </row>
    <row r="53" spans="1:45" ht="15.6">
      <c r="A53" s="1097" t="s">
        <v>53</v>
      </c>
      <c r="B53" s="1075" t="s">
        <v>122</v>
      </c>
      <c r="C53" s="851" t="s">
        <v>123</v>
      </c>
      <c r="D53" s="851" t="s">
        <v>124</v>
      </c>
      <c r="E53" s="1432" t="s">
        <v>163</v>
      </c>
      <c r="F53" s="856">
        <v>2024</v>
      </c>
      <c r="G53" s="3" t="s">
        <v>164</v>
      </c>
      <c r="H53" s="3">
        <v>200104730</v>
      </c>
      <c r="I53" s="1437" t="s">
        <v>173</v>
      </c>
      <c r="J53" s="856">
        <v>5</v>
      </c>
      <c r="K53" s="3" t="s">
        <v>128</v>
      </c>
      <c r="L53" s="1201"/>
      <c r="M53" s="762">
        <v>462.7</v>
      </c>
      <c r="N53" s="1201"/>
      <c r="O53" s="1205">
        <v>45314</v>
      </c>
      <c r="P53" s="1203"/>
      <c r="Q53" s="3" t="s">
        <v>174</v>
      </c>
      <c r="R53" s="1209"/>
      <c r="S53" s="856" t="s">
        <v>62</v>
      </c>
      <c r="T53" s="1212"/>
      <c r="U53" s="3" t="s">
        <v>130</v>
      </c>
      <c r="V53" s="1212"/>
      <c r="W53" s="762">
        <v>330.3</v>
      </c>
      <c r="X53" s="1213"/>
      <c r="Y53" s="1205">
        <v>45314</v>
      </c>
      <c r="Z53" s="856" t="s">
        <v>62</v>
      </c>
      <c r="AA53" s="1232"/>
      <c r="AB53" s="1099">
        <v>45316</v>
      </c>
      <c r="AC53" s="1099">
        <v>45317</v>
      </c>
      <c r="AD53" s="1176">
        <f>46+564+163</f>
        <v>773</v>
      </c>
      <c r="AE53" s="1227">
        <f t="shared" si="8"/>
        <v>0.96625000000000005</v>
      </c>
      <c r="AF53" s="1231" t="s">
        <v>131</v>
      </c>
      <c r="AG53" s="1262">
        <v>1</v>
      </c>
      <c r="AH53" s="1248" t="s">
        <v>132</v>
      </c>
      <c r="AI53" s="1248">
        <v>45322</v>
      </c>
      <c r="AJ53" s="1248">
        <v>45323</v>
      </c>
      <c r="AK53" s="1267">
        <f>90500+114500+36238</f>
        <v>241238</v>
      </c>
      <c r="AL53" s="1264">
        <f t="shared" si="9"/>
        <v>0.96495200000000003</v>
      </c>
      <c r="AM53" s="1265" t="s">
        <v>62</v>
      </c>
      <c r="AN53" s="1261">
        <v>1</v>
      </c>
      <c r="AO53" s="1276"/>
      <c r="AP53" s="1277"/>
      <c r="AQ53" s="1276"/>
      <c r="AR53" s="1278"/>
      <c r="AS53" s="1278"/>
    </row>
    <row r="54" spans="1:45" ht="15.6">
      <c r="A54" s="1097" t="s">
        <v>53</v>
      </c>
      <c r="B54" s="1075" t="s">
        <v>122</v>
      </c>
      <c r="C54" s="851" t="s">
        <v>123</v>
      </c>
      <c r="D54" s="851" t="s">
        <v>124</v>
      </c>
      <c r="E54" s="1432" t="s">
        <v>163</v>
      </c>
      <c r="F54" s="856">
        <v>2024</v>
      </c>
      <c r="G54" s="3" t="s">
        <v>164</v>
      </c>
      <c r="H54" s="3">
        <v>200104731</v>
      </c>
      <c r="I54" s="1437" t="s">
        <v>175</v>
      </c>
      <c r="J54" s="856">
        <v>6</v>
      </c>
      <c r="K54" s="3" t="s">
        <v>128</v>
      </c>
      <c r="L54" s="1201"/>
      <c r="M54" s="762">
        <v>467.5</v>
      </c>
      <c r="N54" s="1201"/>
      <c r="O54" s="1205">
        <v>45314</v>
      </c>
      <c r="P54" s="1203"/>
      <c r="Q54" s="3" t="s">
        <v>176</v>
      </c>
      <c r="R54" s="1209"/>
      <c r="S54" s="856" t="s">
        <v>62</v>
      </c>
      <c r="T54" s="1212"/>
      <c r="U54" s="3" t="s">
        <v>130</v>
      </c>
      <c r="V54" s="1212"/>
      <c r="W54" s="762">
        <v>330.2</v>
      </c>
      <c r="X54" s="1213"/>
      <c r="Y54" s="1205">
        <v>45314</v>
      </c>
      <c r="Z54" s="856" t="s">
        <v>62</v>
      </c>
      <c r="AA54" s="1232"/>
      <c r="AB54" s="1099">
        <v>45317</v>
      </c>
      <c r="AC54" s="1099">
        <v>45317</v>
      </c>
      <c r="AD54" s="1176">
        <f>346+431</f>
        <v>777</v>
      </c>
      <c r="AE54" s="1227">
        <f t="shared" si="8"/>
        <v>0.97124999999999995</v>
      </c>
      <c r="AF54" s="1231" t="s">
        <v>131</v>
      </c>
      <c r="AG54" s="1262">
        <v>1</v>
      </c>
      <c r="AH54" s="1248" t="s">
        <v>132</v>
      </c>
      <c r="AI54" s="1248">
        <v>45324</v>
      </c>
      <c r="AJ54" s="1248">
        <v>45327</v>
      </c>
      <c r="AK54" s="1267">
        <f>37000+139000+66725</f>
        <v>242725</v>
      </c>
      <c r="AL54" s="1264">
        <f t="shared" si="9"/>
        <v>0.97089999999999999</v>
      </c>
      <c r="AM54" s="1265" t="s">
        <v>62</v>
      </c>
      <c r="AN54" s="1261">
        <v>1</v>
      </c>
      <c r="AO54" s="1276"/>
      <c r="AP54" s="1277"/>
      <c r="AQ54" s="1276"/>
      <c r="AR54" s="1278"/>
      <c r="AS54" s="1278"/>
    </row>
    <row r="55" spans="1:45" ht="15.6">
      <c r="A55" s="1097" t="s">
        <v>53</v>
      </c>
      <c r="B55" s="1075" t="s">
        <v>122</v>
      </c>
      <c r="C55" s="851" t="s">
        <v>123</v>
      </c>
      <c r="D55" s="851" t="s">
        <v>124</v>
      </c>
      <c r="E55" s="1432" t="s">
        <v>163</v>
      </c>
      <c r="F55" s="856">
        <v>2024</v>
      </c>
      <c r="G55" s="3" t="s">
        <v>164</v>
      </c>
      <c r="H55" s="3">
        <v>200104732</v>
      </c>
      <c r="I55" s="1437" t="s">
        <v>177</v>
      </c>
      <c r="J55" s="856">
        <v>7</v>
      </c>
      <c r="K55" s="3" t="s">
        <v>128</v>
      </c>
      <c r="L55" s="1201"/>
      <c r="M55" s="762">
        <v>462.3</v>
      </c>
      <c r="N55" s="1201"/>
      <c r="O55" s="1205">
        <v>45315</v>
      </c>
      <c r="P55" s="1203"/>
      <c r="Q55" s="3" t="s">
        <v>178</v>
      </c>
      <c r="R55" s="1209"/>
      <c r="S55" s="856" t="s">
        <v>62</v>
      </c>
      <c r="T55" s="1212"/>
      <c r="U55" s="3" t="s">
        <v>130</v>
      </c>
      <c r="V55" s="1212"/>
      <c r="W55" s="762">
        <v>330</v>
      </c>
      <c r="X55" s="1213"/>
      <c r="Y55" s="1205">
        <v>45315</v>
      </c>
      <c r="Z55" s="856" t="s">
        <v>62</v>
      </c>
      <c r="AA55" s="1232"/>
      <c r="AB55" s="1099">
        <v>45335</v>
      </c>
      <c r="AC55" s="1099">
        <v>45335</v>
      </c>
      <c r="AD55" s="1176">
        <f>456+317</f>
        <v>773</v>
      </c>
      <c r="AE55" s="1227">
        <f t="shared" si="8"/>
        <v>0.96625000000000005</v>
      </c>
      <c r="AF55" s="1231" t="s">
        <v>131</v>
      </c>
      <c r="AG55" s="1262">
        <v>1</v>
      </c>
      <c r="AH55" s="1076" t="s">
        <v>162</v>
      </c>
      <c r="AI55" s="1248">
        <v>45342</v>
      </c>
      <c r="AJ55" s="1248">
        <v>45343</v>
      </c>
      <c r="AK55" s="1267">
        <f>64500+98200+77524</f>
        <v>240224</v>
      </c>
      <c r="AL55" s="1264">
        <f t="shared" si="9"/>
        <v>0.96089599999999997</v>
      </c>
      <c r="AM55" s="1265" t="s">
        <v>62</v>
      </c>
      <c r="AN55" s="1261">
        <v>1</v>
      </c>
      <c r="AO55" s="1276"/>
      <c r="AP55" s="1277"/>
      <c r="AQ55" s="1276"/>
      <c r="AR55" s="1278"/>
      <c r="AS55" s="1278"/>
    </row>
    <row r="56" spans="1:45" ht="15.6">
      <c r="A56" s="1097" t="s">
        <v>53</v>
      </c>
      <c r="B56" s="1075" t="s">
        <v>122</v>
      </c>
      <c r="C56" s="851" t="s">
        <v>123</v>
      </c>
      <c r="D56" s="851" t="s">
        <v>124</v>
      </c>
      <c r="E56" s="1432" t="s">
        <v>163</v>
      </c>
      <c r="F56" s="856">
        <v>2024</v>
      </c>
      <c r="G56" s="3" t="s">
        <v>164</v>
      </c>
      <c r="H56" s="3">
        <v>200104733</v>
      </c>
      <c r="I56" s="1437" t="s">
        <v>179</v>
      </c>
      <c r="J56" s="856">
        <v>8</v>
      </c>
      <c r="K56" s="3" t="s">
        <v>128</v>
      </c>
      <c r="L56" s="1201"/>
      <c r="M56" s="762">
        <v>465.6</v>
      </c>
      <c r="N56" s="1201"/>
      <c r="O56" s="1205">
        <v>45315</v>
      </c>
      <c r="P56" s="1203"/>
      <c r="Q56" s="3" t="s">
        <v>180</v>
      </c>
      <c r="R56" s="1209"/>
      <c r="S56" s="856" t="s">
        <v>62</v>
      </c>
      <c r="T56" s="1212"/>
      <c r="U56" s="3" t="s">
        <v>130</v>
      </c>
      <c r="V56" s="1212"/>
      <c r="W56" s="786">
        <v>330</v>
      </c>
      <c r="X56" s="1213"/>
      <c r="Y56" s="1205">
        <v>45324</v>
      </c>
      <c r="Z56" s="856" t="s">
        <v>62</v>
      </c>
      <c r="AA56" s="1232"/>
      <c r="AB56" s="1099">
        <v>45327</v>
      </c>
      <c r="AC56" s="1099">
        <v>45327</v>
      </c>
      <c r="AD56" s="1176">
        <f>300+475</f>
        <v>775</v>
      </c>
      <c r="AE56" s="1227">
        <f t="shared" si="8"/>
        <v>0.96875</v>
      </c>
      <c r="AF56" s="1231" t="s">
        <v>131</v>
      </c>
      <c r="AG56" s="1262">
        <v>1</v>
      </c>
      <c r="AH56" s="1248" t="s">
        <v>132</v>
      </c>
      <c r="AI56" s="1248">
        <v>45327</v>
      </c>
      <c r="AJ56" s="1248">
        <v>45329</v>
      </c>
      <c r="AK56" s="1267">
        <f>113300+128751</f>
        <v>242051</v>
      </c>
      <c r="AL56" s="1264">
        <f t="shared" si="9"/>
        <v>0.96820399999999995</v>
      </c>
      <c r="AM56" s="1265" t="s">
        <v>62</v>
      </c>
      <c r="AN56" s="1261">
        <v>1</v>
      </c>
      <c r="AO56" s="1276"/>
      <c r="AP56" s="1277"/>
      <c r="AQ56" s="1276"/>
      <c r="AR56" s="1278"/>
      <c r="AS56" s="1278"/>
    </row>
    <row r="57" spans="1:45" ht="15.6">
      <c r="A57" s="1097" t="s">
        <v>53</v>
      </c>
      <c r="B57" s="1075" t="s">
        <v>122</v>
      </c>
      <c r="C57" s="851" t="s">
        <v>123</v>
      </c>
      <c r="D57" s="851" t="s">
        <v>124</v>
      </c>
      <c r="E57" s="1432" t="s">
        <v>163</v>
      </c>
      <c r="F57" s="856">
        <v>2024</v>
      </c>
      <c r="G57" s="3" t="s">
        <v>164</v>
      </c>
      <c r="H57" s="3">
        <v>200104737</v>
      </c>
      <c r="I57" s="1437" t="s">
        <v>181</v>
      </c>
      <c r="J57" s="856">
        <v>9</v>
      </c>
      <c r="K57" s="3" t="s">
        <v>128</v>
      </c>
      <c r="L57" s="1201"/>
      <c r="M57" s="786">
        <v>462.4</v>
      </c>
      <c r="N57" s="1201"/>
      <c r="O57" s="1205">
        <v>45324</v>
      </c>
      <c r="P57" s="1203"/>
      <c r="Q57" s="3" t="s">
        <v>182</v>
      </c>
      <c r="R57" s="1209"/>
      <c r="S57" s="856" t="s">
        <v>62</v>
      </c>
      <c r="T57" s="1212"/>
      <c r="U57" s="3" t="s">
        <v>130</v>
      </c>
      <c r="V57" s="1212"/>
      <c r="W57" s="786">
        <v>330</v>
      </c>
      <c r="X57" s="1213"/>
      <c r="Y57" s="1205">
        <v>45324</v>
      </c>
      <c r="Z57" s="856" t="s">
        <v>62</v>
      </c>
      <c r="AA57" s="1232"/>
      <c r="AB57" s="1099">
        <v>45327</v>
      </c>
      <c r="AC57" s="1099">
        <v>45328</v>
      </c>
      <c r="AD57" s="1176">
        <f>188+585</f>
        <v>773</v>
      </c>
      <c r="AE57" s="1227">
        <f t="shared" si="8"/>
        <v>0.96625000000000005</v>
      </c>
      <c r="AF57" s="1231" t="s">
        <v>131</v>
      </c>
      <c r="AG57" s="1262">
        <v>1</v>
      </c>
      <c r="AH57" s="1248" t="s">
        <v>132</v>
      </c>
      <c r="AI57" s="1248">
        <v>45329</v>
      </c>
      <c r="AJ57" s="1248">
        <v>45329</v>
      </c>
      <c r="AK57" s="1267">
        <f>12500+152600+76601</f>
        <v>241701</v>
      </c>
      <c r="AL57" s="1264">
        <f t="shared" si="9"/>
        <v>0.966804</v>
      </c>
      <c r="AM57" s="1265" t="s">
        <v>62</v>
      </c>
      <c r="AN57" s="1261">
        <v>1</v>
      </c>
      <c r="AO57" s="1276"/>
      <c r="AP57" s="1277"/>
      <c r="AQ57" s="1276"/>
      <c r="AR57" s="1278"/>
      <c r="AS57" s="1278"/>
    </row>
    <row r="58" spans="1:45" ht="15.6">
      <c r="A58" s="1097" t="s">
        <v>53</v>
      </c>
      <c r="B58" s="1075" t="s">
        <v>122</v>
      </c>
      <c r="C58" s="851" t="s">
        <v>123</v>
      </c>
      <c r="D58" s="851" t="s">
        <v>124</v>
      </c>
      <c r="E58" s="1432" t="s">
        <v>163</v>
      </c>
      <c r="F58" s="856">
        <v>2024</v>
      </c>
      <c r="G58" s="1099">
        <v>45314</v>
      </c>
      <c r="H58" s="3">
        <v>200104613</v>
      </c>
      <c r="I58" s="1438" t="s">
        <v>183</v>
      </c>
      <c r="J58" s="856">
        <v>10</v>
      </c>
      <c r="K58" s="3" t="s">
        <v>128</v>
      </c>
      <c r="L58" s="1201"/>
      <c r="M58" s="786">
        <v>464.69</v>
      </c>
      <c r="N58" s="1201"/>
      <c r="O58" s="1205">
        <v>45327</v>
      </c>
      <c r="P58" s="1203"/>
      <c r="Q58" s="3" t="s">
        <v>184</v>
      </c>
      <c r="R58" s="1209"/>
      <c r="S58" s="856" t="s">
        <v>62</v>
      </c>
      <c r="T58" s="1212"/>
      <c r="U58" s="3" t="s">
        <v>130</v>
      </c>
      <c r="V58" s="1212"/>
      <c r="W58" s="786">
        <v>330.3</v>
      </c>
      <c r="X58" s="1213"/>
      <c r="Y58" s="1205">
        <v>45324</v>
      </c>
      <c r="Z58" s="856" t="s">
        <v>62</v>
      </c>
      <c r="AA58" s="1232"/>
      <c r="AB58" s="1099">
        <v>45328</v>
      </c>
      <c r="AC58" s="1099">
        <v>45328</v>
      </c>
      <c r="AD58" s="1176">
        <f>660+115</f>
        <v>775</v>
      </c>
      <c r="AE58" s="1227">
        <f t="shared" si="8"/>
        <v>0.96875</v>
      </c>
      <c r="AF58" s="1231" t="s">
        <v>131</v>
      </c>
      <c r="AG58" s="1262">
        <v>1</v>
      </c>
      <c r="AH58" s="1248" t="s">
        <v>132</v>
      </c>
      <c r="AI58" s="1248">
        <v>45329</v>
      </c>
      <c r="AJ58" s="1248">
        <v>45331</v>
      </c>
      <c r="AK58" s="1267">
        <f>38000+121800+82251</f>
        <v>242051</v>
      </c>
      <c r="AL58" s="1264">
        <f t="shared" si="9"/>
        <v>0.96820399999999995</v>
      </c>
      <c r="AM58" s="1265" t="s">
        <v>62</v>
      </c>
      <c r="AN58" s="1261">
        <v>1</v>
      </c>
      <c r="AO58" s="1276"/>
      <c r="AP58" s="1277"/>
      <c r="AQ58" s="1276"/>
      <c r="AR58" s="1278"/>
      <c r="AS58" s="1278"/>
    </row>
    <row r="59" spans="1:45" ht="15.6">
      <c r="A59" s="1097" t="s">
        <v>53</v>
      </c>
      <c r="B59" s="1075" t="s">
        <v>122</v>
      </c>
      <c r="C59" s="851" t="s">
        <v>123</v>
      </c>
      <c r="D59" s="851" t="s">
        <v>124</v>
      </c>
      <c r="E59" s="1432" t="s">
        <v>163</v>
      </c>
      <c r="F59" s="856">
        <v>2024</v>
      </c>
      <c r="G59" s="1099">
        <v>45314</v>
      </c>
      <c r="H59" s="3">
        <v>200104614</v>
      </c>
      <c r="I59" s="1438" t="s">
        <v>185</v>
      </c>
      <c r="J59" s="856">
        <v>11</v>
      </c>
      <c r="K59" s="3" t="s">
        <v>128</v>
      </c>
      <c r="L59" s="1201"/>
      <c r="M59" s="786">
        <v>466.38</v>
      </c>
      <c r="N59" s="1201"/>
      <c r="O59" s="1205">
        <v>45327</v>
      </c>
      <c r="P59" s="1203"/>
      <c r="Q59" s="3" t="s">
        <v>186</v>
      </c>
      <c r="R59" s="1209"/>
      <c r="S59" s="856" t="s">
        <v>62</v>
      </c>
      <c r="T59" s="1212"/>
      <c r="U59" s="3" t="s">
        <v>130</v>
      </c>
      <c r="V59" s="1212"/>
      <c r="W59" s="762">
        <v>329.9</v>
      </c>
      <c r="X59" s="1213"/>
      <c r="Y59" s="1205">
        <v>45328</v>
      </c>
      <c r="Z59" s="856" t="s">
        <v>62</v>
      </c>
      <c r="AA59" s="1232"/>
      <c r="AB59" s="1099">
        <v>45329</v>
      </c>
      <c r="AC59" s="1099">
        <v>45329</v>
      </c>
      <c r="AD59" s="1176">
        <f>330+446</f>
        <v>776</v>
      </c>
      <c r="AE59" s="1227">
        <f t="shared" si="8"/>
        <v>0.97</v>
      </c>
      <c r="AF59" s="1231" t="s">
        <v>131</v>
      </c>
      <c r="AG59" s="1262">
        <v>1</v>
      </c>
      <c r="AH59" s="1076" t="s">
        <v>162</v>
      </c>
      <c r="AI59" s="1248">
        <v>45334</v>
      </c>
      <c r="AJ59" s="1248">
        <v>45335</v>
      </c>
      <c r="AK59" s="1267">
        <f>70450+76750+93958</f>
        <v>241158</v>
      </c>
      <c r="AL59" s="1264">
        <f t="shared" si="9"/>
        <v>0.96463200000000004</v>
      </c>
      <c r="AM59" s="1265" t="s">
        <v>62</v>
      </c>
      <c r="AN59" s="1261">
        <v>1</v>
      </c>
      <c r="AO59" s="1276"/>
      <c r="AP59" s="1277"/>
      <c r="AQ59" s="1276"/>
      <c r="AR59" s="1278"/>
      <c r="AS59" s="1278"/>
    </row>
    <row r="60" spans="1:45" ht="15.6">
      <c r="A60" s="1097" t="s">
        <v>53</v>
      </c>
      <c r="B60" s="1075" t="s">
        <v>122</v>
      </c>
      <c r="C60" s="851" t="s">
        <v>123</v>
      </c>
      <c r="D60" s="851" t="s">
        <v>124</v>
      </c>
      <c r="E60" s="1432" t="s">
        <v>163</v>
      </c>
      <c r="F60" s="856">
        <v>2024</v>
      </c>
      <c r="G60" s="1099">
        <v>45314</v>
      </c>
      <c r="H60" s="3">
        <v>200104615</v>
      </c>
      <c r="I60" s="1438" t="s">
        <v>187</v>
      </c>
      <c r="J60" s="856">
        <v>12</v>
      </c>
      <c r="K60" s="3" t="s">
        <v>128</v>
      </c>
      <c r="L60" s="1201"/>
      <c r="M60" s="786">
        <v>465.9</v>
      </c>
      <c r="N60" s="1201"/>
      <c r="O60" s="1205">
        <v>45327</v>
      </c>
      <c r="P60" s="1203"/>
      <c r="Q60" s="3" t="s">
        <v>188</v>
      </c>
      <c r="R60" s="1209"/>
      <c r="S60" s="856" t="s">
        <v>62</v>
      </c>
      <c r="T60" s="1212"/>
      <c r="U60" s="3" t="s">
        <v>130</v>
      </c>
      <c r="V60" s="1212"/>
      <c r="W60" s="762">
        <v>329.9</v>
      </c>
      <c r="X60" s="1213"/>
      <c r="Y60" s="1205">
        <v>45328</v>
      </c>
      <c r="Z60" s="856" t="s">
        <v>62</v>
      </c>
      <c r="AA60" s="1232"/>
      <c r="AB60" s="1099">
        <v>45329</v>
      </c>
      <c r="AC60" s="1099">
        <v>45329</v>
      </c>
      <c r="AD60" s="1176">
        <f>116+660</f>
        <v>776</v>
      </c>
      <c r="AE60" s="1227">
        <f t="shared" si="8"/>
        <v>0.97</v>
      </c>
      <c r="AF60" s="1231" t="s">
        <v>131</v>
      </c>
      <c r="AG60" s="1262">
        <v>1</v>
      </c>
      <c r="AH60" s="1076" t="s">
        <v>162</v>
      </c>
      <c r="AI60" s="1248">
        <v>45335</v>
      </c>
      <c r="AJ60" s="1248">
        <v>45337</v>
      </c>
      <c r="AK60" s="1267">
        <f>81000+89025+71916</f>
        <v>241941</v>
      </c>
      <c r="AL60" s="1264">
        <f t="shared" si="9"/>
        <v>0.96776399999999996</v>
      </c>
      <c r="AM60" s="1265" t="s">
        <v>62</v>
      </c>
      <c r="AN60" s="1261">
        <v>1</v>
      </c>
      <c r="AO60" s="1276"/>
      <c r="AP60" s="1277"/>
      <c r="AQ60" s="1276"/>
      <c r="AR60" s="1278"/>
      <c r="AS60" s="1278"/>
    </row>
    <row r="61" spans="1:45" ht="15.6">
      <c r="A61" s="1097" t="s">
        <v>53</v>
      </c>
      <c r="B61" s="1075" t="s">
        <v>122</v>
      </c>
      <c r="C61" s="851" t="s">
        <v>123</v>
      </c>
      <c r="D61" s="851" t="s">
        <v>124</v>
      </c>
      <c r="E61" s="1432" t="s">
        <v>163</v>
      </c>
      <c r="F61" s="856">
        <v>2024</v>
      </c>
      <c r="G61" s="1099">
        <v>45314</v>
      </c>
      <c r="H61" s="3">
        <v>200104616</v>
      </c>
      <c r="I61" s="1438" t="s">
        <v>189</v>
      </c>
      <c r="J61" s="856">
        <v>13</v>
      </c>
      <c r="K61" s="3" t="s">
        <v>128</v>
      </c>
      <c r="L61" s="1201"/>
      <c r="M61" s="762">
        <v>460.7</v>
      </c>
      <c r="N61" s="1201"/>
      <c r="O61" s="1205">
        <v>45328</v>
      </c>
      <c r="P61" s="1203"/>
      <c r="Q61" s="3" t="s">
        <v>190</v>
      </c>
      <c r="R61" s="1209"/>
      <c r="S61" s="856" t="s">
        <v>62</v>
      </c>
      <c r="T61" s="1212"/>
      <c r="U61" s="3" t="s">
        <v>130</v>
      </c>
      <c r="V61" s="1212"/>
      <c r="W61" s="762">
        <v>329.9</v>
      </c>
      <c r="X61" s="1213"/>
      <c r="Y61" s="1205">
        <v>45328</v>
      </c>
      <c r="Z61" s="856" t="s">
        <v>62</v>
      </c>
      <c r="AA61" s="1232"/>
      <c r="AB61" s="1099">
        <v>45331</v>
      </c>
      <c r="AC61" s="1099">
        <v>45331</v>
      </c>
      <c r="AD61" s="1176">
        <f>370+403</f>
        <v>773</v>
      </c>
      <c r="AE61" s="1227">
        <f t="shared" si="8"/>
        <v>0.96625000000000005</v>
      </c>
      <c r="AF61" s="1231" t="s">
        <v>131</v>
      </c>
      <c r="AG61" s="1262">
        <v>1</v>
      </c>
      <c r="AH61" s="1076" t="s">
        <v>162</v>
      </c>
      <c r="AI61" s="1248">
        <v>45337</v>
      </c>
      <c r="AJ61" s="1248">
        <v>45338</v>
      </c>
      <c r="AK61" s="1267">
        <f>10938+100500+70293+58660</f>
        <v>240391</v>
      </c>
      <c r="AL61" s="1264">
        <f t="shared" si="9"/>
        <v>0.96156399999999997</v>
      </c>
      <c r="AM61" s="1265" t="s">
        <v>62</v>
      </c>
      <c r="AN61" s="1261">
        <v>1</v>
      </c>
      <c r="AO61" s="1276"/>
      <c r="AP61" s="1277"/>
      <c r="AQ61" s="1276"/>
      <c r="AR61" s="1278"/>
      <c r="AS61" s="1278"/>
    </row>
    <row r="62" spans="1:45" ht="15.6">
      <c r="A62" s="1097" t="s">
        <v>53</v>
      </c>
      <c r="B62" s="1075" t="s">
        <v>122</v>
      </c>
      <c r="C62" s="851" t="s">
        <v>123</v>
      </c>
      <c r="D62" s="851" t="s">
        <v>124</v>
      </c>
      <c r="E62" s="1432" t="s">
        <v>163</v>
      </c>
      <c r="F62" s="856">
        <v>2024</v>
      </c>
      <c r="G62" s="1099">
        <v>45314</v>
      </c>
      <c r="H62" s="3">
        <v>200104617</v>
      </c>
      <c r="I62" s="1438" t="s">
        <v>191</v>
      </c>
      <c r="J62" s="856">
        <v>14</v>
      </c>
      <c r="K62" s="3" t="s">
        <v>128</v>
      </c>
      <c r="L62" s="1201"/>
      <c r="M62" s="762">
        <v>466.4</v>
      </c>
      <c r="N62" s="1201"/>
      <c r="O62" s="1205">
        <v>45328</v>
      </c>
      <c r="P62" s="1203"/>
      <c r="Q62" s="3" t="s">
        <v>192</v>
      </c>
      <c r="R62" s="1209"/>
      <c r="S62" s="856" t="s">
        <v>62</v>
      </c>
      <c r="T62" s="1212"/>
      <c r="U62" s="3" t="s">
        <v>130</v>
      </c>
      <c r="V62" s="1212"/>
      <c r="W62" s="762">
        <v>330</v>
      </c>
      <c r="X62" s="1213"/>
      <c r="Y62" s="1205">
        <v>45329</v>
      </c>
      <c r="Z62" s="856" t="s">
        <v>62</v>
      </c>
      <c r="AA62" s="1232"/>
      <c r="AB62" s="1099">
        <v>45331</v>
      </c>
      <c r="AC62" s="1099">
        <v>45334</v>
      </c>
      <c r="AD62" s="1176">
        <f>208+462+106</f>
        <v>776</v>
      </c>
      <c r="AE62" s="1227">
        <f t="shared" si="8"/>
        <v>0.97</v>
      </c>
      <c r="AF62" s="1231" t="s">
        <v>131</v>
      </c>
      <c r="AG62" s="1262">
        <v>1</v>
      </c>
      <c r="AH62" s="1076" t="s">
        <v>162</v>
      </c>
      <c r="AI62" s="1248">
        <v>45338</v>
      </c>
      <c r="AJ62" s="1248">
        <v>45341</v>
      </c>
      <c r="AK62" s="1267">
        <f>9124+99000+92572+40233</f>
        <v>240929</v>
      </c>
      <c r="AL62" s="1264">
        <f t="shared" si="9"/>
        <v>0.96371600000000002</v>
      </c>
      <c r="AM62" s="1265" t="s">
        <v>62</v>
      </c>
      <c r="AN62" s="1261">
        <v>1</v>
      </c>
      <c r="AO62" s="1276"/>
      <c r="AP62" s="1277"/>
      <c r="AQ62" s="1276"/>
      <c r="AR62" s="1278"/>
      <c r="AS62" s="1278"/>
    </row>
    <row r="63" spans="1:45" ht="15.6">
      <c r="A63" s="1097" t="s">
        <v>53</v>
      </c>
      <c r="B63" s="1075" t="s">
        <v>122</v>
      </c>
      <c r="C63" s="851" t="s">
        <v>123</v>
      </c>
      <c r="D63" s="851" t="s">
        <v>124</v>
      </c>
      <c r="E63" s="1432" t="s">
        <v>163</v>
      </c>
      <c r="F63" s="856">
        <v>2024</v>
      </c>
      <c r="G63" s="1099">
        <v>45321</v>
      </c>
      <c r="H63" s="3">
        <v>200104853</v>
      </c>
      <c r="I63" s="1439" t="s">
        <v>193</v>
      </c>
      <c r="J63" s="856">
        <v>15</v>
      </c>
      <c r="K63" s="3" t="s">
        <v>128</v>
      </c>
      <c r="L63" s="1201"/>
      <c r="M63" s="762">
        <v>466.2</v>
      </c>
      <c r="N63" s="1201"/>
      <c r="O63" s="1205">
        <v>45328</v>
      </c>
      <c r="P63" s="1203"/>
      <c r="Q63" s="3" t="s">
        <v>194</v>
      </c>
      <c r="R63" s="1209"/>
      <c r="S63" s="856" t="s">
        <v>62</v>
      </c>
      <c r="T63" s="1212"/>
      <c r="U63" s="3" t="s">
        <v>130</v>
      </c>
      <c r="V63" s="1212"/>
      <c r="W63" s="762">
        <v>330.2</v>
      </c>
      <c r="X63" s="1213"/>
      <c r="Y63" s="1205">
        <v>45329</v>
      </c>
      <c r="Z63" s="856" t="s">
        <v>62</v>
      </c>
      <c r="AA63" s="1232"/>
      <c r="AB63" s="1099">
        <v>45334</v>
      </c>
      <c r="AC63" s="1099">
        <v>45337</v>
      </c>
      <c r="AD63" s="1176">
        <f>396+47+218+115</f>
        <v>776</v>
      </c>
      <c r="AE63" s="1227">
        <f t="shared" si="8"/>
        <v>0.97</v>
      </c>
      <c r="AF63" s="1231" t="s">
        <v>131</v>
      </c>
      <c r="AG63" s="1262">
        <v>1</v>
      </c>
      <c r="AH63" s="1076" t="s">
        <v>162</v>
      </c>
      <c r="AI63" s="1248">
        <v>45343</v>
      </c>
      <c r="AJ63" s="1248">
        <v>45343</v>
      </c>
      <c r="AK63" s="1267">
        <f>8000+87750</f>
        <v>95750</v>
      </c>
      <c r="AL63" s="1264">
        <f t="shared" si="9"/>
        <v>0.38300000000000001</v>
      </c>
      <c r="AM63" s="1265" t="s">
        <v>62</v>
      </c>
      <c r="AN63" s="1261">
        <v>1</v>
      </c>
      <c r="AO63" s="1276"/>
      <c r="AP63" s="1277"/>
      <c r="AQ63" s="1276"/>
      <c r="AR63" s="1278"/>
      <c r="AS63" s="1278"/>
    </row>
    <row r="64" spans="1:45" ht="15.6">
      <c r="A64" s="1097" t="s">
        <v>53</v>
      </c>
      <c r="B64" s="1075" t="s">
        <v>122</v>
      </c>
      <c r="C64" s="851" t="s">
        <v>123</v>
      </c>
      <c r="D64" s="851" t="s">
        <v>124</v>
      </c>
      <c r="E64" s="1432" t="s">
        <v>163</v>
      </c>
      <c r="F64" s="856">
        <v>2024</v>
      </c>
      <c r="G64" s="1099">
        <v>45321</v>
      </c>
      <c r="H64" s="3">
        <v>200104854</v>
      </c>
      <c r="I64" s="1439" t="s">
        <v>195</v>
      </c>
      <c r="J64" s="856">
        <v>16</v>
      </c>
      <c r="K64" s="3" t="s">
        <v>128</v>
      </c>
      <c r="L64" s="1201"/>
      <c r="M64" s="762">
        <v>462.8</v>
      </c>
      <c r="N64" s="1201"/>
      <c r="O64" s="1205">
        <v>45329</v>
      </c>
      <c r="P64" s="1203"/>
      <c r="Q64" s="3" t="s">
        <v>196</v>
      </c>
      <c r="R64" s="1209"/>
      <c r="S64" s="856" t="s">
        <v>62</v>
      </c>
      <c r="T64" s="1212"/>
      <c r="U64" s="3" t="s">
        <v>130</v>
      </c>
      <c r="V64" s="1212"/>
      <c r="W64" s="859">
        <v>330.3</v>
      </c>
      <c r="X64" s="1213"/>
      <c r="Y64" s="1205">
        <v>45329</v>
      </c>
      <c r="Z64" s="856" t="s">
        <v>62</v>
      </c>
      <c r="AA64" s="1232"/>
      <c r="AB64" s="1099">
        <v>45337</v>
      </c>
      <c r="AC64" s="1099">
        <v>45337</v>
      </c>
      <c r="AD64" s="1176">
        <f>350+423</f>
        <v>773</v>
      </c>
      <c r="AE64" s="1227">
        <f t="shared" si="8"/>
        <v>0.96625000000000005</v>
      </c>
      <c r="AF64" s="1231" t="s">
        <v>131</v>
      </c>
      <c r="AG64" s="1262">
        <v>1</v>
      </c>
      <c r="AH64" s="1076" t="s">
        <v>162</v>
      </c>
      <c r="AI64" s="1248">
        <v>45341</v>
      </c>
      <c r="AJ64" s="1248">
        <v>45342</v>
      </c>
      <c r="AK64" s="1267">
        <f>28354+101088+100500+11527</f>
        <v>241469</v>
      </c>
      <c r="AL64" s="1264">
        <f t="shared" si="9"/>
        <v>0.96587599999999996</v>
      </c>
      <c r="AM64" s="1265" t="s">
        <v>62</v>
      </c>
      <c r="AN64" s="1261">
        <v>1</v>
      </c>
      <c r="AO64" s="1276"/>
      <c r="AP64" s="1277"/>
      <c r="AQ64" s="1276"/>
      <c r="AR64" s="1278"/>
      <c r="AS64" s="1278"/>
    </row>
    <row r="65" spans="1:45" ht="15.6">
      <c r="A65" s="1097" t="s">
        <v>53</v>
      </c>
      <c r="B65" s="1075" t="s">
        <v>122</v>
      </c>
      <c r="C65" s="851" t="s">
        <v>123</v>
      </c>
      <c r="D65" s="851" t="s">
        <v>124</v>
      </c>
      <c r="E65" s="1432" t="s">
        <v>163</v>
      </c>
      <c r="F65" s="856">
        <v>2024</v>
      </c>
      <c r="G65" s="1099">
        <v>45321</v>
      </c>
      <c r="H65" s="3">
        <v>200104855</v>
      </c>
      <c r="I65" s="1439" t="s">
        <v>197</v>
      </c>
      <c r="J65" s="856">
        <v>17</v>
      </c>
      <c r="K65" s="3" t="s">
        <v>128</v>
      </c>
      <c r="L65" s="1201"/>
      <c r="M65" s="762">
        <v>465</v>
      </c>
      <c r="N65" s="1201"/>
      <c r="O65" s="1205">
        <v>45329</v>
      </c>
      <c r="P65" s="1203"/>
      <c r="Q65" s="3" t="s">
        <v>198</v>
      </c>
      <c r="R65" s="1209"/>
      <c r="S65" s="856" t="s">
        <v>62</v>
      </c>
      <c r="T65" s="1212"/>
      <c r="U65" s="3" t="s">
        <v>130</v>
      </c>
      <c r="V65" s="1212"/>
      <c r="W65" s="762">
        <v>329.8</v>
      </c>
      <c r="X65" s="1213"/>
      <c r="Y65" s="1205">
        <v>45329</v>
      </c>
      <c r="Z65" s="856" t="s">
        <v>62</v>
      </c>
      <c r="AA65" s="1232"/>
      <c r="AB65" s="1099">
        <v>45341</v>
      </c>
      <c r="AC65" s="1099">
        <v>45342</v>
      </c>
      <c r="AD65" s="1176">
        <f>66+234+475</f>
        <v>775</v>
      </c>
      <c r="AE65" s="1227">
        <f t="shared" si="8"/>
        <v>0.96875</v>
      </c>
      <c r="AF65" s="1231" t="s">
        <v>131</v>
      </c>
      <c r="AG65" s="1262">
        <v>1</v>
      </c>
      <c r="AH65" s="1076" t="s">
        <v>132</v>
      </c>
      <c r="AI65" s="1248">
        <v>45343</v>
      </c>
      <c r="AJ65" s="1248">
        <v>45344</v>
      </c>
      <c r="AK65" s="1267">
        <f>103000+139135</f>
        <v>242135</v>
      </c>
      <c r="AL65" s="1264">
        <f t="shared" si="9"/>
        <v>0.96853999999999996</v>
      </c>
      <c r="AM65" s="1265" t="s">
        <v>62</v>
      </c>
      <c r="AN65" s="1261">
        <v>1</v>
      </c>
      <c r="AO65" s="1276"/>
      <c r="AP65" s="1277"/>
      <c r="AQ65" s="1276"/>
      <c r="AR65" s="1278"/>
      <c r="AS65" s="1278"/>
    </row>
    <row r="66" spans="1:45" ht="15.6">
      <c r="A66" s="1097" t="s">
        <v>53</v>
      </c>
      <c r="B66" s="1075" t="s">
        <v>122</v>
      </c>
      <c r="C66" s="851" t="s">
        <v>123</v>
      </c>
      <c r="D66" s="851" t="s">
        <v>124</v>
      </c>
      <c r="E66" s="1432" t="s">
        <v>163</v>
      </c>
      <c r="F66" s="856">
        <v>2024</v>
      </c>
      <c r="G66" s="1099">
        <v>45321</v>
      </c>
      <c r="H66" s="3">
        <v>200104856</v>
      </c>
      <c r="I66" s="1439" t="s">
        <v>199</v>
      </c>
      <c r="J66" s="856">
        <v>18</v>
      </c>
      <c r="K66" s="3" t="s">
        <v>128</v>
      </c>
      <c r="L66" s="1201"/>
      <c r="M66" s="762">
        <v>464.37</v>
      </c>
      <c r="N66" s="1201"/>
      <c r="O66" s="1205">
        <v>45331</v>
      </c>
      <c r="P66" s="1203"/>
      <c r="Q66" s="3" t="s">
        <v>200</v>
      </c>
      <c r="R66" s="1209"/>
      <c r="S66" s="856" t="s">
        <v>62</v>
      </c>
      <c r="T66" s="1212"/>
      <c r="U66" s="3" t="s">
        <v>130</v>
      </c>
      <c r="V66" s="1212"/>
      <c r="W66" s="762">
        <v>329.8</v>
      </c>
      <c r="X66" s="1213"/>
      <c r="Y66" s="1205">
        <v>45331</v>
      </c>
      <c r="Z66" s="856" t="s">
        <v>62</v>
      </c>
      <c r="AA66" s="1232"/>
      <c r="AB66" s="1099">
        <v>45342</v>
      </c>
      <c r="AC66" s="1099">
        <v>45342</v>
      </c>
      <c r="AD66" s="1176">
        <f>86+689</f>
        <v>775</v>
      </c>
      <c r="AE66" s="1227">
        <f t="shared" si="8"/>
        <v>0.96875</v>
      </c>
      <c r="AF66" s="1231" t="s">
        <v>131</v>
      </c>
      <c r="AG66" s="1262">
        <v>1</v>
      </c>
      <c r="AH66" s="1076" t="s">
        <v>132</v>
      </c>
      <c r="AI66" s="1248">
        <v>45344</v>
      </c>
      <c r="AJ66" s="1248">
        <v>45344</v>
      </c>
      <c r="AK66" s="1267">
        <f>131000+110864</f>
        <v>241864</v>
      </c>
      <c r="AL66" s="1264">
        <f t="shared" si="9"/>
        <v>0.96745599999999998</v>
      </c>
      <c r="AM66" s="1265" t="s">
        <v>62</v>
      </c>
      <c r="AN66" s="1261">
        <v>1</v>
      </c>
      <c r="AO66" s="1276"/>
      <c r="AP66" s="1277"/>
      <c r="AQ66" s="1276"/>
      <c r="AR66" s="1278"/>
      <c r="AS66" s="1278"/>
    </row>
    <row r="67" spans="1:45" ht="15.6">
      <c r="A67" s="1097" t="s">
        <v>53</v>
      </c>
      <c r="B67" s="1075" t="s">
        <v>122</v>
      </c>
      <c r="C67" s="851" t="s">
        <v>123</v>
      </c>
      <c r="D67" s="851" t="s">
        <v>124</v>
      </c>
      <c r="E67" s="1432" t="s">
        <v>163</v>
      </c>
      <c r="F67" s="856">
        <v>2024</v>
      </c>
      <c r="G67" s="1099">
        <v>45321</v>
      </c>
      <c r="H67" s="3">
        <v>200104857</v>
      </c>
      <c r="I67" s="1439" t="s">
        <v>201</v>
      </c>
      <c r="J67" s="856">
        <v>19</v>
      </c>
      <c r="K67" s="3" t="s">
        <v>128</v>
      </c>
      <c r="L67" s="1201"/>
      <c r="M67" s="762">
        <v>469.58</v>
      </c>
      <c r="N67" s="1201"/>
      <c r="O67" s="1205">
        <v>45331</v>
      </c>
      <c r="P67" s="1203"/>
      <c r="Q67" s="3" t="s">
        <v>202</v>
      </c>
      <c r="R67" s="1209"/>
      <c r="S67" s="856" t="s">
        <v>62</v>
      </c>
      <c r="T67" s="1212"/>
      <c r="U67" s="3" t="s">
        <v>130</v>
      </c>
      <c r="V67" s="1212"/>
      <c r="W67" s="762">
        <v>330.2</v>
      </c>
      <c r="X67" s="1213"/>
      <c r="Y67" s="1205">
        <v>45336</v>
      </c>
      <c r="Z67" s="856" t="s">
        <v>62</v>
      </c>
      <c r="AA67" s="1232"/>
      <c r="AB67" s="1099">
        <v>45343</v>
      </c>
      <c r="AC67" s="1099">
        <v>45344</v>
      </c>
      <c r="AD67" s="1176">
        <f>198+583</f>
        <v>781</v>
      </c>
      <c r="AE67" s="1227">
        <f t="shared" si="8"/>
        <v>0.97624999999999995</v>
      </c>
      <c r="AF67" s="1231" t="s">
        <v>131</v>
      </c>
      <c r="AG67" s="1262">
        <v>1</v>
      </c>
      <c r="AH67" s="1076" t="s">
        <v>132</v>
      </c>
      <c r="AI67" s="1248">
        <v>45345</v>
      </c>
      <c r="AJ67" s="1248">
        <v>45348</v>
      </c>
      <c r="AK67" s="1267">
        <f>103000+140470</f>
        <v>243470</v>
      </c>
      <c r="AL67" s="1264">
        <f t="shared" si="9"/>
        <v>0.97387999999999997</v>
      </c>
      <c r="AM67" s="1265" t="s">
        <v>62</v>
      </c>
      <c r="AN67" s="1261">
        <v>1</v>
      </c>
      <c r="AO67" s="1276"/>
      <c r="AP67" s="1277"/>
      <c r="AQ67" s="1276"/>
      <c r="AR67" s="1278"/>
      <c r="AS67" s="1278"/>
    </row>
    <row r="68" spans="1:45" ht="15.6">
      <c r="A68" s="1097" t="s">
        <v>53</v>
      </c>
      <c r="B68" s="1075" t="s">
        <v>122</v>
      </c>
      <c r="C68" s="851" t="s">
        <v>123</v>
      </c>
      <c r="D68" s="851" t="s">
        <v>124</v>
      </c>
      <c r="E68" s="1432" t="s">
        <v>163</v>
      </c>
      <c r="F68" s="856">
        <v>2024</v>
      </c>
      <c r="G68" s="1099">
        <v>45331</v>
      </c>
      <c r="H68" s="3">
        <v>200104990</v>
      </c>
      <c r="I68" s="1437" t="s">
        <v>203</v>
      </c>
      <c r="J68" s="856">
        <v>20</v>
      </c>
      <c r="K68" s="3" t="s">
        <v>128</v>
      </c>
      <c r="L68" s="1201"/>
      <c r="M68" s="762">
        <v>458.3</v>
      </c>
      <c r="N68" s="1201"/>
      <c r="O68" s="1205">
        <v>45337</v>
      </c>
      <c r="P68" s="1203"/>
      <c r="Q68" s="3" t="s">
        <v>204</v>
      </c>
      <c r="R68" s="1209"/>
      <c r="S68" s="856" t="s">
        <v>62</v>
      </c>
      <c r="T68" s="1212"/>
      <c r="U68" s="3" t="s">
        <v>130</v>
      </c>
      <c r="V68" s="1212"/>
      <c r="W68" s="762">
        <v>330.1</v>
      </c>
      <c r="X68" s="1213"/>
      <c r="Y68" s="1205">
        <v>45336</v>
      </c>
      <c r="Z68" s="856" t="s">
        <v>62</v>
      </c>
      <c r="AA68" s="1232"/>
      <c r="AB68" s="1099">
        <v>45344</v>
      </c>
      <c r="AC68" s="1099">
        <v>45344</v>
      </c>
      <c r="AD68" s="1176">
        <f>5+559+209</f>
        <v>773</v>
      </c>
      <c r="AE68" s="1227">
        <f t="shared" si="8"/>
        <v>0.96625000000000005</v>
      </c>
      <c r="AF68" s="1231" t="s">
        <v>131</v>
      </c>
      <c r="AG68" s="1262">
        <v>1</v>
      </c>
      <c r="AH68" s="1076" t="s">
        <v>132</v>
      </c>
      <c r="AI68" s="1248">
        <v>45348</v>
      </c>
      <c r="AJ68" s="1248">
        <v>45348</v>
      </c>
      <c r="AK68" s="1267">
        <f>143000+97705</f>
        <v>240705</v>
      </c>
      <c r="AL68" s="1264">
        <f t="shared" si="9"/>
        <v>0.96282000000000001</v>
      </c>
      <c r="AM68" s="1265" t="s">
        <v>62</v>
      </c>
      <c r="AN68" s="1261">
        <v>1</v>
      </c>
      <c r="AO68" s="1276"/>
      <c r="AP68" s="1277"/>
      <c r="AQ68" s="1276"/>
      <c r="AR68" s="1278"/>
      <c r="AS68" s="1278"/>
    </row>
    <row r="69" spans="1:45" ht="15.6">
      <c r="A69" s="1097" t="s">
        <v>53</v>
      </c>
      <c r="B69" s="1075" t="s">
        <v>122</v>
      </c>
      <c r="C69" s="851" t="s">
        <v>123</v>
      </c>
      <c r="D69" s="851" t="s">
        <v>124</v>
      </c>
      <c r="E69" s="1432" t="s">
        <v>163</v>
      </c>
      <c r="F69" s="856">
        <v>2024</v>
      </c>
      <c r="G69" s="1099">
        <v>45331</v>
      </c>
      <c r="H69" s="3">
        <v>200104991</v>
      </c>
      <c r="I69" s="1437" t="s">
        <v>205</v>
      </c>
      <c r="J69" s="856">
        <v>21</v>
      </c>
      <c r="K69" s="3" t="s">
        <v>128</v>
      </c>
      <c r="L69" s="1201"/>
      <c r="M69" s="786">
        <v>463.6</v>
      </c>
      <c r="N69" s="1201"/>
      <c r="O69" s="1205">
        <v>45337</v>
      </c>
      <c r="P69" s="1203"/>
      <c r="Q69" s="3" t="s">
        <v>206</v>
      </c>
      <c r="R69" s="1209"/>
      <c r="S69" s="856" t="s">
        <v>62</v>
      </c>
      <c r="T69" s="1212"/>
      <c r="U69" s="3" t="s">
        <v>130</v>
      </c>
      <c r="V69" s="1212"/>
      <c r="W69" s="762">
        <v>330</v>
      </c>
      <c r="X69" s="1213"/>
      <c r="Y69" s="1205">
        <v>45336</v>
      </c>
      <c r="Z69" s="856" t="s">
        <v>62</v>
      </c>
      <c r="AA69" s="1232"/>
      <c r="AB69" s="1099">
        <v>45344</v>
      </c>
      <c r="AC69" s="1099">
        <v>45345</v>
      </c>
      <c r="AD69" s="1176">
        <f>416+358</f>
        <v>774</v>
      </c>
      <c r="AE69" s="1227">
        <f t="shared" si="8"/>
        <v>0.96750000000000003</v>
      </c>
      <c r="AF69" s="1231" t="s">
        <v>131</v>
      </c>
      <c r="AG69" s="1262">
        <v>1</v>
      </c>
      <c r="AH69" s="1076" t="s">
        <v>132</v>
      </c>
      <c r="AI69" s="1248">
        <v>45348</v>
      </c>
      <c r="AJ69" s="1248">
        <v>45349</v>
      </c>
      <c r="AK69" s="1267">
        <f>49210+142000+50080</f>
        <v>241290</v>
      </c>
      <c r="AL69" s="1264">
        <f t="shared" si="9"/>
        <v>0.96516000000000002</v>
      </c>
      <c r="AM69" s="1265" t="s">
        <v>62</v>
      </c>
      <c r="AN69" s="1261">
        <v>1</v>
      </c>
      <c r="AO69" s="1276"/>
      <c r="AP69" s="1277"/>
      <c r="AQ69" s="1276"/>
      <c r="AR69" s="1278"/>
      <c r="AS69" s="1278"/>
    </row>
    <row r="70" spans="1:45" ht="15.6">
      <c r="A70" s="1097" t="s">
        <v>53</v>
      </c>
      <c r="B70" s="1075" t="s">
        <v>122</v>
      </c>
      <c r="C70" s="851" t="s">
        <v>123</v>
      </c>
      <c r="D70" s="851" t="s">
        <v>124</v>
      </c>
      <c r="E70" s="1432" t="s">
        <v>163</v>
      </c>
      <c r="F70" s="856">
        <v>2024</v>
      </c>
      <c r="G70" s="1099">
        <v>45331</v>
      </c>
      <c r="H70" s="3">
        <v>200104992</v>
      </c>
      <c r="I70" s="1437" t="s">
        <v>207</v>
      </c>
      <c r="J70" s="856">
        <v>22</v>
      </c>
      <c r="K70" s="3" t="s">
        <v>128</v>
      </c>
      <c r="L70" s="1201"/>
      <c r="M70" s="3">
        <v>465.67</v>
      </c>
      <c r="N70" s="1201"/>
      <c r="O70" s="1205">
        <v>45337</v>
      </c>
      <c r="P70" s="1203"/>
      <c r="Q70" s="3" t="s">
        <v>208</v>
      </c>
      <c r="R70" s="1209"/>
      <c r="S70" s="856" t="s">
        <v>62</v>
      </c>
      <c r="T70" s="1212"/>
      <c r="U70" s="3" t="s">
        <v>130</v>
      </c>
      <c r="V70" s="1212"/>
      <c r="W70" s="762">
        <v>330</v>
      </c>
      <c r="X70" s="1213"/>
      <c r="Y70" s="1205">
        <v>45342</v>
      </c>
      <c r="Z70" s="856" t="s">
        <v>62</v>
      </c>
      <c r="AA70" s="1232"/>
      <c r="AB70" s="1099">
        <v>45345</v>
      </c>
      <c r="AC70" s="1099">
        <v>45345</v>
      </c>
      <c r="AD70" s="1176">
        <f>198+577</f>
        <v>775</v>
      </c>
      <c r="AE70" s="1227">
        <f t="shared" si="8"/>
        <v>0.96875</v>
      </c>
      <c r="AF70" s="1231" t="s">
        <v>131</v>
      </c>
      <c r="AG70" s="1262">
        <v>1</v>
      </c>
      <c r="AH70" s="1076" t="s">
        <v>132</v>
      </c>
      <c r="AI70" s="1248">
        <v>45351</v>
      </c>
      <c r="AJ70" s="1248">
        <v>45351</v>
      </c>
      <c r="AK70" s="1267">
        <f>47500+165545+29001</f>
        <v>242046</v>
      </c>
      <c r="AL70" s="1264">
        <f t="shared" si="9"/>
        <v>0.96818400000000004</v>
      </c>
      <c r="AM70" s="1265" t="s">
        <v>62</v>
      </c>
      <c r="AN70" s="1261">
        <v>1</v>
      </c>
      <c r="AO70" s="1276"/>
      <c r="AP70" s="1277"/>
      <c r="AQ70" s="1276"/>
      <c r="AR70" s="1278"/>
      <c r="AS70" s="1278"/>
    </row>
    <row r="71" spans="1:45" ht="15.6">
      <c r="A71" s="1097" t="s">
        <v>53</v>
      </c>
      <c r="B71" s="1075" t="s">
        <v>122</v>
      </c>
      <c r="C71" s="851" t="s">
        <v>123</v>
      </c>
      <c r="D71" s="851" t="s">
        <v>124</v>
      </c>
      <c r="E71" s="1432" t="s">
        <v>163</v>
      </c>
      <c r="F71" s="856">
        <v>2024</v>
      </c>
      <c r="G71" s="1099">
        <v>45331</v>
      </c>
      <c r="H71" s="3">
        <v>200104993</v>
      </c>
      <c r="I71" s="1437" t="s">
        <v>209</v>
      </c>
      <c r="J71" s="856">
        <v>23</v>
      </c>
      <c r="K71" s="3" t="s">
        <v>128</v>
      </c>
      <c r="L71" s="1201"/>
      <c r="M71" s="3">
        <v>465.52</v>
      </c>
      <c r="N71" s="1201"/>
      <c r="O71" s="1205">
        <v>45338</v>
      </c>
      <c r="P71" s="1203"/>
      <c r="Q71" s="3" t="s">
        <v>210</v>
      </c>
      <c r="R71" s="1209"/>
      <c r="S71" s="856" t="s">
        <v>62</v>
      </c>
      <c r="T71" s="1212"/>
      <c r="U71" s="3" t="s">
        <v>130</v>
      </c>
      <c r="V71" s="1212"/>
      <c r="W71" s="762">
        <v>330</v>
      </c>
      <c r="X71" s="1213"/>
      <c r="Y71" s="1205">
        <v>45342</v>
      </c>
      <c r="Z71" s="856" t="s">
        <v>62</v>
      </c>
      <c r="AA71" s="1232"/>
      <c r="AB71" s="1099">
        <v>45345</v>
      </c>
      <c r="AC71" s="1099">
        <v>45346</v>
      </c>
      <c r="AD71" s="1176">
        <f>660+115</f>
        <v>775</v>
      </c>
      <c r="AE71" s="1227">
        <f t="shared" si="8"/>
        <v>0.96875</v>
      </c>
      <c r="AF71" s="1231" t="s">
        <v>131</v>
      </c>
      <c r="AG71" s="1262">
        <v>1</v>
      </c>
      <c r="AH71" s="1076" t="s">
        <v>132</v>
      </c>
      <c r="AI71" s="1248">
        <v>45349</v>
      </c>
      <c r="AJ71" s="1248">
        <v>45350</v>
      </c>
      <c r="AK71" s="1267">
        <f>91200+142452+5685</f>
        <v>239337</v>
      </c>
      <c r="AL71" s="1264">
        <f t="shared" si="9"/>
        <v>0.95734799999999998</v>
      </c>
      <c r="AM71" s="1265" t="s">
        <v>62</v>
      </c>
      <c r="AN71" s="1261">
        <v>1</v>
      </c>
      <c r="AO71" s="1276"/>
      <c r="AP71" s="1277"/>
      <c r="AQ71" s="1276"/>
      <c r="AR71" s="1278"/>
      <c r="AS71" s="1278"/>
    </row>
    <row r="72" spans="1:45" ht="15.6">
      <c r="A72" s="1097" t="s">
        <v>53</v>
      </c>
      <c r="B72" s="1075" t="s">
        <v>122</v>
      </c>
      <c r="C72" s="851" t="s">
        <v>123</v>
      </c>
      <c r="D72" s="851" t="s">
        <v>124</v>
      </c>
      <c r="E72" s="1432" t="s">
        <v>163</v>
      </c>
      <c r="F72" s="856">
        <v>2024</v>
      </c>
      <c r="G72" s="1099">
        <v>45331</v>
      </c>
      <c r="H72" s="3">
        <v>200104994</v>
      </c>
      <c r="I72" s="1437" t="s">
        <v>211</v>
      </c>
      <c r="J72" s="856">
        <v>24</v>
      </c>
      <c r="K72" s="3" t="s">
        <v>128</v>
      </c>
      <c r="L72" s="1201"/>
      <c r="M72" s="762">
        <v>462.95</v>
      </c>
      <c r="N72" s="1201"/>
      <c r="O72" s="1205">
        <v>45342</v>
      </c>
      <c r="P72" s="1203"/>
      <c r="Q72" s="3" t="s">
        <v>212</v>
      </c>
      <c r="R72" s="1209"/>
      <c r="S72" s="856" t="s">
        <v>62</v>
      </c>
      <c r="T72" s="1212"/>
      <c r="U72" s="3" t="s">
        <v>130</v>
      </c>
      <c r="V72" s="1212"/>
      <c r="W72" s="762">
        <v>329.9</v>
      </c>
      <c r="X72" s="1213"/>
      <c r="Y72" s="1205">
        <v>45342</v>
      </c>
      <c r="Z72" s="856" t="s">
        <v>62</v>
      </c>
      <c r="AA72" s="1232"/>
      <c r="AB72" s="1099">
        <v>45346</v>
      </c>
      <c r="AC72" s="1099">
        <v>45346</v>
      </c>
      <c r="AD72" s="1176">
        <f>497+277</f>
        <v>774</v>
      </c>
      <c r="AE72" s="1227">
        <f t="shared" si="8"/>
        <v>0.96750000000000003</v>
      </c>
      <c r="AF72" s="1231" t="s">
        <v>131</v>
      </c>
      <c r="AG72" s="1262">
        <v>1</v>
      </c>
      <c r="AH72" s="1076" t="s">
        <v>132</v>
      </c>
      <c r="AI72" s="1248">
        <v>45350</v>
      </c>
      <c r="AJ72" s="1248">
        <v>45350</v>
      </c>
      <c r="AK72" s="1267">
        <f>132000+109525</f>
        <v>241525</v>
      </c>
      <c r="AL72" s="1264">
        <f t="shared" si="9"/>
        <v>0.96609999999999996</v>
      </c>
      <c r="AM72" s="1265" t="s">
        <v>62</v>
      </c>
      <c r="AN72" s="1261">
        <v>1</v>
      </c>
      <c r="AO72" s="1276"/>
      <c r="AP72" s="1277"/>
      <c r="AQ72" s="1276"/>
      <c r="AR72" s="1278"/>
      <c r="AS72" s="1278"/>
    </row>
    <row r="73" spans="1:45" ht="15.6">
      <c r="A73" s="1097" t="s">
        <v>53</v>
      </c>
      <c r="B73" s="1075"/>
      <c r="C73" s="851"/>
      <c r="D73" s="851"/>
      <c r="E73" s="856"/>
      <c r="F73" s="856"/>
      <c r="G73" s="1099"/>
      <c r="H73" s="3"/>
      <c r="I73" s="3"/>
      <c r="J73" s="856"/>
      <c r="K73" s="851"/>
      <c r="L73" s="851"/>
      <c r="M73" s="851"/>
      <c r="N73" s="851"/>
      <c r="O73" s="1205"/>
      <c r="P73" s="1205"/>
      <c r="Q73" s="851"/>
      <c r="R73" s="1209"/>
      <c r="S73" s="851"/>
      <c r="T73" s="1215"/>
      <c r="U73" s="851"/>
      <c r="V73" s="851"/>
      <c r="W73" s="851"/>
      <c r="X73" s="1179"/>
      <c r="Y73" s="1205"/>
      <c r="Z73" s="851"/>
      <c r="AA73" s="1232"/>
      <c r="AB73" s="1099"/>
      <c r="AC73" s="1099"/>
      <c r="AD73" s="1176"/>
      <c r="AE73" s="1227"/>
      <c r="AF73" s="1231"/>
      <c r="AG73" s="1268"/>
      <c r="AH73" s="1076"/>
      <c r="AI73" s="1266"/>
      <c r="AJ73" s="1248"/>
      <c r="AK73" s="1267"/>
      <c r="AL73" s="1264"/>
      <c r="AM73" s="1269"/>
      <c r="AN73" s="1261"/>
      <c r="AO73" s="1276"/>
      <c r="AP73" s="1277"/>
      <c r="AQ73" s="1276"/>
      <c r="AR73" s="1278"/>
      <c r="AS73" s="1278"/>
    </row>
    <row r="74" spans="1:45" ht="15.6">
      <c r="A74" s="1097" t="s">
        <v>53</v>
      </c>
      <c r="B74" s="1075" t="s">
        <v>122</v>
      </c>
      <c r="C74" s="851" t="s">
        <v>123</v>
      </c>
      <c r="D74" s="851" t="s">
        <v>124</v>
      </c>
      <c r="E74" s="1432" t="s">
        <v>213</v>
      </c>
      <c r="F74" s="856">
        <v>2024</v>
      </c>
      <c r="G74" s="1099">
        <v>45335</v>
      </c>
      <c r="H74" s="1192">
        <v>200105024</v>
      </c>
      <c r="I74" s="1440" t="s">
        <v>214</v>
      </c>
      <c r="J74" s="856">
        <v>1</v>
      </c>
      <c r="K74" s="3" t="s">
        <v>128</v>
      </c>
      <c r="L74" s="1201"/>
      <c r="M74" s="762">
        <v>467.5</v>
      </c>
      <c r="N74" s="1201"/>
      <c r="O74" s="1205">
        <v>45342</v>
      </c>
      <c r="P74" s="1203"/>
      <c r="Q74" s="3" t="s">
        <v>215</v>
      </c>
      <c r="R74" s="1209"/>
      <c r="S74" s="856" t="s">
        <v>62</v>
      </c>
      <c r="T74" s="1212"/>
      <c r="U74" s="3" t="s">
        <v>130</v>
      </c>
      <c r="V74" s="1212"/>
      <c r="W74" s="762">
        <v>330.2</v>
      </c>
      <c r="X74" s="1213"/>
      <c r="Y74" s="1205">
        <v>45343</v>
      </c>
      <c r="Z74" s="856" t="s">
        <v>62</v>
      </c>
      <c r="AA74" s="1232"/>
      <c r="AB74" s="1099">
        <v>45346</v>
      </c>
      <c r="AC74" s="1099">
        <v>45346</v>
      </c>
      <c r="AD74" s="1176">
        <f>376+401</f>
        <v>777</v>
      </c>
      <c r="AE74" s="1227">
        <f t="shared" ref="AE74:AE105" si="10">AD74/800</f>
        <v>0.97124999999999995</v>
      </c>
      <c r="AF74" s="1231" t="s">
        <v>131</v>
      </c>
      <c r="AG74" s="1262">
        <v>1</v>
      </c>
      <c r="AH74" s="1076" t="s">
        <v>132</v>
      </c>
      <c r="AI74" s="1248">
        <v>45351</v>
      </c>
      <c r="AJ74" s="1248">
        <v>45352</v>
      </c>
      <c r="AK74" s="1267">
        <f>109415+132972</f>
        <v>242387</v>
      </c>
      <c r="AL74" s="1264">
        <f t="shared" ref="AL74:AL105" si="11">AK74/250000</f>
        <v>0.96954799999999997</v>
      </c>
      <c r="AM74" s="1265" t="s">
        <v>62</v>
      </c>
      <c r="AN74" s="1261">
        <v>1</v>
      </c>
      <c r="AO74" s="1276"/>
      <c r="AP74" s="1277"/>
      <c r="AQ74" s="1276"/>
      <c r="AR74" s="1278"/>
      <c r="AS74" s="1278"/>
    </row>
    <row r="75" spans="1:45" ht="15.6">
      <c r="A75" s="1097" t="s">
        <v>53</v>
      </c>
      <c r="B75" s="1075" t="s">
        <v>122</v>
      </c>
      <c r="C75" s="851" t="s">
        <v>123</v>
      </c>
      <c r="D75" s="851" t="s">
        <v>124</v>
      </c>
      <c r="E75" s="1432" t="s">
        <v>213</v>
      </c>
      <c r="F75" s="856">
        <v>2024</v>
      </c>
      <c r="G75" s="1099">
        <v>45335</v>
      </c>
      <c r="H75" s="1192">
        <v>200105025</v>
      </c>
      <c r="I75" s="1440" t="s">
        <v>216</v>
      </c>
      <c r="J75" s="856">
        <v>2</v>
      </c>
      <c r="K75" s="3" t="s">
        <v>128</v>
      </c>
      <c r="L75" s="1201"/>
      <c r="M75" s="762">
        <v>456.6</v>
      </c>
      <c r="N75" s="1201"/>
      <c r="O75" s="1205">
        <v>45343</v>
      </c>
      <c r="P75" s="1203"/>
      <c r="Q75" s="3" t="s">
        <v>217</v>
      </c>
      <c r="R75" s="1209"/>
      <c r="S75" s="856" t="s">
        <v>62</v>
      </c>
      <c r="T75" s="1212"/>
      <c r="U75" s="3" t="s">
        <v>130</v>
      </c>
      <c r="V75" s="1212"/>
      <c r="W75" s="762">
        <v>330.4</v>
      </c>
      <c r="X75" s="1213"/>
      <c r="Y75" s="1205">
        <v>45343</v>
      </c>
      <c r="Z75" s="856" t="s">
        <v>62</v>
      </c>
      <c r="AA75" s="1232"/>
      <c r="AB75" s="1099">
        <v>45346</v>
      </c>
      <c r="AC75" s="1099">
        <v>45348</v>
      </c>
      <c r="AD75" s="1176">
        <f>198+350+226</f>
        <v>774</v>
      </c>
      <c r="AE75" s="1227">
        <f t="shared" si="10"/>
        <v>0.96750000000000003</v>
      </c>
      <c r="AF75" s="1231" t="s">
        <v>131</v>
      </c>
      <c r="AG75" s="1262">
        <v>1</v>
      </c>
      <c r="AH75" s="1076" t="s">
        <v>132</v>
      </c>
      <c r="AI75" s="1248">
        <v>45352</v>
      </c>
      <c r="AJ75" s="1248">
        <v>45352</v>
      </c>
      <c r="AK75" s="1267">
        <f>123623+117923</f>
        <v>241546</v>
      </c>
      <c r="AL75" s="1264">
        <f t="shared" si="11"/>
        <v>0.96618400000000004</v>
      </c>
      <c r="AM75" s="1265" t="s">
        <v>62</v>
      </c>
      <c r="AN75" s="1261">
        <v>1</v>
      </c>
      <c r="AO75" s="1276"/>
      <c r="AP75" s="1277"/>
      <c r="AQ75" s="1276"/>
      <c r="AR75" s="1278"/>
      <c r="AS75" s="1278"/>
    </row>
    <row r="76" spans="1:45" ht="15.6">
      <c r="A76" s="1097" t="s">
        <v>53</v>
      </c>
      <c r="B76" s="1075" t="s">
        <v>122</v>
      </c>
      <c r="C76" s="851" t="s">
        <v>123</v>
      </c>
      <c r="D76" s="851" t="s">
        <v>124</v>
      </c>
      <c r="E76" s="1432" t="s">
        <v>213</v>
      </c>
      <c r="F76" s="856">
        <v>2024</v>
      </c>
      <c r="G76" s="1099">
        <v>45335</v>
      </c>
      <c r="H76" s="1192">
        <v>200105026</v>
      </c>
      <c r="I76" s="1440" t="s">
        <v>218</v>
      </c>
      <c r="J76" s="856">
        <v>3</v>
      </c>
      <c r="K76" s="3" t="s">
        <v>128</v>
      </c>
      <c r="L76" s="1201"/>
      <c r="M76" s="762">
        <v>461.1</v>
      </c>
      <c r="N76" s="1201"/>
      <c r="O76" s="1205">
        <v>45343</v>
      </c>
      <c r="P76" s="1203"/>
      <c r="Q76" s="3" t="s">
        <v>219</v>
      </c>
      <c r="R76" s="1209"/>
      <c r="S76" s="856" t="s">
        <v>62</v>
      </c>
      <c r="T76" s="1212"/>
      <c r="U76" s="3" t="s">
        <v>130</v>
      </c>
      <c r="V76" s="1212"/>
      <c r="W76" s="762">
        <v>330.1</v>
      </c>
      <c r="X76" s="1213"/>
      <c r="Y76" s="1205">
        <v>45343</v>
      </c>
      <c r="Z76" s="856" t="s">
        <v>62</v>
      </c>
      <c r="AA76" s="1232"/>
      <c r="AB76" s="1099">
        <v>45348</v>
      </c>
      <c r="AC76" s="1099">
        <v>45348</v>
      </c>
      <c r="AD76" s="1176">
        <f>264+509</f>
        <v>773</v>
      </c>
      <c r="AE76" s="1227">
        <f t="shared" si="10"/>
        <v>0.96625000000000005</v>
      </c>
      <c r="AF76" s="1231" t="s">
        <v>131</v>
      </c>
      <c r="AG76" s="1262">
        <v>1</v>
      </c>
      <c r="AH76" s="1076" t="s">
        <v>132</v>
      </c>
      <c r="AI76" s="1248">
        <v>45350</v>
      </c>
      <c r="AJ76" s="1248">
        <v>45351</v>
      </c>
      <c r="AK76" s="1267">
        <f>20600+126381+94357</f>
        <v>241338</v>
      </c>
      <c r="AL76" s="1264">
        <f t="shared" si="11"/>
        <v>0.96535199999999999</v>
      </c>
      <c r="AM76" s="1265" t="s">
        <v>62</v>
      </c>
      <c r="AN76" s="1261">
        <v>1</v>
      </c>
      <c r="AO76" s="1276"/>
      <c r="AP76" s="1277"/>
      <c r="AQ76" s="1276"/>
      <c r="AR76" s="1278"/>
      <c r="AS76" s="1278"/>
    </row>
    <row r="77" spans="1:45" ht="15.6">
      <c r="A77" s="1097" t="s">
        <v>53</v>
      </c>
      <c r="B77" s="1075" t="s">
        <v>122</v>
      </c>
      <c r="C77" s="851" t="s">
        <v>123</v>
      </c>
      <c r="D77" s="851" t="s">
        <v>124</v>
      </c>
      <c r="E77" s="1432" t="s">
        <v>213</v>
      </c>
      <c r="F77" s="856">
        <v>2024</v>
      </c>
      <c r="G77" s="1099">
        <v>45335</v>
      </c>
      <c r="H77" s="1192">
        <v>200105027</v>
      </c>
      <c r="I77" s="1440" t="s">
        <v>220</v>
      </c>
      <c r="J77" s="856">
        <v>4</v>
      </c>
      <c r="K77" s="3" t="s">
        <v>128</v>
      </c>
      <c r="L77" s="1201"/>
      <c r="M77" s="762">
        <v>465.5</v>
      </c>
      <c r="N77" s="1201"/>
      <c r="O77" s="1205">
        <v>45343</v>
      </c>
      <c r="P77" s="1203"/>
      <c r="Q77" s="3" t="s">
        <v>221</v>
      </c>
      <c r="R77" s="1209"/>
      <c r="S77" s="856" t="s">
        <v>62</v>
      </c>
      <c r="T77" s="1212"/>
      <c r="U77" s="3" t="s">
        <v>130</v>
      </c>
      <c r="V77" s="1212"/>
      <c r="W77" s="762">
        <v>330.3</v>
      </c>
      <c r="X77" s="1213"/>
      <c r="Y77" s="1205">
        <v>45344</v>
      </c>
      <c r="Z77" s="856" t="s">
        <v>62</v>
      </c>
      <c r="AA77" s="1232"/>
      <c r="AB77" s="1099">
        <v>45349</v>
      </c>
      <c r="AC77" s="1099">
        <v>45349</v>
      </c>
      <c r="AD77" s="1176">
        <f>696+79</f>
        <v>775</v>
      </c>
      <c r="AE77" s="1227">
        <f t="shared" si="10"/>
        <v>0.96875</v>
      </c>
      <c r="AF77" s="1231" t="s">
        <v>131</v>
      </c>
      <c r="AG77" s="1262">
        <v>1</v>
      </c>
      <c r="AH77" s="1076" t="s">
        <v>132</v>
      </c>
      <c r="AI77" s="1248">
        <v>45352</v>
      </c>
      <c r="AJ77" s="1248">
        <v>45355</v>
      </c>
      <c r="AK77" s="1267">
        <f>24350+132000+85651</f>
        <v>242001</v>
      </c>
      <c r="AL77" s="1264">
        <f t="shared" si="11"/>
        <v>0.96800399999999998</v>
      </c>
      <c r="AM77" s="1265" t="s">
        <v>62</v>
      </c>
      <c r="AN77" s="1261">
        <v>1</v>
      </c>
      <c r="AO77" s="1276"/>
      <c r="AP77" s="1277"/>
      <c r="AQ77" s="1276"/>
      <c r="AR77" s="1278"/>
      <c r="AS77" s="1278"/>
    </row>
    <row r="78" spans="1:45" ht="15.6">
      <c r="A78" s="1097" t="s">
        <v>53</v>
      </c>
      <c r="B78" s="1075" t="s">
        <v>122</v>
      </c>
      <c r="C78" s="851" t="s">
        <v>123</v>
      </c>
      <c r="D78" s="851" t="s">
        <v>124</v>
      </c>
      <c r="E78" s="1432" t="s">
        <v>213</v>
      </c>
      <c r="F78" s="856">
        <v>2024</v>
      </c>
      <c r="G78" s="1099">
        <v>45335</v>
      </c>
      <c r="H78" s="3">
        <v>200105028</v>
      </c>
      <c r="I78" s="1439" t="s">
        <v>222</v>
      </c>
      <c r="J78" s="856">
        <v>5</v>
      </c>
      <c r="K78" s="3" t="s">
        <v>128</v>
      </c>
      <c r="L78" s="1201"/>
      <c r="M78" s="786">
        <v>462.77</v>
      </c>
      <c r="N78" s="1201"/>
      <c r="O78" s="1205">
        <v>45343</v>
      </c>
      <c r="P78" s="1203"/>
      <c r="Q78" s="3" t="s">
        <v>223</v>
      </c>
      <c r="R78" s="1209"/>
      <c r="S78" s="856" t="s">
        <v>62</v>
      </c>
      <c r="T78" s="1212"/>
      <c r="U78" s="3" t="s">
        <v>130</v>
      </c>
      <c r="V78" s="1212"/>
      <c r="W78" s="762">
        <v>330.3</v>
      </c>
      <c r="X78" s="1213"/>
      <c r="Y78" s="1205">
        <v>45344</v>
      </c>
      <c r="Z78" s="856" t="s">
        <v>62</v>
      </c>
      <c r="AA78" s="1232"/>
      <c r="AB78" s="1099">
        <v>45349</v>
      </c>
      <c r="AC78" s="1099">
        <v>45349</v>
      </c>
      <c r="AD78" s="1176">
        <f>528+246</f>
        <v>774</v>
      </c>
      <c r="AE78" s="1227">
        <f t="shared" si="10"/>
        <v>0.96750000000000003</v>
      </c>
      <c r="AF78" s="1231" t="s">
        <v>131</v>
      </c>
      <c r="AG78" s="1262">
        <v>1</v>
      </c>
      <c r="AH78" s="1076" t="s">
        <v>132</v>
      </c>
      <c r="AI78" s="1248">
        <v>45355</v>
      </c>
      <c r="AJ78" s="1248">
        <v>45356</v>
      </c>
      <c r="AK78" s="1267">
        <f>40654+140000+60274</f>
        <v>240928</v>
      </c>
      <c r="AL78" s="1264">
        <f t="shared" si="11"/>
        <v>0.96371200000000001</v>
      </c>
      <c r="AM78" s="1265" t="s">
        <v>62</v>
      </c>
      <c r="AN78" s="1261">
        <v>1</v>
      </c>
      <c r="AO78" s="1276"/>
      <c r="AP78" s="1277"/>
      <c r="AQ78" s="1276"/>
      <c r="AR78" s="1278"/>
      <c r="AS78" s="1278"/>
    </row>
    <row r="79" spans="1:45" ht="15.6">
      <c r="A79" s="1097" t="s">
        <v>53</v>
      </c>
      <c r="B79" s="1075" t="s">
        <v>122</v>
      </c>
      <c r="C79" s="851" t="s">
        <v>123</v>
      </c>
      <c r="D79" s="851" t="s">
        <v>124</v>
      </c>
      <c r="E79" s="1432" t="s">
        <v>213</v>
      </c>
      <c r="F79" s="856">
        <v>2024</v>
      </c>
      <c r="G79" s="1099">
        <v>45341</v>
      </c>
      <c r="H79" s="3">
        <v>200105019</v>
      </c>
      <c r="I79" s="1437" t="s">
        <v>224</v>
      </c>
      <c r="J79" s="856">
        <v>6</v>
      </c>
      <c r="K79" s="3" t="s">
        <v>128</v>
      </c>
      <c r="L79" s="1201"/>
      <c r="M79" s="786">
        <v>467.51</v>
      </c>
      <c r="N79" s="1201"/>
      <c r="O79" s="1205">
        <v>45343</v>
      </c>
      <c r="P79" s="1203"/>
      <c r="Q79" s="785" t="s">
        <v>225</v>
      </c>
      <c r="R79" s="1209"/>
      <c r="S79" s="856" t="s">
        <v>62</v>
      </c>
      <c r="T79" s="1212"/>
      <c r="U79" s="3" t="s">
        <v>130</v>
      </c>
      <c r="V79" s="1212"/>
      <c r="W79" s="762">
        <v>330.4</v>
      </c>
      <c r="X79" s="1213"/>
      <c r="Y79" s="1205">
        <v>45344</v>
      </c>
      <c r="Z79" s="856" t="s">
        <v>62</v>
      </c>
      <c r="AA79" s="1232"/>
      <c r="AB79" s="1099">
        <v>45349</v>
      </c>
      <c r="AC79" s="1099">
        <v>45350</v>
      </c>
      <c r="AD79" s="1176">
        <f>417+360</f>
        <v>777</v>
      </c>
      <c r="AE79" s="1227">
        <f t="shared" si="10"/>
        <v>0.97124999999999995</v>
      </c>
      <c r="AF79" s="1231" t="s">
        <v>131</v>
      </c>
      <c r="AG79" s="1262">
        <v>1</v>
      </c>
      <c r="AH79" s="1076" t="s">
        <v>132</v>
      </c>
      <c r="AI79" s="1248">
        <v>45357</v>
      </c>
      <c r="AJ79" s="1248">
        <v>45358</v>
      </c>
      <c r="AK79" s="1267">
        <f>27800+125000+89816</f>
        <v>242616</v>
      </c>
      <c r="AL79" s="1264">
        <f t="shared" si="11"/>
        <v>0.97046399999999999</v>
      </c>
      <c r="AM79" s="1265" t="s">
        <v>62</v>
      </c>
      <c r="AN79" s="1261">
        <v>1</v>
      </c>
      <c r="AO79" s="1276"/>
      <c r="AP79" s="1277"/>
      <c r="AQ79" s="1276"/>
      <c r="AR79" s="1278"/>
      <c r="AS79" s="1278"/>
    </row>
    <row r="80" spans="1:45" ht="15.6">
      <c r="A80" s="1097" t="s">
        <v>53</v>
      </c>
      <c r="B80" s="1075" t="s">
        <v>122</v>
      </c>
      <c r="C80" s="851" t="s">
        <v>123</v>
      </c>
      <c r="D80" s="851" t="s">
        <v>124</v>
      </c>
      <c r="E80" s="1432" t="s">
        <v>213</v>
      </c>
      <c r="F80" s="856">
        <v>2024</v>
      </c>
      <c r="G80" s="1099">
        <v>45341</v>
      </c>
      <c r="H80" s="3">
        <v>200105080</v>
      </c>
      <c r="I80" s="1437" t="s">
        <v>226</v>
      </c>
      <c r="J80" s="856">
        <v>7</v>
      </c>
      <c r="K80" s="3" t="s">
        <v>128</v>
      </c>
      <c r="L80" s="1201"/>
      <c r="M80" s="762">
        <v>458.8</v>
      </c>
      <c r="N80" s="1201"/>
      <c r="O80" s="1205">
        <v>45344</v>
      </c>
      <c r="P80" s="1203"/>
      <c r="Q80" s="3" t="s">
        <v>227</v>
      </c>
      <c r="R80" s="1209"/>
      <c r="S80" s="856" t="s">
        <v>62</v>
      </c>
      <c r="T80" s="1212"/>
      <c r="U80" s="3" t="s">
        <v>130</v>
      </c>
      <c r="V80" s="1212"/>
      <c r="W80" s="762">
        <v>330.2</v>
      </c>
      <c r="X80" s="1213"/>
      <c r="Y80" s="1205">
        <v>45345</v>
      </c>
      <c r="Z80" s="856" t="s">
        <v>62</v>
      </c>
      <c r="AA80" s="1232"/>
      <c r="AB80" s="1099">
        <v>45350</v>
      </c>
      <c r="AC80" s="1099">
        <v>45350</v>
      </c>
      <c r="AD80" s="1176">
        <f>132+396+245</f>
        <v>773</v>
      </c>
      <c r="AE80" s="1227">
        <f t="shared" si="10"/>
        <v>0.96625000000000005</v>
      </c>
      <c r="AF80" s="1231" t="s">
        <v>131</v>
      </c>
      <c r="AG80" s="1262">
        <v>1</v>
      </c>
      <c r="AH80" s="1076" t="s">
        <v>132</v>
      </c>
      <c r="AI80" s="1248">
        <v>45358</v>
      </c>
      <c r="AJ80" s="1248">
        <v>45358</v>
      </c>
      <c r="AK80" s="1267">
        <f>48700+157212+35570</f>
        <v>241482</v>
      </c>
      <c r="AL80" s="1264">
        <f t="shared" si="11"/>
        <v>0.96592800000000001</v>
      </c>
      <c r="AM80" s="1265" t="s">
        <v>62</v>
      </c>
      <c r="AN80" s="1261">
        <v>1</v>
      </c>
      <c r="AO80" s="1276"/>
      <c r="AP80" s="1277"/>
      <c r="AQ80" s="1276"/>
      <c r="AR80" s="1278"/>
      <c r="AS80" s="1278"/>
    </row>
    <row r="81" spans="1:45" ht="15.6">
      <c r="A81" s="1097" t="s">
        <v>53</v>
      </c>
      <c r="B81" s="1075" t="s">
        <v>122</v>
      </c>
      <c r="C81" s="851" t="s">
        <v>123</v>
      </c>
      <c r="D81" s="851" t="s">
        <v>124</v>
      </c>
      <c r="E81" s="1432" t="s">
        <v>213</v>
      </c>
      <c r="F81" s="856">
        <v>2024</v>
      </c>
      <c r="G81" s="1099">
        <v>45341</v>
      </c>
      <c r="H81" s="3">
        <v>200105081</v>
      </c>
      <c r="I81" s="1437" t="s">
        <v>228</v>
      </c>
      <c r="J81" s="856">
        <v>8</v>
      </c>
      <c r="K81" s="3" t="s">
        <v>128</v>
      </c>
      <c r="L81" s="1201"/>
      <c r="M81" s="762">
        <v>471.74</v>
      </c>
      <c r="N81" s="1201"/>
      <c r="O81" s="1205">
        <v>45344</v>
      </c>
      <c r="P81" s="1203"/>
      <c r="Q81" s="3" t="s">
        <v>229</v>
      </c>
      <c r="R81" s="1209"/>
      <c r="S81" s="856" t="s">
        <v>62</v>
      </c>
      <c r="T81" s="1212"/>
      <c r="U81" s="3" t="s">
        <v>130</v>
      </c>
      <c r="V81" s="1212"/>
      <c r="W81" s="762">
        <v>330.2</v>
      </c>
      <c r="X81" s="1213"/>
      <c r="Y81" s="1205">
        <v>45345</v>
      </c>
      <c r="Z81" s="856" t="s">
        <v>62</v>
      </c>
      <c r="AA81" s="1232"/>
      <c r="AB81" s="1099">
        <v>45350</v>
      </c>
      <c r="AC81" s="1099">
        <v>45351</v>
      </c>
      <c r="AD81" s="1176">
        <f>418+362+1</f>
        <v>781</v>
      </c>
      <c r="AE81" s="1227">
        <f t="shared" si="10"/>
        <v>0.97624999999999995</v>
      </c>
      <c r="AF81" s="1231" t="s">
        <v>131</v>
      </c>
      <c r="AG81" s="1262">
        <v>1</v>
      </c>
      <c r="AH81" s="1076" t="s">
        <v>132</v>
      </c>
      <c r="AI81" s="1248">
        <v>45358</v>
      </c>
      <c r="AJ81" s="1248">
        <v>45359</v>
      </c>
      <c r="AK81" s="1267">
        <f>87000+130601+26223</f>
        <v>243824</v>
      </c>
      <c r="AL81" s="1264">
        <f t="shared" si="11"/>
        <v>0.97529600000000005</v>
      </c>
      <c r="AM81" s="1265" t="s">
        <v>62</v>
      </c>
      <c r="AN81" s="1261">
        <v>1</v>
      </c>
      <c r="AO81" s="1276"/>
      <c r="AP81" s="1277"/>
      <c r="AQ81" s="1276"/>
      <c r="AR81" s="1278"/>
      <c r="AS81" s="1278"/>
    </row>
    <row r="82" spans="1:45" ht="15.6">
      <c r="A82" s="1097" t="s">
        <v>53</v>
      </c>
      <c r="B82" s="1075" t="s">
        <v>122</v>
      </c>
      <c r="C82" s="851" t="s">
        <v>123</v>
      </c>
      <c r="D82" s="851" t="s">
        <v>124</v>
      </c>
      <c r="E82" s="1432" t="s">
        <v>213</v>
      </c>
      <c r="F82" s="856">
        <v>2024</v>
      </c>
      <c r="G82" s="1099">
        <v>45341</v>
      </c>
      <c r="H82" s="3">
        <v>200105082</v>
      </c>
      <c r="I82" s="1437" t="s">
        <v>230</v>
      </c>
      <c r="J82" s="856">
        <v>9</v>
      </c>
      <c r="K82" s="3" t="s">
        <v>128</v>
      </c>
      <c r="L82" s="1201"/>
      <c r="M82" s="762">
        <v>459.8</v>
      </c>
      <c r="N82" s="1201"/>
      <c r="O82" s="1205">
        <v>45348</v>
      </c>
      <c r="P82" s="1203"/>
      <c r="Q82" s="3" t="s">
        <v>231</v>
      </c>
      <c r="R82" s="1209"/>
      <c r="S82" s="856" t="s">
        <v>62</v>
      </c>
      <c r="T82" s="1212"/>
      <c r="U82" s="3" t="s">
        <v>130</v>
      </c>
      <c r="V82" s="1212"/>
      <c r="W82" s="762">
        <v>329.9</v>
      </c>
      <c r="X82" s="1213"/>
      <c r="Y82" s="1205">
        <v>45349</v>
      </c>
      <c r="Z82" s="856" t="s">
        <v>62</v>
      </c>
      <c r="AA82" s="1232"/>
      <c r="AB82" s="1099">
        <v>45351</v>
      </c>
      <c r="AC82" s="1099">
        <v>45351</v>
      </c>
      <c r="AD82" s="1176">
        <f>258+515</f>
        <v>773</v>
      </c>
      <c r="AE82" s="1227">
        <f t="shared" si="10"/>
        <v>0.96625000000000005</v>
      </c>
      <c r="AF82" s="1231" t="s">
        <v>131</v>
      </c>
      <c r="AG82" s="1262">
        <v>1</v>
      </c>
      <c r="AH82" s="1076" t="s">
        <v>132</v>
      </c>
      <c r="AI82" s="1248">
        <v>45356</v>
      </c>
      <c r="AJ82" s="1248">
        <v>45356</v>
      </c>
      <c r="AK82" s="1267">
        <f>82500+145783+13203</f>
        <v>241486</v>
      </c>
      <c r="AL82" s="1264">
        <f t="shared" si="11"/>
        <v>0.96594400000000002</v>
      </c>
      <c r="AM82" s="1265" t="s">
        <v>62</v>
      </c>
      <c r="AN82" s="1261">
        <v>1</v>
      </c>
      <c r="AO82" s="1276"/>
      <c r="AP82" s="1277"/>
      <c r="AQ82" s="1276"/>
      <c r="AR82" s="1278"/>
      <c r="AS82" s="1278"/>
    </row>
    <row r="83" spans="1:45" ht="15.6">
      <c r="A83" s="1097" t="s">
        <v>53</v>
      </c>
      <c r="B83" s="1075" t="s">
        <v>122</v>
      </c>
      <c r="C83" s="851" t="s">
        <v>123</v>
      </c>
      <c r="D83" s="851" t="s">
        <v>124</v>
      </c>
      <c r="E83" s="1432" t="s">
        <v>213</v>
      </c>
      <c r="F83" s="856">
        <v>2024</v>
      </c>
      <c r="G83" s="1099">
        <v>45344</v>
      </c>
      <c r="H83" s="3">
        <v>200105129</v>
      </c>
      <c r="I83" s="1441" t="s">
        <v>232</v>
      </c>
      <c r="J83" s="856">
        <v>10</v>
      </c>
      <c r="K83" s="3" t="s">
        <v>128</v>
      </c>
      <c r="L83" s="1201"/>
      <c r="M83" s="858">
        <v>468.2</v>
      </c>
      <c r="N83" s="1201"/>
      <c r="O83" s="1205">
        <v>45348</v>
      </c>
      <c r="P83" s="1203"/>
      <c r="Q83" s="3" t="s">
        <v>233</v>
      </c>
      <c r="R83" s="1209"/>
      <c r="S83" s="856" t="s">
        <v>62</v>
      </c>
      <c r="T83" s="1212"/>
      <c r="U83" s="3" t="s">
        <v>130</v>
      </c>
      <c r="V83" s="1212"/>
      <c r="W83" s="762">
        <v>329.8</v>
      </c>
      <c r="X83" s="1213"/>
      <c r="Y83" s="1205">
        <v>45349</v>
      </c>
      <c r="Z83" s="856" t="s">
        <v>62</v>
      </c>
      <c r="AA83" s="1232"/>
      <c r="AB83" s="1099">
        <v>45351</v>
      </c>
      <c r="AC83" s="1099">
        <v>45351</v>
      </c>
      <c r="AD83" s="1176">
        <f>102+676</f>
        <v>778</v>
      </c>
      <c r="AE83" s="1227">
        <f t="shared" si="10"/>
        <v>0.97250000000000003</v>
      </c>
      <c r="AF83" s="1231" t="s">
        <v>131</v>
      </c>
      <c r="AG83" s="1262">
        <v>1</v>
      </c>
      <c r="AH83" s="1076" t="s">
        <v>132</v>
      </c>
      <c r="AI83" s="1248">
        <v>45356</v>
      </c>
      <c r="AJ83" s="1248">
        <v>45357</v>
      </c>
      <c r="AK83" s="1267">
        <f>92201+135100+15369</f>
        <v>242670</v>
      </c>
      <c r="AL83" s="1264">
        <f t="shared" si="11"/>
        <v>0.97067999999999999</v>
      </c>
      <c r="AM83" s="1265" t="s">
        <v>62</v>
      </c>
      <c r="AN83" s="1261">
        <v>1</v>
      </c>
      <c r="AO83" s="1276"/>
      <c r="AP83" s="1277"/>
      <c r="AQ83" s="1276"/>
      <c r="AR83" s="1278"/>
      <c r="AS83" s="1278"/>
    </row>
    <row r="84" spans="1:45" ht="15.6">
      <c r="A84" s="1097" t="s">
        <v>53</v>
      </c>
      <c r="B84" s="1075" t="s">
        <v>122</v>
      </c>
      <c r="C84" s="851" t="s">
        <v>123</v>
      </c>
      <c r="D84" s="851" t="s">
        <v>124</v>
      </c>
      <c r="E84" s="1432" t="s">
        <v>213</v>
      </c>
      <c r="F84" s="856">
        <v>2024</v>
      </c>
      <c r="G84" s="1099">
        <v>45344</v>
      </c>
      <c r="H84" s="3">
        <v>200105130</v>
      </c>
      <c r="I84" s="1441" t="s">
        <v>234</v>
      </c>
      <c r="J84" s="856">
        <v>11</v>
      </c>
      <c r="K84" s="3" t="s">
        <v>128</v>
      </c>
      <c r="L84" s="1201"/>
      <c r="M84" s="762">
        <v>461.5</v>
      </c>
      <c r="N84" s="1201"/>
      <c r="O84" s="1205">
        <v>45348</v>
      </c>
      <c r="P84" s="1203"/>
      <c r="Q84" s="3" t="s">
        <v>235</v>
      </c>
      <c r="R84" s="1209"/>
      <c r="S84" s="856" t="s">
        <v>62</v>
      </c>
      <c r="T84" s="1212"/>
      <c r="U84" s="3" t="s">
        <v>130</v>
      </c>
      <c r="V84" s="1212"/>
      <c r="W84" s="762">
        <v>329.9</v>
      </c>
      <c r="X84" s="1213"/>
      <c r="Y84" s="1205">
        <v>45349</v>
      </c>
      <c r="Z84" s="856" t="s">
        <v>62</v>
      </c>
      <c r="AA84" s="1232"/>
      <c r="AB84" s="1099">
        <v>45352</v>
      </c>
      <c r="AC84" s="1099">
        <v>45352</v>
      </c>
      <c r="AD84" s="1176">
        <f>86+544+143</f>
        <v>773</v>
      </c>
      <c r="AE84" s="1227">
        <f t="shared" si="10"/>
        <v>0.96625000000000005</v>
      </c>
      <c r="AF84" s="1231" t="s">
        <v>131</v>
      </c>
      <c r="AG84" s="1262">
        <v>1</v>
      </c>
      <c r="AH84" s="1076" t="s">
        <v>132</v>
      </c>
      <c r="AI84" s="1248">
        <v>45359</v>
      </c>
      <c r="AJ84" s="1248">
        <v>45360</v>
      </c>
      <c r="AK84" s="1267">
        <f>78940+118000+44596</f>
        <v>241536</v>
      </c>
      <c r="AL84" s="1264">
        <f t="shared" si="11"/>
        <v>0.966144</v>
      </c>
      <c r="AM84" s="1265" t="s">
        <v>62</v>
      </c>
      <c r="AN84" s="1261">
        <v>1</v>
      </c>
      <c r="AO84" s="1276"/>
      <c r="AP84" s="1277"/>
      <c r="AQ84" s="1276"/>
      <c r="AR84" s="1278"/>
      <c r="AS84" s="1278"/>
    </row>
    <row r="85" spans="1:45" ht="15.6">
      <c r="A85" s="1097" t="s">
        <v>53</v>
      </c>
      <c r="B85" s="1075" t="s">
        <v>122</v>
      </c>
      <c r="C85" s="851" t="s">
        <v>123</v>
      </c>
      <c r="D85" s="851" t="s">
        <v>124</v>
      </c>
      <c r="E85" s="1432" t="s">
        <v>213</v>
      </c>
      <c r="F85" s="856">
        <v>2024</v>
      </c>
      <c r="G85" s="1099">
        <v>45344</v>
      </c>
      <c r="H85" s="3">
        <v>200105131</v>
      </c>
      <c r="I85" s="1441" t="s">
        <v>236</v>
      </c>
      <c r="J85" s="856">
        <v>12</v>
      </c>
      <c r="K85" s="3" t="s">
        <v>128</v>
      </c>
      <c r="L85" s="1201"/>
      <c r="M85" s="786">
        <v>455.4</v>
      </c>
      <c r="N85" s="1201"/>
      <c r="O85" s="1205">
        <v>45348</v>
      </c>
      <c r="P85" s="1203"/>
      <c r="Q85" s="3" t="s">
        <v>233</v>
      </c>
      <c r="R85" s="1209"/>
      <c r="S85" s="856" t="s">
        <v>62</v>
      </c>
      <c r="T85" s="1212"/>
      <c r="U85" s="3" t="s">
        <v>130</v>
      </c>
      <c r="V85" s="1212"/>
      <c r="W85" s="786">
        <v>329.9</v>
      </c>
      <c r="X85" s="1213"/>
      <c r="Y85" s="1205">
        <v>45349</v>
      </c>
      <c r="Z85" s="856" t="s">
        <v>62</v>
      </c>
      <c r="AA85" s="1232"/>
      <c r="AB85" s="1099">
        <v>45359</v>
      </c>
      <c r="AC85" s="1099">
        <v>45360</v>
      </c>
      <c r="AD85" s="1176">
        <f>116+330+132+188</f>
        <v>766</v>
      </c>
      <c r="AE85" s="1227">
        <f t="shared" si="10"/>
        <v>0.95750000000000002</v>
      </c>
      <c r="AF85" s="1231" t="s">
        <v>131</v>
      </c>
      <c r="AG85" s="1262">
        <v>1</v>
      </c>
      <c r="AH85" s="1076" t="s">
        <v>132</v>
      </c>
      <c r="AI85" s="1248">
        <v>45360</v>
      </c>
      <c r="AJ85" s="1248">
        <v>45363</v>
      </c>
      <c r="AK85" s="1285">
        <f>32750+142042+64197</f>
        <v>238989</v>
      </c>
      <c r="AL85" s="1264">
        <f t="shared" si="11"/>
        <v>0.95595600000000003</v>
      </c>
      <c r="AM85" s="1265" t="s">
        <v>62</v>
      </c>
      <c r="AN85" s="1261">
        <v>1</v>
      </c>
      <c r="AO85" s="1276"/>
      <c r="AP85" s="1277"/>
      <c r="AQ85" s="1276"/>
      <c r="AR85" s="1278"/>
      <c r="AS85" s="1278"/>
    </row>
    <row r="86" spans="1:45" ht="15.6">
      <c r="A86" s="1097" t="s">
        <v>53</v>
      </c>
      <c r="B86" s="1075" t="s">
        <v>122</v>
      </c>
      <c r="C86" s="851" t="s">
        <v>123</v>
      </c>
      <c r="D86" s="851" t="s">
        <v>124</v>
      </c>
      <c r="E86" s="1432" t="s">
        <v>213</v>
      </c>
      <c r="F86" s="856">
        <v>2024</v>
      </c>
      <c r="G86" s="1099">
        <v>45344</v>
      </c>
      <c r="H86" s="3">
        <v>200105132</v>
      </c>
      <c r="I86" s="1441" t="s">
        <v>237</v>
      </c>
      <c r="J86" s="856">
        <v>13</v>
      </c>
      <c r="K86" s="3" t="s">
        <v>128</v>
      </c>
      <c r="L86" s="1201"/>
      <c r="M86" s="786">
        <v>467.17</v>
      </c>
      <c r="N86" s="1201"/>
      <c r="O86" s="1205">
        <v>45348</v>
      </c>
      <c r="P86" s="1203"/>
      <c r="Q86" s="785" t="s">
        <v>238</v>
      </c>
      <c r="R86" s="1209"/>
      <c r="S86" s="856" t="s">
        <v>62</v>
      </c>
      <c r="T86" s="1212"/>
      <c r="U86" s="3" t="s">
        <v>130</v>
      </c>
      <c r="V86" s="1212"/>
      <c r="W86" s="786">
        <v>330</v>
      </c>
      <c r="X86" s="1213"/>
      <c r="Y86" s="1205">
        <v>45349</v>
      </c>
      <c r="Z86" s="856" t="s">
        <v>62</v>
      </c>
      <c r="AA86" s="1232"/>
      <c r="AB86" s="1099">
        <v>45360</v>
      </c>
      <c r="AC86" s="1099">
        <v>45363</v>
      </c>
      <c r="AD86" s="1176">
        <f>92+334+351</f>
        <v>777</v>
      </c>
      <c r="AE86" s="1227">
        <f t="shared" si="10"/>
        <v>0.97124999999999995</v>
      </c>
      <c r="AF86" s="1231" t="s">
        <v>131</v>
      </c>
      <c r="AG86" s="1262">
        <v>1</v>
      </c>
      <c r="AH86" s="1076" t="s">
        <v>132</v>
      </c>
      <c r="AI86" s="1248">
        <v>45369</v>
      </c>
      <c r="AJ86" s="1248">
        <v>45370</v>
      </c>
      <c r="AK86" s="1285">
        <f>30600+155176+57106</f>
        <v>242882</v>
      </c>
      <c r="AL86" s="1264">
        <f t="shared" si="11"/>
        <v>0.97152799999999995</v>
      </c>
      <c r="AM86" s="1265" t="s">
        <v>62</v>
      </c>
      <c r="AN86" s="1261">
        <v>1</v>
      </c>
      <c r="AO86" s="1276"/>
      <c r="AP86" s="1277"/>
      <c r="AQ86" s="1276"/>
      <c r="AR86" s="1278"/>
      <c r="AS86" s="1278"/>
    </row>
    <row r="87" spans="1:45" ht="15.6">
      <c r="A87" s="1097" t="s">
        <v>53</v>
      </c>
      <c r="B87" s="1075" t="s">
        <v>122</v>
      </c>
      <c r="C87" s="851" t="s">
        <v>123</v>
      </c>
      <c r="D87" s="851" t="s">
        <v>124</v>
      </c>
      <c r="E87" s="1432" t="s">
        <v>213</v>
      </c>
      <c r="F87" s="856">
        <v>2024</v>
      </c>
      <c r="G87" s="1099">
        <v>45344</v>
      </c>
      <c r="H87" s="1192">
        <v>200105133</v>
      </c>
      <c r="I87" s="1442" t="s">
        <v>239</v>
      </c>
      <c r="J87" s="856">
        <v>14</v>
      </c>
      <c r="K87" s="3" t="s">
        <v>128</v>
      </c>
      <c r="L87" s="1201"/>
      <c r="M87" s="786">
        <v>462</v>
      </c>
      <c r="N87" s="1201"/>
      <c r="O87" s="1205">
        <v>45356</v>
      </c>
      <c r="P87" s="1203"/>
      <c r="Q87" s="3" t="s">
        <v>240</v>
      </c>
      <c r="R87" s="1209"/>
      <c r="S87" s="856" t="s">
        <v>62</v>
      </c>
      <c r="T87" s="1212"/>
      <c r="U87" s="3" t="s">
        <v>130</v>
      </c>
      <c r="V87" s="1212"/>
      <c r="W87" s="762">
        <v>330.2</v>
      </c>
      <c r="X87" s="1213"/>
      <c r="Y87" s="1205">
        <v>45357</v>
      </c>
      <c r="Z87" s="856" t="s">
        <v>62</v>
      </c>
      <c r="AA87" s="1232"/>
      <c r="AB87" s="1099">
        <v>45363</v>
      </c>
      <c r="AC87" s="1099">
        <v>45363</v>
      </c>
      <c r="AD87" s="1176">
        <f>660+113</f>
        <v>773</v>
      </c>
      <c r="AE87" s="1227">
        <f t="shared" si="10"/>
        <v>0.96625000000000005</v>
      </c>
      <c r="AF87" s="1231" t="s">
        <v>131</v>
      </c>
      <c r="AG87" s="1262">
        <v>1</v>
      </c>
      <c r="AH87" s="1076" t="s">
        <v>132</v>
      </c>
      <c r="AI87" s="1248">
        <v>45366</v>
      </c>
      <c r="AJ87" s="1248">
        <v>45369</v>
      </c>
      <c r="AK87" s="1285">
        <f>20226+61000+2500+76500+81043</f>
        <v>241269</v>
      </c>
      <c r="AL87" s="1264">
        <f t="shared" si="11"/>
        <v>0.96507600000000004</v>
      </c>
      <c r="AM87" s="1265" t="s">
        <v>62</v>
      </c>
      <c r="AN87" s="1261">
        <v>1</v>
      </c>
      <c r="AO87" s="1276"/>
      <c r="AP87" s="1277"/>
      <c r="AQ87" s="1276"/>
      <c r="AR87" s="1278"/>
      <c r="AS87" s="1278"/>
    </row>
    <row r="88" spans="1:45" ht="15.6">
      <c r="A88" s="1097" t="s">
        <v>53</v>
      </c>
      <c r="B88" s="1075" t="s">
        <v>122</v>
      </c>
      <c r="C88" s="851" t="s">
        <v>123</v>
      </c>
      <c r="D88" s="851" t="s">
        <v>124</v>
      </c>
      <c r="E88" s="1432" t="s">
        <v>213</v>
      </c>
      <c r="F88" s="856">
        <v>2024</v>
      </c>
      <c r="G88" s="1099">
        <v>45355</v>
      </c>
      <c r="H88" s="1192">
        <v>200105056</v>
      </c>
      <c r="I88" s="1440" t="s">
        <v>241</v>
      </c>
      <c r="J88" s="856">
        <v>15</v>
      </c>
      <c r="K88" s="3" t="s">
        <v>128</v>
      </c>
      <c r="L88" s="1201"/>
      <c r="M88" s="762">
        <v>465.3</v>
      </c>
      <c r="N88" s="1201"/>
      <c r="O88" s="1205">
        <v>45356</v>
      </c>
      <c r="P88" s="1203"/>
      <c r="Q88" s="3" t="s">
        <v>242</v>
      </c>
      <c r="R88" s="1209"/>
      <c r="S88" s="856" t="s">
        <v>62</v>
      </c>
      <c r="T88" s="1212"/>
      <c r="U88" s="3" t="s">
        <v>130</v>
      </c>
      <c r="V88" s="1212"/>
      <c r="W88" s="762">
        <v>330.3</v>
      </c>
      <c r="X88" s="1213"/>
      <c r="Y88" s="1205">
        <v>45357</v>
      </c>
      <c r="Z88" s="856" t="s">
        <v>62</v>
      </c>
      <c r="AA88" s="1232"/>
      <c r="AB88" s="1099">
        <v>45363</v>
      </c>
      <c r="AC88" s="1099">
        <v>45364</v>
      </c>
      <c r="AD88" s="1176">
        <f>350+425</f>
        <v>775</v>
      </c>
      <c r="AE88" s="1227">
        <f t="shared" si="10"/>
        <v>0.96875</v>
      </c>
      <c r="AF88" s="1231" t="s">
        <v>131</v>
      </c>
      <c r="AG88" s="1262">
        <v>1</v>
      </c>
      <c r="AH88" s="1076" t="s">
        <v>162</v>
      </c>
      <c r="AI88" s="1248">
        <v>45370</v>
      </c>
      <c r="AJ88" s="1248">
        <v>45371</v>
      </c>
      <c r="AK88" s="1285">
        <f>30000+91740+90852+28700</f>
        <v>241292</v>
      </c>
      <c r="AL88" s="1264">
        <f t="shared" si="11"/>
        <v>0.96516800000000003</v>
      </c>
      <c r="AM88" s="1265" t="s">
        <v>62</v>
      </c>
      <c r="AN88" s="1261">
        <v>1</v>
      </c>
      <c r="AO88" s="1276"/>
      <c r="AP88" s="1277"/>
      <c r="AQ88" s="1276"/>
      <c r="AR88" s="1278"/>
      <c r="AS88" s="1278"/>
    </row>
    <row r="89" spans="1:45" ht="15.6">
      <c r="A89" s="1097" t="s">
        <v>53</v>
      </c>
      <c r="B89" s="1075" t="s">
        <v>122</v>
      </c>
      <c r="C89" s="851" t="s">
        <v>123</v>
      </c>
      <c r="D89" s="851" t="s">
        <v>124</v>
      </c>
      <c r="E89" s="1432" t="s">
        <v>213</v>
      </c>
      <c r="F89" s="856">
        <v>2024</v>
      </c>
      <c r="G89" s="1099">
        <v>45355</v>
      </c>
      <c r="H89" s="1192">
        <v>200105057</v>
      </c>
      <c r="I89" s="1440" t="s">
        <v>243</v>
      </c>
      <c r="J89" s="856">
        <v>16</v>
      </c>
      <c r="K89" s="3" t="s">
        <v>128</v>
      </c>
      <c r="L89" s="1201"/>
      <c r="M89" s="762">
        <v>466.2</v>
      </c>
      <c r="N89" s="1201"/>
      <c r="O89" s="1205">
        <v>45356</v>
      </c>
      <c r="P89" s="1203"/>
      <c r="Q89" s="3" t="s">
        <v>244</v>
      </c>
      <c r="R89" s="1209"/>
      <c r="S89" s="856" t="s">
        <v>62</v>
      </c>
      <c r="T89" s="1212"/>
      <c r="U89" s="3" t="s">
        <v>130</v>
      </c>
      <c r="V89" s="1212"/>
      <c r="W89" s="762">
        <v>330.1</v>
      </c>
      <c r="X89" s="1213"/>
      <c r="Y89" s="1205">
        <v>45357</v>
      </c>
      <c r="Z89" s="856" t="s">
        <v>62</v>
      </c>
      <c r="AA89" s="1232"/>
      <c r="AB89" s="1099">
        <v>45364</v>
      </c>
      <c r="AC89" s="1099">
        <v>45364</v>
      </c>
      <c r="AD89" s="1176">
        <f>66+564+145</f>
        <v>775</v>
      </c>
      <c r="AE89" s="1227">
        <f t="shared" si="10"/>
        <v>0.96875</v>
      </c>
      <c r="AF89" s="1231" t="s">
        <v>131</v>
      </c>
      <c r="AG89" s="1262">
        <v>1</v>
      </c>
      <c r="AH89" s="1076" t="s">
        <v>162</v>
      </c>
      <c r="AI89" s="1248">
        <v>45370</v>
      </c>
      <c r="AJ89" s="1248">
        <v>45372</v>
      </c>
      <c r="AK89" s="1285">
        <f>54000+64242+100119+23204</f>
        <v>241565</v>
      </c>
      <c r="AL89" s="1264">
        <f t="shared" si="11"/>
        <v>0.96626000000000001</v>
      </c>
      <c r="AM89" s="1265" t="s">
        <v>62</v>
      </c>
      <c r="AN89" s="1261">
        <v>1</v>
      </c>
      <c r="AO89" s="1276"/>
      <c r="AP89" s="1277"/>
      <c r="AQ89" s="1276"/>
      <c r="AR89" s="1278"/>
      <c r="AS89" s="1278"/>
    </row>
    <row r="90" spans="1:45" ht="15.6">
      <c r="A90" s="1097" t="s">
        <v>53</v>
      </c>
      <c r="B90" s="1075" t="s">
        <v>122</v>
      </c>
      <c r="C90" s="851" t="s">
        <v>123</v>
      </c>
      <c r="D90" s="851" t="s">
        <v>124</v>
      </c>
      <c r="E90" s="1432" t="s">
        <v>213</v>
      </c>
      <c r="F90" s="856">
        <v>2024</v>
      </c>
      <c r="G90" s="1099">
        <v>45355</v>
      </c>
      <c r="H90" s="1192">
        <v>200105058</v>
      </c>
      <c r="I90" s="1440" t="s">
        <v>245</v>
      </c>
      <c r="J90" s="856">
        <v>17</v>
      </c>
      <c r="K90" s="3" t="s">
        <v>128</v>
      </c>
      <c r="L90" s="1201"/>
      <c r="M90" s="786">
        <v>466.93</v>
      </c>
      <c r="N90" s="1201"/>
      <c r="O90" s="1205">
        <v>45356</v>
      </c>
      <c r="P90" s="1203"/>
      <c r="Q90" s="3" t="s">
        <v>246</v>
      </c>
      <c r="R90" s="1209"/>
      <c r="S90" s="856" t="s">
        <v>62</v>
      </c>
      <c r="T90" s="1212"/>
      <c r="U90" s="3" t="s">
        <v>130</v>
      </c>
      <c r="V90" s="1212"/>
      <c r="W90" s="762">
        <v>330.2</v>
      </c>
      <c r="X90" s="1213"/>
      <c r="Y90" s="1205">
        <v>45358</v>
      </c>
      <c r="Z90" s="856" t="s">
        <v>62</v>
      </c>
      <c r="AA90" s="1232"/>
      <c r="AB90" s="1099">
        <v>45364</v>
      </c>
      <c r="AC90" s="1099">
        <v>45365</v>
      </c>
      <c r="AD90" s="1176">
        <f>488+289</f>
        <v>777</v>
      </c>
      <c r="AE90" s="1227">
        <f t="shared" si="10"/>
        <v>0.97124999999999995</v>
      </c>
      <c r="AF90" s="1283" t="s">
        <v>131</v>
      </c>
      <c r="AG90" s="1286">
        <v>1</v>
      </c>
      <c r="AH90" s="1076" t="s">
        <v>162</v>
      </c>
      <c r="AI90" s="1248">
        <v>45372</v>
      </c>
      <c r="AJ90" s="1248">
        <v>45372</v>
      </c>
      <c r="AK90" s="1285">
        <f>95114+89944+57000</f>
        <v>242058</v>
      </c>
      <c r="AL90" s="1264">
        <f t="shared" si="11"/>
        <v>0.96823199999999998</v>
      </c>
      <c r="AM90" s="1265" t="s">
        <v>62</v>
      </c>
      <c r="AN90" s="1261">
        <v>1</v>
      </c>
      <c r="AO90" s="1276"/>
      <c r="AP90" s="1277"/>
      <c r="AQ90" s="1276"/>
      <c r="AR90" s="1278"/>
      <c r="AS90" s="1278"/>
    </row>
    <row r="91" spans="1:45" ht="15.6">
      <c r="A91" s="1097" t="s">
        <v>53</v>
      </c>
      <c r="B91" s="1075" t="s">
        <v>122</v>
      </c>
      <c r="C91" s="851" t="s">
        <v>123</v>
      </c>
      <c r="D91" s="851" t="s">
        <v>124</v>
      </c>
      <c r="E91" s="1432" t="s">
        <v>213</v>
      </c>
      <c r="F91" s="856">
        <v>2024</v>
      </c>
      <c r="G91" s="1099">
        <v>45355</v>
      </c>
      <c r="H91" s="1192">
        <v>200105059</v>
      </c>
      <c r="I91" s="1440" t="s">
        <v>247</v>
      </c>
      <c r="J91" s="856">
        <v>18</v>
      </c>
      <c r="K91" s="3" t="s">
        <v>128</v>
      </c>
      <c r="L91" s="1201"/>
      <c r="M91" s="786">
        <v>461.2</v>
      </c>
      <c r="N91" s="1201"/>
      <c r="O91" s="1205">
        <v>45359</v>
      </c>
      <c r="P91" s="1203"/>
      <c r="Q91" s="3" t="s">
        <v>248</v>
      </c>
      <c r="R91" s="1209"/>
      <c r="S91" s="856" t="s">
        <v>62</v>
      </c>
      <c r="T91" s="1212"/>
      <c r="U91" s="3" t="s">
        <v>130</v>
      </c>
      <c r="V91" s="1212"/>
      <c r="W91" s="762">
        <v>330.2</v>
      </c>
      <c r="X91" s="1213"/>
      <c r="Y91" s="1205">
        <v>45358</v>
      </c>
      <c r="Z91" s="856" t="s">
        <v>62</v>
      </c>
      <c r="AA91" s="1232"/>
      <c r="AB91" s="1099">
        <v>45365</v>
      </c>
      <c r="AC91" s="1099">
        <v>45365</v>
      </c>
      <c r="AD91" s="1176">
        <f>380+393</f>
        <v>773</v>
      </c>
      <c r="AE91" s="1227">
        <f t="shared" si="10"/>
        <v>0.96625000000000005</v>
      </c>
      <c r="AF91" s="1283" t="s">
        <v>131</v>
      </c>
      <c r="AG91" s="1286">
        <v>1</v>
      </c>
      <c r="AH91" s="1076" t="s">
        <v>162</v>
      </c>
      <c r="AI91" s="1248">
        <v>45372</v>
      </c>
      <c r="AJ91" s="1248">
        <v>45373</v>
      </c>
      <c r="AK91" s="1285">
        <f>4700+82500+75300+78351</f>
        <v>240851</v>
      </c>
      <c r="AL91" s="1264">
        <f t="shared" si="11"/>
        <v>0.96340400000000004</v>
      </c>
      <c r="AM91" s="1265" t="s">
        <v>62</v>
      </c>
      <c r="AN91" s="1261">
        <v>1</v>
      </c>
      <c r="AO91" s="1276"/>
      <c r="AP91" s="1277"/>
      <c r="AQ91" s="1276"/>
      <c r="AR91" s="1278"/>
      <c r="AS91" s="1278"/>
    </row>
    <row r="92" spans="1:45" ht="15.6">
      <c r="A92" s="1097" t="s">
        <v>53</v>
      </c>
      <c r="B92" s="1075" t="s">
        <v>122</v>
      </c>
      <c r="C92" s="851" t="s">
        <v>123</v>
      </c>
      <c r="D92" s="851" t="s">
        <v>124</v>
      </c>
      <c r="E92" s="1432" t="s">
        <v>213</v>
      </c>
      <c r="F92" s="856">
        <v>2024</v>
      </c>
      <c r="G92" s="1099">
        <v>45355</v>
      </c>
      <c r="H92" s="1192">
        <v>200105240</v>
      </c>
      <c r="I92" s="1440" t="s">
        <v>249</v>
      </c>
      <c r="J92" s="856">
        <v>19</v>
      </c>
      <c r="K92" s="3" t="s">
        <v>128</v>
      </c>
      <c r="L92" s="1201"/>
      <c r="M92" s="786">
        <v>464.5</v>
      </c>
      <c r="N92" s="1201"/>
      <c r="O92" s="1205">
        <v>45359</v>
      </c>
      <c r="P92" s="1203"/>
      <c r="Q92" s="3" t="s">
        <v>250</v>
      </c>
      <c r="R92" s="1209"/>
      <c r="S92" s="856" t="s">
        <v>62</v>
      </c>
      <c r="T92" s="1212"/>
      <c r="U92" s="3" t="s">
        <v>130</v>
      </c>
      <c r="V92" s="1212"/>
      <c r="W92" s="762">
        <v>330.2</v>
      </c>
      <c r="X92" s="1213"/>
      <c r="Y92" s="1205">
        <v>45358</v>
      </c>
      <c r="Z92" s="856" t="s">
        <v>62</v>
      </c>
      <c r="AA92" s="1232"/>
      <c r="AB92" s="1099">
        <v>45365</v>
      </c>
      <c r="AC92" s="1099">
        <v>45365</v>
      </c>
      <c r="AD92" s="1176">
        <f>234+541</f>
        <v>775</v>
      </c>
      <c r="AE92" s="1227">
        <f t="shared" si="10"/>
        <v>0.96875</v>
      </c>
      <c r="AF92" s="1283" t="s">
        <v>131</v>
      </c>
      <c r="AG92" s="1286">
        <v>1</v>
      </c>
      <c r="AH92" s="1076" t="s">
        <v>132</v>
      </c>
      <c r="AI92" s="1248">
        <v>45373</v>
      </c>
      <c r="AJ92" s="1248">
        <v>45373</v>
      </c>
      <c r="AK92" s="1285">
        <f>82000+160446</f>
        <v>242446</v>
      </c>
      <c r="AL92" s="1264">
        <f t="shared" si="11"/>
        <v>0.96978399999999998</v>
      </c>
      <c r="AM92" s="1265" t="s">
        <v>62</v>
      </c>
      <c r="AN92" s="1261">
        <v>1</v>
      </c>
      <c r="AO92" s="1276"/>
      <c r="AP92" s="1277"/>
      <c r="AQ92" s="1276"/>
      <c r="AR92" s="1278"/>
      <c r="AS92" s="1278"/>
    </row>
    <row r="93" spans="1:45" ht="15.6">
      <c r="A93" s="1097" t="s">
        <v>53</v>
      </c>
      <c r="B93" s="1075" t="s">
        <v>122</v>
      </c>
      <c r="C93" s="851" t="s">
        <v>123</v>
      </c>
      <c r="D93" s="851" t="s">
        <v>124</v>
      </c>
      <c r="E93" s="1432" t="s">
        <v>213</v>
      </c>
      <c r="F93" s="856">
        <v>2024</v>
      </c>
      <c r="G93" s="1099">
        <v>45358</v>
      </c>
      <c r="H93" s="3">
        <v>200105279</v>
      </c>
      <c r="I93" s="1443" t="s">
        <v>251</v>
      </c>
      <c r="J93" s="856">
        <v>20</v>
      </c>
      <c r="K93" s="3" t="s">
        <v>128</v>
      </c>
      <c r="L93" s="1201"/>
      <c r="M93" s="786">
        <v>460.4</v>
      </c>
      <c r="N93" s="1201"/>
      <c r="O93" s="1205">
        <v>45363</v>
      </c>
      <c r="P93" s="1203"/>
      <c r="Q93" s="3" t="s">
        <v>252</v>
      </c>
      <c r="R93" s="1209"/>
      <c r="S93" s="856" t="s">
        <v>62</v>
      </c>
      <c r="T93" s="1212"/>
      <c r="U93" s="3" t="s">
        <v>130</v>
      </c>
      <c r="V93" s="1212"/>
      <c r="W93" s="786">
        <v>330</v>
      </c>
      <c r="X93" s="1213"/>
      <c r="Y93" s="1205">
        <v>45359</v>
      </c>
      <c r="Z93" s="856" t="s">
        <v>62</v>
      </c>
      <c r="AA93" s="1232"/>
      <c r="AB93" s="1099">
        <v>45365</v>
      </c>
      <c r="AC93" s="1099">
        <v>45366</v>
      </c>
      <c r="AD93" s="1176">
        <f>150+574+47</f>
        <v>771</v>
      </c>
      <c r="AE93" s="1227">
        <f t="shared" si="10"/>
        <v>0.96375</v>
      </c>
      <c r="AF93" s="1283" t="s">
        <v>131</v>
      </c>
      <c r="AG93" s="1286">
        <v>1</v>
      </c>
      <c r="AH93" s="1076" t="s">
        <v>132</v>
      </c>
      <c r="AI93" s="1248">
        <v>45370</v>
      </c>
      <c r="AJ93" s="1248">
        <v>45370</v>
      </c>
      <c r="AK93" s="1285">
        <f>51815+132500+56572</f>
        <v>240887</v>
      </c>
      <c r="AL93" s="1264">
        <f t="shared" si="11"/>
        <v>0.96354799999999996</v>
      </c>
      <c r="AM93" s="1265" t="s">
        <v>62</v>
      </c>
      <c r="AN93" s="1261">
        <v>1</v>
      </c>
      <c r="AO93" s="1276"/>
      <c r="AP93" s="1277"/>
      <c r="AQ93" s="1276"/>
      <c r="AR93" s="1278"/>
      <c r="AS93" s="1278"/>
    </row>
    <row r="94" spans="1:45" ht="15.6">
      <c r="A94" s="1097" t="s">
        <v>53</v>
      </c>
      <c r="B94" s="1075" t="s">
        <v>122</v>
      </c>
      <c r="C94" s="851" t="s">
        <v>123</v>
      </c>
      <c r="D94" s="851" t="s">
        <v>124</v>
      </c>
      <c r="E94" s="1432" t="s">
        <v>213</v>
      </c>
      <c r="F94" s="856">
        <v>2024</v>
      </c>
      <c r="G94" s="1099">
        <v>45358</v>
      </c>
      <c r="H94" s="3">
        <v>200105280</v>
      </c>
      <c r="I94" s="1443" t="s">
        <v>253</v>
      </c>
      <c r="J94" s="856">
        <v>21</v>
      </c>
      <c r="K94" s="3" t="s">
        <v>128</v>
      </c>
      <c r="L94" s="1201"/>
      <c r="M94" s="762">
        <v>463.4</v>
      </c>
      <c r="N94" s="1201"/>
      <c r="O94" s="1205">
        <v>45364</v>
      </c>
      <c r="P94" s="1203"/>
      <c r="Q94" s="785" t="s">
        <v>254</v>
      </c>
      <c r="R94" s="1209"/>
      <c r="S94" s="856" t="s">
        <v>62</v>
      </c>
      <c r="T94" s="1212"/>
      <c r="U94" s="3" t="s">
        <v>130</v>
      </c>
      <c r="V94" s="1212"/>
      <c r="W94" s="786">
        <v>330</v>
      </c>
      <c r="X94" s="1213"/>
      <c r="Y94" s="1205">
        <v>45359</v>
      </c>
      <c r="Z94" s="856" t="s">
        <v>62</v>
      </c>
      <c r="AA94" s="1232"/>
      <c r="AB94" s="1099">
        <v>45366</v>
      </c>
      <c r="AC94" s="1099">
        <v>45366</v>
      </c>
      <c r="AD94" s="1176">
        <f>462+314</f>
        <v>776</v>
      </c>
      <c r="AE94" s="1227">
        <f t="shared" si="10"/>
        <v>0.97</v>
      </c>
      <c r="AF94" s="1283" t="s">
        <v>131</v>
      </c>
      <c r="AG94" s="1286">
        <v>1</v>
      </c>
      <c r="AH94" s="1076" t="s">
        <v>132</v>
      </c>
      <c r="AI94" s="1248">
        <v>45370</v>
      </c>
      <c r="AJ94" s="1248">
        <v>45371</v>
      </c>
      <c r="AK94" s="1285">
        <f>90500+140682+10872</f>
        <v>242054</v>
      </c>
      <c r="AL94" s="1264">
        <f t="shared" si="11"/>
        <v>0.96821599999999997</v>
      </c>
      <c r="AM94" s="1265" t="s">
        <v>62</v>
      </c>
      <c r="AN94" s="1261">
        <v>1</v>
      </c>
      <c r="AO94" s="1276"/>
      <c r="AP94" s="1277"/>
      <c r="AQ94" s="1276"/>
      <c r="AR94" s="1278"/>
      <c r="AS94" s="1278"/>
    </row>
    <row r="95" spans="1:45" ht="15.6">
      <c r="A95" s="1097" t="s">
        <v>53</v>
      </c>
      <c r="B95" s="1075" t="s">
        <v>122</v>
      </c>
      <c r="C95" s="851" t="s">
        <v>123</v>
      </c>
      <c r="D95" s="851" t="s">
        <v>124</v>
      </c>
      <c r="E95" s="856" t="s">
        <v>213</v>
      </c>
      <c r="F95" s="856">
        <v>2024</v>
      </c>
      <c r="G95" s="1099">
        <v>45358</v>
      </c>
      <c r="H95" s="3">
        <v>200105142</v>
      </c>
      <c r="I95" s="1438" t="s">
        <v>255</v>
      </c>
      <c r="J95" s="856">
        <v>22</v>
      </c>
      <c r="K95" s="3" t="s">
        <v>128</v>
      </c>
      <c r="L95" s="1201"/>
      <c r="M95" s="762">
        <v>469.8</v>
      </c>
      <c r="N95" s="1201"/>
      <c r="O95" s="1205">
        <v>45364</v>
      </c>
      <c r="P95" s="1203"/>
      <c r="Q95" s="785" t="s">
        <v>256</v>
      </c>
      <c r="R95" s="1209"/>
      <c r="S95" s="856" t="s">
        <v>62</v>
      </c>
      <c r="T95" s="1212"/>
      <c r="U95" s="3" t="s">
        <v>130</v>
      </c>
      <c r="V95" s="1212"/>
      <c r="W95" s="762">
        <v>329.92</v>
      </c>
      <c r="X95" s="1213"/>
      <c r="Y95" s="1205">
        <v>45364</v>
      </c>
      <c r="Z95" s="856" t="s">
        <v>62</v>
      </c>
      <c r="AA95" s="1232"/>
      <c r="AB95" s="1099">
        <v>45366</v>
      </c>
      <c r="AC95" s="1099">
        <v>45369</v>
      </c>
      <c r="AD95" s="1176">
        <f>396+384</f>
        <v>780</v>
      </c>
      <c r="AE95" s="1227">
        <f t="shared" si="10"/>
        <v>0.97499999999999998</v>
      </c>
      <c r="AF95" s="1283" t="s">
        <v>131</v>
      </c>
      <c r="AG95" s="1286">
        <v>1</v>
      </c>
      <c r="AH95" s="1076" t="s">
        <v>132</v>
      </c>
      <c r="AI95" s="1248">
        <v>45371</v>
      </c>
      <c r="AJ95" s="1248">
        <v>45371</v>
      </c>
      <c r="AK95" s="1285">
        <f>107000+136695</f>
        <v>243695</v>
      </c>
      <c r="AL95" s="1264">
        <f t="shared" si="11"/>
        <v>0.97477999999999998</v>
      </c>
      <c r="AM95" s="1265" t="s">
        <v>62</v>
      </c>
      <c r="AN95" s="1261">
        <v>1</v>
      </c>
      <c r="AO95" s="1276"/>
      <c r="AP95" s="1277"/>
      <c r="AQ95" s="1276"/>
      <c r="AR95" s="1278"/>
      <c r="AS95" s="1278"/>
    </row>
    <row r="96" spans="1:45" ht="15.6">
      <c r="A96" s="1097" t="s">
        <v>53</v>
      </c>
      <c r="B96" s="1075" t="s">
        <v>122</v>
      </c>
      <c r="C96" s="851" t="s">
        <v>123</v>
      </c>
      <c r="D96" s="851" t="s">
        <v>124</v>
      </c>
      <c r="E96" s="856" t="s">
        <v>213</v>
      </c>
      <c r="F96" s="856">
        <v>2024</v>
      </c>
      <c r="G96" s="1099">
        <v>45358</v>
      </c>
      <c r="H96" s="3">
        <v>200105143</v>
      </c>
      <c r="I96" s="1438" t="s">
        <v>257</v>
      </c>
      <c r="J96" s="856">
        <v>23</v>
      </c>
      <c r="K96" s="3" t="s">
        <v>128</v>
      </c>
      <c r="L96" s="1201"/>
      <c r="M96" s="762">
        <v>466</v>
      </c>
      <c r="N96" s="1201"/>
      <c r="O96" s="1205">
        <v>45364</v>
      </c>
      <c r="P96" s="1203"/>
      <c r="Q96" s="785" t="s">
        <v>258</v>
      </c>
      <c r="R96" s="1209"/>
      <c r="S96" s="856" t="s">
        <v>62</v>
      </c>
      <c r="T96" s="1212"/>
      <c r="U96" s="3" t="s">
        <v>130</v>
      </c>
      <c r="V96" s="1212"/>
      <c r="W96" s="762">
        <v>330.2</v>
      </c>
      <c r="X96" s="1213"/>
      <c r="Y96" s="1205">
        <v>45364</v>
      </c>
      <c r="Z96" s="856" t="s">
        <v>62</v>
      </c>
      <c r="AA96" s="1232"/>
      <c r="AB96" s="1099">
        <v>45369</v>
      </c>
      <c r="AC96" s="1099">
        <v>45369</v>
      </c>
      <c r="AD96" s="1176">
        <f>168+608</f>
        <v>776</v>
      </c>
      <c r="AE96" s="1227">
        <f t="shared" si="10"/>
        <v>0.97</v>
      </c>
      <c r="AF96" s="1283" t="s">
        <v>131</v>
      </c>
      <c r="AG96" s="1286">
        <v>1</v>
      </c>
      <c r="AH96" s="1076" t="s">
        <v>132</v>
      </c>
      <c r="AI96" s="1248">
        <v>45371</v>
      </c>
      <c r="AJ96" s="1248">
        <v>45372</v>
      </c>
      <c r="AK96" s="1285">
        <f>9700+164000+68447</f>
        <v>242147</v>
      </c>
      <c r="AL96" s="1264">
        <f t="shared" si="11"/>
        <v>0.968588</v>
      </c>
      <c r="AM96" s="1265" t="s">
        <v>62</v>
      </c>
      <c r="AN96" s="1261">
        <v>1</v>
      </c>
      <c r="AO96" s="1276"/>
      <c r="AP96" s="1277"/>
      <c r="AQ96" s="1276"/>
      <c r="AR96" s="1278"/>
      <c r="AS96" s="1278"/>
    </row>
    <row r="97" spans="1:45" ht="15.6">
      <c r="A97" s="1097" t="s">
        <v>53</v>
      </c>
      <c r="B97" s="1075" t="s">
        <v>122</v>
      </c>
      <c r="C97" s="851" t="s">
        <v>123</v>
      </c>
      <c r="D97" s="851" t="s">
        <v>124</v>
      </c>
      <c r="E97" s="856" t="s">
        <v>213</v>
      </c>
      <c r="F97" s="856">
        <v>2024</v>
      </c>
      <c r="G97" s="1099">
        <v>45358</v>
      </c>
      <c r="H97" s="3">
        <v>200105144</v>
      </c>
      <c r="I97" s="1438" t="s">
        <v>259</v>
      </c>
      <c r="J97" s="856">
        <v>24</v>
      </c>
      <c r="K97" s="3" t="s">
        <v>128</v>
      </c>
      <c r="L97" s="1201"/>
      <c r="M97" s="786">
        <v>461.9</v>
      </c>
      <c r="N97" s="1201"/>
      <c r="O97" s="1205">
        <v>45366</v>
      </c>
      <c r="P97" s="1203"/>
      <c r="Q97" s="3" t="s">
        <v>260</v>
      </c>
      <c r="R97" s="1209"/>
      <c r="S97" s="856" t="s">
        <v>62</v>
      </c>
      <c r="T97" s="1212"/>
      <c r="U97" s="3" t="s">
        <v>130</v>
      </c>
      <c r="V97" s="1212"/>
      <c r="W97" s="762">
        <v>330.2</v>
      </c>
      <c r="X97" s="1213"/>
      <c r="Y97" s="1205">
        <v>45364</v>
      </c>
      <c r="Z97" s="856" t="s">
        <v>62</v>
      </c>
      <c r="AA97" s="1232"/>
      <c r="AB97" s="1099">
        <v>45370</v>
      </c>
      <c r="AC97" s="1099">
        <v>45370</v>
      </c>
      <c r="AD97" s="1176">
        <f>594+190</f>
        <v>784</v>
      </c>
      <c r="AE97" s="1227">
        <f t="shared" si="10"/>
        <v>0.98</v>
      </c>
      <c r="AF97" s="1283" t="s">
        <v>131</v>
      </c>
      <c r="AG97" s="1286">
        <v>1</v>
      </c>
      <c r="AH97" s="1076" t="s">
        <v>132</v>
      </c>
      <c r="AI97" s="1248">
        <v>45372</v>
      </c>
      <c r="AJ97" s="1248">
        <v>45373</v>
      </c>
      <c r="AK97" s="1285">
        <f>41000+164958+26900+5557+AO97</f>
        <v>247545</v>
      </c>
      <c r="AL97" s="1264">
        <f t="shared" si="11"/>
        <v>0.99017999999999995</v>
      </c>
      <c r="AM97" s="1265" t="s">
        <v>62</v>
      </c>
      <c r="AN97" s="1261">
        <v>1</v>
      </c>
      <c r="AO97" s="1276">
        <v>9130</v>
      </c>
      <c r="AP97" s="1277">
        <v>45408</v>
      </c>
      <c r="AQ97" s="1276" t="s">
        <v>132</v>
      </c>
      <c r="AR97" s="1278"/>
      <c r="AS97" s="1278"/>
    </row>
    <row r="98" spans="1:45" ht="15.6">
      <c r="A98" s="1097" t="s">
        <v>53</v>
      </c>
      <c r="B98" s="1075" t="s">
        <v>122</v>
      </c>
      <c r="C98" s="851" t="s">
        <v>123</v>
      </c>
      <c r="D98" s="851" t="s">
        <v>124</v>
      </c>
      <c r="E98" s="856" t="s">
        <v>213</v>
      </c>
      <c r="F98" s="856">
        <v>2024</v>
      </c>
      <c r="G98" s="1099">
        <v>45358</v>
      </c>
      <c r="H98" s="3">
        <v>200105145</v>
      </c>
      <c r="I98" s="1438" t="s">
        <v>261</v>
      </c>
      <c r="J98" s="856">
        <v>25</v>
      </c>
      <c r="K98" s="3" t="s">
        <v>128</v>
      </c>
      <c r="L98" s="1201"/>
      <c r="M98" s="762">
        <v>466</v>
      </c>
      <c r="N98" s="1201"/>
      <c r="O98" s="1205">
        <v>45365</v>
      </c>
      <c r="P98" s="1203"/>
      <c r="Q98" s="785" t="s">
        <v>262</v>
      </c>
      <c r="R98" s="1209"/>
      <c r="S98" s="856" t="s">
        <v>62</v>
      </c>
      <c r="T98" s="1212"/>
      <c r="U98" s="3" t="s">
        <v>130</v>
      </c>
      <c r="V98" s="1212"/>
      <c r="W98" s="786">
        <v>330.3</v>
      </c>
      <c r="X98" s="1213"/>
      <c r="Y98" s="1205">
        <v>45365</v>
      </c>
      <c r="Z98" s="856" t="s">
        <v>62</v>
      </c>
      <c r="AA98" s="1232"/>
      <c r="AB98" s="1099">
        <v>45369</v>
      </c>
      <c r="AC98" s="1099">
        <v>45370</v>
      </c>
      <c r="AD98" s="1176">
        <f>680+99</f>
        <v>779</v>
      </c>
      <c r="AE98" s="1227">
        <f t="shared" si="10"/>
        <v>0.97375</v>
      </c>
      <c r="AF98" s="1283" t="s">
        <v>131</v>
      </c>
      <c r="AG98" s="1286">
        <v>1</v>
      </c>
      <c r="AH98" s="1076" t="s">
        <v>162</v>
      </c>
      <c r="AI98" s="1248">
        <v>45374</v>
      </c>
      <c r="AJ98" s="1248">
        <v>45374</v>
      </c>
      <c r="AK98" s="1285">
        <f>100500+96258+45561</f>
        <v>242319</v>
      </c>
      <c r="AL98" s="1264">
        <f t="shared" si="11"/>
        <v>0.96927600000000003</v>
      </c>
      <c r="AM98" s="1265" t="s">
        <v>62</v>
      </c>
      <c r="AN98" s="1261">
        <v>1</v>
      </c>
      <c r="AO98" s="1276"/>
      <c r="AP98" s="1277"/>
      <c r="AQ98" s="1276"/>
      <c r="AR98" s="1278"/>
      <c r="AS98" s="1278"/>
    </row>
    <row r="99" spans="1:45" ht="15.6">
      <c r="A99" s="1097" t="s">
        <v>53</v>
      </c>
      <c r="B99" s="1075" t="s">
        <v>122</v>
      </c>
      <c r="C99" s="851" t="s">
        <v>123</v>
      </c>
      <c r="D99" s="851" t="s">
        <v>124</v>
      </c>
      <c r="E99" s="856" t="s">
        <v>213</v>
      </c>
      <c r="F99" s="856">
        <v>2024</v>
      </c>
      <c r="G99" s="1099">
        <v>45365</v>
      </c>
      <c r="H99" s="3">
        <v>200105329</v>
      </c>
      <c r="I99" s="1444" t="s">
        <v>263</v>
      </c>
      <c r="J99" s="856">
        <v>26</v>
      </c>
      <c r="K99" s="3" t="s">
        <v>128</v>
      </c>
      <c r="L99" s="1201"/>
      <c r="M99" s="786">
        <v>463.8</v>
      </c>
      <c r="N99" s="1201"/>
      <c r="O99" s="1205">
        <v>45369</v>
      </c>
      <c r="P99" s="1203"/>
      <c r="Q99" s="3" t="s">
        <v>264</v>
      </c>
      <c r="R99" s="1209"/>
      <c r="S99" s="856" t="s">
        <v>62</v>
      </c>
      <c r="T99" s="1212"/>
      <c r="U99" s="3" t="s">
        <v>130</v>
      </c>
      <c r="V99" s="1212"/>
      <c r="W99" s="786">
        <v>330.4</v>
      </c>
      <c r="X99" s="1213"/>
      <c r="Y99" s="1205">
        <v>45370</v>
      </c>
      <c r="Z99" s="856" t="s">
        <v>62</v>
      </c>
      <c r="AA99" s="1232"/>
      <c r="AB99" s="1099">
        <v>45370</v>
      </c>
      <c r="AC99" s="1099">
        <v>45370</v>
      </c>
      <c r="AD99" s="1176">
        <f>396+390</f>
        <v>786</v>
      </c>
      <c r="AE99" s="1227">
        <f t="shared" si="10"/>
        <v>0.98250000000000004</v>
      </c>
      <c r="AF99" s="1283" t="s">
        <v>131</v>
      </c>
      <c r="AG99" s="1286">
        <v>1</v>
      </c>
      <c r="AH99" s="1076" t="s">
        <v>132</v>
      </c>
      <c r="AI99" s="1248">
        <v>45374</v>
      </c>
      <c r="AJ99" s="1248">
        <v>45374</v>
      </c>
      <c r="AK99" s="1285">
        <f>155000+87513</f>
        <v>242513</v>
      </c>
      <c r="AL99" s="1264">
        <f t="shared" si="11"/>
        <v>0.97005200000000003</v>
      </c>
      <c r="AM99" s="1265" t="s">
        <v>62</v>
      </c>
      <c r="AN99" s="1261">
        <v>1</v>
      </c>
      <c r="AO99" s="1276"/>
      <c r="AP99" s="1277"/>
      <c r="AQ99" s="1276"/>
      <c r="AR99" s="1278"/>
      <c r="AS99" s="1278"/>
    </row>
    <row r="100" spans="1:45" ht="15.6">
      <c r="A100" s="1097" t="s">
        <v>53</v>
      </c>
      <c r="B100" s="1075" t="s">
        <v>122</v>
      </c>
      <c r="C100" s="851" t="s">
        <v>123</v>
      </c>
      <c r="D100" s="851" t="s">
        <v>124</v>
      </c>
      <c r="E100" s="856" t="s">
        <v>213</v>
      </c>
      <c r="F100" s="856">
        <v>2024</v>
      </c>
      <c r="G100" s="1099">
        <v>45365</v>
      </c>
      <c r="H100" s="3">
        <v>200105330</v>
      </c>
      <c r="I100" s="1444" t="s">
        <v>265</v>
      </c>
      <c r="J100" s="856">
        <v>27</v>
      </c>
      <c r="K100" s="3" t="s">
        <v>128</v>
      </c>
      <c r="L100" s="1201"/>
      <c r="M100" s="786">
        <v>466.92</v>
      </c>
      <c r="N100" s="1201"/>
      <c r="O100" s="1205">
        <v>45369</v>
      </c>
      <c r="P100" s="1203"/>
      <c r="Q100" s="3" t="s">
        <v>266</v>
      </c>
      <c r="R100" s="1209"/>
      <c r="S100" s="856" t="s">
        <v>62</v>
      </c>
      <c r="T100" s="1212"/>
      <c r="U100" s="3" t="s">
        <v>130</v>
      </c>
      <c r="V100" s="1212"/>
      <c r="W100" s="786">
        <v>330.2</v>
      </c>
      <c r="X100" s="1213"/>
      <c r="Y100" s="1205">
        <v>45370</v>
      </c>
      <c r="Z100" s="856" t="s">
        <v>62</v>
      </c>
      <c r="AA100" s="1232"/>
      <c r="AB100" s="1099">
        <v>45370</v>
      </c>
      <c r="AC100" s="1099">
        <v>45371</v>
      </c>
      <c r="AD100" s="1176">
        <f>310+471</f>
        <v>781</v>
      </c>
      <c r="AE100" s="1227">
        <f t="shared" si="10"/>
        <v>0.97624999999999995</v>
      </c>
      <c r="AF100" s="1283" t="s">
        <v>131</v>
      </c>
      <c r="AG100" s="1286">
        <v>1</v>
      </c>
      <c r="AH100" s="1076" t="s">
        <v>132</v>
      </c>
      <c r="AI100" s="1248">
        <v>45374</v>
      </c>
      <c r="AJ100" s="1248">
        <v>45376</v>
      </c>
      <c r="AK100" s="1285">
        <f>47200+153673+43248</f>
        <v>244121</v>
      </c>
      <c r="AL100" s="1264">
        <f t="shared" si="11"/>
        <v>0.97648400000000002</v>
      </c>
      <c r="AM100" s="1265" t="s">
        <v>62</v>
      </c>
      <c r="AN100" s="1261">
        <v>1</v>
      </c>
      <c r="AO100" s="1276"/>
      <c r="AP100" s="1277"/>
      <c r="AQ100" s="1276"/>
      <c r="AR100" s="1278"/>
      <c r="AS100" s="1278"/>
    </row>
    <row r="101" spans="1:45" ht="15.6">
      <c r="A101" s="1097" t="s">
        <v>53</v>
      </c>
      <c r="B101" s="1075" t="s">
        <v>122</v>
      </c>
      <c r="C101" s="851" t="s">
        <v>123</v>
      </c>
      <c r="D101" s="851" t="s">
        <v>124</v>
      </c>
      <c r="E101" s="856" t="s">
        <v>213</v>
      </c>
      <c r="F101" s="856">
        <v>2024</v>
      </c>
      <c r="G101" s="1099">
        <v>45365</v>
      </c>
      <c r="H101" s="3">
        <v>200105331</v>
      </c>
      <c r="I101" s="1444" t="s">
        <v>267</v>
      </c>
      <c r="J101" s="856">
        <v>28</v>
      </c>
      <c r="K101" s="3" t="s">
        <v>128</v>
      </c>
      <c r="L101" s="1201"/>
      <c r="M101" s="786">
        <v>467.95</v>
      </c>
      <c r="N101" s="1201"/>
      <c r="O101" s="1205">
        <v>45369</v>
      </c>
      <c r="P101" s="1203"/>
      <c r="Q101" s="785" t="s">
        <v>268</v>
      </c>
      <c r="R101" s="1209"/>
      <c r="S101" s="856" t="s">
        <v>62</v>
      </c>
      <c r="T101" s="1212"/>
      <c r="U101" s="3" t="s">
        <v>130</v>
      </c>
      <c r="V101" s="1212"/>
      <c r="W101" s="786">
        <v>330.2</v>
      </c>
      <c r="X101" s="1213"/>
      <c r="Y101" s="1205">
        <v>45370</v>
      </c>
      <c r="Z101" s="856" t="s">
        <v>62</v>
      </c>
      <c r="AA101" s="1232"/>
      <c r="AB101" s="1099">
        <v>45371</v>
      </c>
      <c r="AC101" s="1099">
        <v>45371</v>
      </c>
      <c r="AD101" s="1176">
        <f>168+614</f>
        <v>782</v>
      </c>
      <c r="AE101" s="1227">
        <f t="shared" si="10"/>
        <v>0.97750000000000004</v>
      </c>
      <c r="AF101" s="1283" t="s">
        <v>131</v>
      </c>
      <c r="AG101" s="1286">
        <v>1</v>
      </c>
      <c r="AH101" s="1076" t="s">
        <v>162</v>
      </c>
      <c r="AI101" s="1248">
        <v>45374</v>
      </c>
      <c r="AJ101" s="1248">
        <v>45376</v>
      </c>
      <c r="AK101" s="1285">
        <f>26712+81000+101552+33822</f>
        <v>243086</v>
      </c>
      <c r="AL101" s="1264">
        <f t="shared" si="11"/>
        <v>0.97234399999999999</v>
      </c>
      <c r="AM101" s="1265" t="s">
        <v>62</v>
      </c>
      <c r="AN101" s="1261">
        <v>1</v>
      </c>
      <c r="AO101" s="1276"/>
      <c r="AP101" s="1277"/>
      <c r="AQ101" s="1276"/>
      <c r="AR101" s="1278"/>
      <c r="AS101" s="1278"/>
    </row>
    <row r="102" spans="1:45" ht="15.6">
      <c r="A102" s="1097" t="s">
        <v>53</v>
      </c>
      <c r="B102" s="1075" t="s">
        <v>122</v>
      </c>
      <c r="C102" s="851" t="s">
        <v>123</v>
      </c>
      <c r="D102" s="851" t="s">
        <v>124</v>
      </c>
      <c r="E102" s="856" t="s">
        <v>213</v>
      </c>
      <c r="F102" s="856">
        <v>2024</v>
      </c>
      <c r="G102" s="1099">
        <v>45365</v>
      </c>
      <c r="H102" s="3">
        <v>200105332</v>
      </c>
      <c r="I102" s="1444" t="s">
        <v>269</v>
      </c>
      <c r="J102" s="856">
        <v>29</v>
      </c>
      <c r="K102" s="3" t="s">
        <v>128</v>
      </c>
      <c r="L102" s="1201"/>
      <c r="M102" s="786">
        <v>469.36</v>
      </c>
      <c r="N102" s="1201"/>
      <c r="O102" s="1205">
        <v>45369</v>
      </c>
      <c r="P102" s="1203"/>
      <c r="Q102" s="3" t="s">
        <v>270</v>
      </c>
      <c r="R102" s="1209"/>
      <c r="S102" s="856" t="s">
        <v>62</v>
      </c>
      <c r="T102" s="1212"/>
      <c r="U102" s="3" t="s">
        <v>130</v>
      </c>
      <c r="V102" s="1212"/>
      <c r="W102" s="786">
        <v>330</v>
      </c>
      <c r="X102" s="1213"/>
      <c r="Y102" s="1205">
        <v>45371</v>
      </c>
      <c r="Z102" s="856" t="s">
        <v>62</v>
      </c>
      <c r="AA102" s="1232"/>
      <c r="AB102" s="1099">
        <v>45371</v>
      </c>
      <c r="AC102" s="1099">
        <v>45372</v>
      </c>
      <c r="AD102" s="1176">
        <f>710+71</f>
        <v>781</v>
      </c>
      <c r="AE102" s="1227">
        <f t="shared" si="10"/>
        <v>0.97624999999999995</v>
      </c>
      <c r="AF102" s="1283" t="s">
        <v>131</v>
      </c>
      <c r="AG102" s="1286">
        <v>1</v>
      </c>
      <c r="AH102" s="1076" t="s">
        <v>132</v>
      </c>
      <c r="AI102" s="1248">
        <v>45376</v>
      </c>
      <c r="AJ102" s="1248">
        <v>45376</v>
      </c>
      <c r="AK102" s="1285">
        <f>53000+143750+47282</f>
        <v>244032</v>
      </c>
      <c r="AL102" s="1264">
        <f t="shared" si="11"/>
        <v>0.976128</v>
      </c>
      <c r="AM102" s="1265" t="s">
        <v>62</v>
      </c>
      <c r="AN102" s="1261">
        <v>1</v>
      </c>
      <c r="AO102" s="1276"/>
      <c r="AP102" s="1277"/>
      <c r="AQ102" s="1276"/>
      <c r="AR102" s="1278"/>
      <c r="AS102" s="1278"/>
    </row>
    <row r="103" spans="1:45" ht="15.6">
      <c r="A103" s="1097" t="s">
        <v>53</v>
      </c>
      <c r="B103" s="1075" t="s">
        <v>122</v>
      </c>
      <c r="C103" s="851" t="s">
        <v>123</v>
      </c>
      <c r="D103" s="851" t="s">
        <v>124</v>
      </c>
      <c r="E103" s="856" t="s">
        <v>213</v>
      </c>
      <c r="F103" s="856">
        <v>2024</v>
      </c>
      <c r="G103" s="1099">
        <v>45365</v>
      </c>
      <c r="H103" s="3">
        <v>200105333</v>
      </c>
      <c r="I103" s="1444" t="s">
        <v>271</v>
      </c>
      <c r="J103" s="856">
        <v>30</v>
      </c>
      <c r="K103" s="3" t="s">
        <v>128</v>
      </c>
      <c r="L103" s="1201"/>
      <c r="M103" s="786">
        <v>461.7</v>
      </c>
      <c r="N103" s="1201"/>
      <c r="O103" s="1205">
        <v>45370</v>
      </c>
      <c r="P103" s="1203"/>
      <c r="Q103" s="785" t="s">
        <v>272</v>
      </c>
      <c r="R103" s="1209"/>
      <c r="S103" s="856" t="s">
        <v>62</v>
      </c>
      <c r="T103" s="1212"/>
      <c r="U103" s="3" t="s">
        <v>130</v>
      </c>
      <c r="V103" s="1212"/>
      <c r="W103" s="786">
        <v>330.2</v>
      </c>
      <c r="X103" s="1213"/>
      <c r="Y103" s="1205">
        <v>45371</v>
      </c>
      <c r="Z103" s="856" t="s">
        <v>62</v>
      </c>
      <c r="AA103" s="1232"/>
      <c r="AB103" s="1099">
        <v>45372</v>
      </c>
      <c r="AC103" s="1099">
        <v>45372</v>
      </c>
      <c r="AD103" s="1176">
        <f>614+160</f>
        <v>774</v>
      </c>
      <c r="AE103" s="1227">
        <f t="shared" si="10"/>
        <v>0.96750000000000003</v>
      </c>
      <c r="AF103" s="1283" t="s">
        <v>131</v>
      </c>
      <c r="AG103" s="1286">
        <v>1</v>
      </c>
      <c r="AH103" s="1076" t="s">
        <v>132</v>
      </c>
      <c r="AI103" s="1248">
        <v>45376</v>
      </c>
      <c r="AJ103" s="1248">
        <v>45377</v>
      </c>
      <c r="AK103" s="1285">
        <f>24500+140000+77270</f>
        <v>241770</v>
      </c>
      <c r="AL103" s="1264">
        <f t="shared" si="11"/>
        <v>0.96708000000000005</v>
      </c>
      <c r="AM103" s="1265" t="s">
        <v>62</v>
      </c>
      <c r="AN103" s="1261">
        <v>1</v>
      </c>
      <c r="AO103" s="1276"/>
      <c r="AP103" s="1277"/>
      <c r="AQ103" s="1276"/>
      <c r="AR103" s="1278"/>
      <c r="AS103" s="1278"/>
    </row>
    <row r="104" spans="1:45" ht="15.6">
      <c r="A104" s="1097" t="s">
        <v>53</v>
      </c>
      <c r="B104" s="1075" t="s">
        <v>122</v>
      </c>
      <c r="C104" s="851" t="s">
        <v>123</v>
      </c>
      <c r="D104" s="851" t="s">
        <v>124</v>
      </c>
      <c r="E104" s="856" t="s">
        <v>213</v>
      </c>
      <c r="F104" s="856">
        <v>2024</v>
      </c>
      <c r="G104" s="1099">
        <v>45365</v>
      </c>
      <c r="H104" s="3">
        <v>200105380</v>
      </c>
      <c r="I104" s="1444" t="s">
        <v>273</v>
      </c>
      <c r="J104" s="856">
        <v>31</v>
      </c>
      <c r="K104" s="3" t="s">
        <v>128</v>
      </c>
      <c r="L104" s="1201"/>
      <c r="M104" s="786">
        <v>466.6</v>
      </c>
      <c r="N104" s="1201"/>
      <c r="O104" s="1205">
        <v>45370</v>
      </c>
      <c r="P104" s="1203"/>
      <c r="Q104" s="3" t="s">
        <v>274</v>
      </c>
      <c r="R104" s="1209"/>
      <c r="S104" s="856" t="s">
        <v>62</v>
      </c>
      <c r="T104" s="1212"/>
      <c r="U104" s="3" t="s">
        <v>130</v>
      </c>
      <c r="V104" s="1212"/>
      <c r="W104" s="786">
        <v>330.2</v>
      </c>
      <c r="X104" s="1213"/>
      <c r="Y104" s="1205">
        <v>45371</v>
      </c>
      <c r="Z104" s="856" t="s">
        <v>62</v>
      </c>
      <c r="AA104" s="1232"/>
      <c r="AB104" s="1099">
        <v>45372</v>
      </c>
      <c r="AC104" s="1099">
        <v>45372</v>
      </c>
      <c r="AD104" s="1176">
        <f>446+333</f>
        <v>779</v>
      </c>
      <c r="AE104" s="1227">
        <f t="shared" si="10"/>
        <v>0.97375</v>
      </c>
      <c r="AF104" s="1283" t="s">
        <v>131</v>
      </c>
      <c r="AG104" s="1286">
        <v>1</v>
      </c>
      <c r="AH104" s="1076" t="s">
        <v>132</v>
      </c>
      <c r="AI104" s="1248">
        <v>45377</v>
      </c>
      <c r="AJ104" s="1248">
        <v>45378</v>
      </c>
      <c r="AK104" s="1285">
        <f>39500+135200+60000+8014</f>
        <v>242714</v>
      </c>
      <c r="AL104" s="1264">
        <f t="shared" si="11"/>
        <v>0.97085600000000005</v>
      </c>
      <c r="AM104" s="1265" t="s">
        <v>62</v>
      </c>
      <c r="AN104" s="1261">
        <v>1</v>
      </c>
      <c r="AO104" s="1276"/>
      <c r="AP104" s="1277"/>
      <c r="AQ104" s="1276"/>
      <c r="AR104" s="1278"/>
      <c r="AS104" s="1278"/>
    </row>
    <row r="105" spans="1:45" ht="15.6">
      <c r="A105" s="1097" t="s">
        <v>53</v>
      </c>
      <c r="B105" s="1075" t="s">
        <v>122</v>
      </c>
      <c r="C105" s="851" t="s">
        <v>123</v>
      </c>
      <c r="D105" s="851" t="s">
        <v>124</v>
      </c>
      <c r="E105" s="856" t="s">
        <v>213</v>
      </c>
      <c r="F105" s="856">
        <v>2024</v>
      </c>
      <c r="G105" s="1099">
        <v>45365</v>
      </c>
      <c r="H105" s="3">
        <v>200105381</v>
      </c>
      <c r="I105" s="1444" t="s">
        <v>275</v>
      </c>
      <c r="J105" s="856">
        <v>32</v>
      </c>
      <c r="K105" s="3" t="s">
        <v>128</v>
      </c>
      <c r="L105" s="1201"/>
      <c r="M105" s="786">
        <v>462.6</v>
      </c>
      <c r="N105" s="1201"/>
      <c r="O105" s="1205">
        <v>45371</v>
      </c>
      <c r="P105" s="1203"/>
      <c r="Q105" s="785" t="s">
        <v>276</v>
      </c>
      <c r="R105" s="1209"/>
      <c r="S105" s="856" t="s">
        <v>62</v>
      </c>
      <c r="T105" s="1212"/>
      <c r="U105" s="3" t="s">
        <v>130</v>
      </c>
      <c r="V105" s="1212"/>
      <c r="W105" s="786">
        <v>330.2</v>
      </c>
      <c r="X105" s="1213"/>
      <c r="Y105" s="1205">
        <v>45371</v>
      </c>
      <c r="Z105" s="856" t="s">
        <v>62</v>
      </c>
      <c r="AA105" s="1232"/>
      <c r="AB105" s="1099">
        <v>45372</v>
      </c>
      <c r="AC105" s="1099">
        <v>45373</v>
      </c>
      <c r="AD105" s="1176">
        <f>375+398</f>
        <v>773</v>
      </c>
      <c r="AE105" s="1227">
        <f t="shared" si="10"/>
        <v>0.96625000000000005</v>
      </c>
      <c r="AF105" s="1283" t="s">
        <v>131</v>
      </c>
      <c r="AG105" s="1286">
        <v>1</v>
      </c>
      <c r="AH105" s="1076" t="s">
        <v>132</v>
      </c>
      <c r="AI105" s="1248">
        <v>45378</v>
      </c>
      <c r="AJ105" s="1248">
        <v>45379</v>
      </c>
      <c r="AK105" s="1285">
        <f>115000+82000+21000+23055</f>
        <v>241055</v>
      </c>
      <c r="AL105" s="1264">
        <f t="shared" si="11"/>
        <v>0.96421999999999997</v>
      </c>
      <c r="AM105" s="1265" t="s">
        <v>62</v>
      </c>
      <c r="AN105" s="1261">
        <v>1</v>
      </c>
      <c r="AO105" s="1276"/>
      <c r="AP105" s="1277"/>
      <c r="AQ105" s="1276"/>
      <c r="AR105" s="1278"/>
      <c r="AS105" s="1278"/>
    </row>
    <row r="106" spans="1:45" ht="15.6">
      <c r="A106" s="1097" t="s">
        <v>53</v>
      </c>
      <c r="B106" s="1075"/>
      <c r="C106" s="851"/>
      <c r="D106" s="851"/>
      <c r="E106" s="856"/>
      <c r="F106" s="856"/>
      <c r="G106" s="1099"/>
      <c r="H106" s="3"/>
      <c r="I106" s="3"/>
      <c r="J106" s="856"/>
      <c r="K106" s="851"/>
      <c r="L106" s="851"/>
      <c r="M106" s="851"/>
      <c r="N106" s="851"/>
      <c r="O106" s="1205"/>
      <c r="P106" s="1205"/>
      <c r="Q106" s="851"/>
      <c r="R106" s="1209"/>
      <c r="S106" s="851"/>
      <c r="T106" s="1215"/>
      <c r="U106" s="851"/>
      <c r="V106" s="851"/>
      <c r="W106" s="851"/>
      <c r="X106" s="1179"/>
      <c r="Y106" s="1205"/>
      <c r="Z106" s="851"/>
      <c r="AA106" s="1284"/>
      <c r="AB106" s="1099"/>
      <c r="AC106" s="1099"/>
      <c r="AD106" s="1176"/>
      <c r="AE106" s="1264"/>
      <c r="AF106" s="1283"/>
      <c r="AG106" s="1286"/>
      <c r="AH106" s="1076"/>
      <c r="AI106" s="1248"/>
      <c r="AJ106" s="1248"/>
      <c r="AK106" s="1285"/>
      <c r="AL106" s="1264"/>
      <c r="AM106" s="1287"/>
      <c r="AN106" s="1261"/>
      <c r="AO106" s="1276"/>
      <c r="AP106" s="1277"/>
      <c r="AQ106" s="1276"/>
      <c r="AR106" s="1278"/>
      <c r="AS106" s="1278"/>
    </row>
    <row r="107" spans="1:45" ht="15.6">
      <c r="A107" s="1097" t="s">
        <v>53</v>
      </c>
      <c r="B107" s="1075" t="s">
        <v>122</v>
      </c>
      <c r="C107" s="851" t="s">
        <v>123</v>
      </c>
      <c r="D107" s="851" t="s">
        <v>124</v>
      </c>
      <c r="E107" s="1432" t="s">
        <v>277</v>
      </c>
      <c r="F107" s="856">
        <v>2024</v>
      </c>
      <c r="G107" s="1099">
        <v>45376</v>
      </c>
      <c r="H107" s="1192">
        <v>200105282</v>
      </c>
      <c r="I107" s="1445" t="s">
        <v>278</v>
      </c>
      <c r="J107" s="856">
        <v>1</v>
      </c>
      <c r="K107" s="3" t="s">
        <v>128</v>
      </c>
      <c r="L107" s="1201"/>
      <c r="M107" s="762">
        <v>463</v>
      </c>
      <c r="N107" s="1201"/>
      <c r="O107" s="1205">
        <v>45378</v>
      </c>
      <c r="P107" s="1203"/>
      <c r="Q107" s="3" t="s">
        <v>279</v>
      </c>
      <c r="R107" s="1209"/>
      <c r="S107" s="856" t="s">
        <v>62</v>
      </c>
      <c r="T107" s="1212"/>
      <c r="U107" s="3" t="s">
        <v>130</v>
      </c>
      <c r="V107" s="1212"/>
      <c r="W107" s="762">
        <v>330.3</v>
      </c>
      <c r="X107" s="1282"/>
      <c r="Y107" s="1205">
        <v>45379</v>
      </c>
      <c r="Z107" s="856" t="s">
        <v>62</v>
      </c>
      <c r="AA107" s="1232"/>
      <c r="AB107" s="1099">
        <v>45383</v>
      </c>
      <c r="AC107" s="1099">
        <v>45383</v>
      </c>
      <c r="AD107" s="1176">
        <f>324+386+63</f>
        <v>773</v>
      </c>
      <c r="AE107" s="1227">
        <f t="shared" ref="AE107:AE126" si="12">AD107/800</f>
        <v>0.96625000000000005</v>
      </c>
      <c r="AF107" s="1283" t="s">
        <v>131</v>
      </c>
      <c r="AG107" s="1286">
        <v>1</v>
      </c>
      <c r="AH107" s="1076" t="s">
        <v>162</v>
      </c>
      <c r="AI107" s="1248">
        <v>45384</v>
      </c>
      <c r="AJ107" s="1248">
        <v>45385</v>
      </c>
      <c r="AK107" s="1285">
        <f>69411+87906+83264</f>
        <v>240581</v>
      </c>
      <c r="AL107" s="1264">
        <f t="shared" ref="AL107:AL126" si="13">AK107/250000</f>
        <v>0.96232399999999996</v>
      </c>
      <c r="AM107" s="1265" t="s">
        <v>62</v>
      </c>
      <c r="AN107" s="1261">
        <v>1</v>
      </c>
      <c r="AO107" s="1276"/>
      <c r="AP107" s="1277"/>
      <c r="AQ107" s="1276"/>
      <c r="AR107" s="1278"/>
      <c r="AS107" s="1278"/>
    </row>
    <row r="108" spans="1:45" ht="15.6">
      <c r="A108" s="1097" t="s">
        <v>53</v>
      </c>
      <c r="B108" s="1075" t="s">
        <v>122</v>
      </c>
      <c r="C108" s="851" t="s">
        <v>123</v>
      </c>
      <c r="D108" s="851" t="s">
        <v>124</v>
      </c>
      <c r="E108" s="1432" t="s">
        <v>277</v>
      </c>
      <c r="F108" s="856">
        <v>2024</v>
      </c>
      <c r="G108" s="1099">
        <v>45376</v>
      </c>
      <c r="H108" s="1192">
        <v>200105283</v>
      </c>
      <c r="I108" s="1445" t="s">
        <v>280</v>
      </c>
      <c r="J108" s="856">
        <v>2</v>
      </c>
      <c r="K108" s="3" t="s">
        <v>128</v>
      </c>
      <c r="L108" s="1201"/>
      <c r="M108" s="786">
        <v>469.7</v>
      </c>
      <c r="N108" s="1201"/>
      <c r="O108" s="1205">
        <v>45378</v>
      </c>
      <c r="P108" s="1203"/>
      <c r="Q108" s="3" t="s">
        <v>281</v>
      </c>
      <c r="R108" s="1209"/>
      <c r="S108" s="856" t="s">
        <v>62</v>
      </c>
      <c r="T108" s="1212"/>
      <c r="U108" s="3" t="s">
        <v>130</v>
      </c>
      <c r="V108" s="1212"/>
      <c r="W108" s="762">
        <v>330.3</v>
      </c>
      <c r="X108" s="1282"/>
      <c r="Y108" s="1205">
        <v>45379</v>
      </c>
      <c r="Z108" s="856" t="s">
        <v>62</v>
      </c>
      <c r="AA108" s="1232"/>
      <c r="AB108" s="1099">
        <v>45383</v>
      </c>
      <c r="AC108" s="1099">
        <v>45384</v>
      </c>
      <c r="AD108" s="1176">
        <f>436+343</f>
        <v>779</v>
      </c>
      <c r="AE108" s="1227">
        <f t="shared" si="12"/>
        <v>0.97375</v>
      </c>
      <c r="AF108" s="1283" t="s">
        <v>131</v>
      </c>
      <c r="AG108" s="1286">
        <v>1</v>
      </c>
      <c r="AH108" s="1076" t="s">
        <v>162</v>
      </c>
      <c r="AI108" s="1248">
        <v>45385</v>
      </c>
      <c r="AJ108" s="1248">
        <v>45386</v>
      </c>
      <c r="AK108" s="1285">
        <f>10456+103104+113630+15377</f>
        <v>242567</v>
      </c>
      <c r="AL108" s="1264">
        <f t="shared" si="13"/>
        <v>0.97026800000000002</v>
      </c>
      <c r="AM108" s="1265" t="s">
        <v>62</v>
      </c>
      <c r="AN108" s="1261">
        <v>1</v>
      </c>
      <c r="AO108" s="1276"/>
      <c r="AP108" s="1277"/>
      <c r="AQ108" s="1276"/>
      <c r="AR108" s="1278"/>
      <c r="AS108" s="1278"/>
    </row>
    <row r="109" spans="1:45" ht="15.6">
      <c r="A109" s="1097" t="s">
        <v>53</v>
      </c>
      <c r="B109" s="1075" t="s">
        <v>122</v>
      </c>
      <c r="C109" s="851" t="s">
        <v>123</v>
      </c>
      <c r="D109" s="851" t="s">
        <v>124</v>
      </c>
      <c r="E109" s="1432" t="s">
        <v>277</v>
      </c>
      <c r="F109" s="856">
        <v>2024</v>
      </c>
      <c r="G109" s="1099">
        <v>45376</v>
      </c>
      <c r="H109" s="1192">
        <v>200105284</v>
      </c>
      <c r="I109" s="1445" t="s">
        <v>282</v>
      </c>
      <c r="J109" s="856">
        <v>3</v>
      </c>
      <c r="K109" s="3" t="s">
        <v>128</v>
      </c>
      <c r="L109" s="1201"/>
      <c r="M109" s="762">
        <v>463.2</v>
      </c>
      <c r="N109" s="1201"/>
      <c r="O109" s="1205">
        <v>45379</v>
      </c>
      <c r="P109" s="1203"/>
      <c r="Q109" s="3" t="s">
        <v>283</v>
      </c>
      <c r="R109" s="1209"/>
      <c r="S109" s="856" t="s">
        <v>62</v>
      </c>
      <c r="T109" s="1212"/>
      <c r="U109" s="3" t="s">
        <v>130</v>
      </c>
      <c r="V109" s="1212"/>
      <c r="W109" s="762">
        <v>330.3</v>
      </c>
      <c r="X109" s="1282"/>
      <c r="Y109" s="1205">
        <v>45379</v>
      </c>
      <c r="Z109" s="856" t="s">
        <v>62</v>
      </c>
      <c r="AA109" s="1232"/>
      <c r="AB109" s="1099">
        <v>45384</v>
      </c>
      <c r="AC109" s="1099">
        <v>45384</v>
      </c>
      <c r="AD109" s="1176">
        <f>330+443</f>
        <v>773</v>
      </c>
      <c r="AE109" s="1227">
        <f t="shared" si="12"/>
        <v>0.96625000000000005</v>
      </c>
      <c r="AF109" s="1283" t="s">
        <v>131</v>
      </c>
      <c r="AG109" s="1286">
        <v>1</v>
      </c>
      <c r="AH109" s="1076" t="s">
        <v>162</v>
      </c>
      <c r="AI109" s="1248">
        <v>45387</v>
      </c>
      <c r="AJ109" s="1248">
        <v>45397</v>
      </c>
      <c r="AK109" s="1288">
        <f>81072+51949+23900+83206</f>
        <v>240127</v>
      </c>
      <c r="AL109" s="1264">
        <f t="shared" si="13"/>
        <v>0.96050800000000003</v>
      </c>
      <c r="AM109" s="1265" t="s">
        <v>62</v>
      </c>
      <c r="AN109" s="1261">
        <v>1</v>
      </c>
      <c r="AO109" s="1276"/>
      <c r="AP109" s="1277"/>
      <c r="AQ109" s="1276"/>
      <c r="AR109" s="1278"/>
      <c r="AS109" s="1278"/>
    </row>
    <row r="110" spans="1:45" ht="15.6">
      <c r="A110" s="1097" t="s">
        <v>53</v>
      </c>
      <c r="B110" s="1075" t="s">
        <v>122</v>
      </c>
      <c r="C110" s="851" t="s">
        <v>123</v>
      </c>
      <c r="D110" s="851" t="s">
        <v>124</v>
      </c>
      <c r="E110" s="1432" t="s">
        <v>277</v>
      </c>
      <c r="F110" s="856">
        <v>2024</v>
      </c>
      <c r="G110" s="1099">
        <v>45376</v>
      </c>
      <c r="H110" s="1192">
        <v>200105285</v>
      </c>
      <c r="I110" s="1445" t="s">
        <v>284</v>
      </c>
      <c r="J110" s="856">
        <v>4</v>
      </c>
      <c r="K110" s="3" t="s">
        <v>128</v>
      </c>
      <c r="L110" s="1201"/>
      <c r="M110" s="762">
        <v>461.9</v>
      </c>
      <c r="N110" s="1201"/>
      <c r="O110" s="1205">
        <v>45379</v>
      </c>
      <c r="P110" s="1203"/>
      <c r="Q110" s="3" t="s">
        <v>285</v>
      </c>
      <c r="R110" s="1209"/>
      <c r="S110" s="856" t="s">
        <v>62</v>
      </c>
      <c r="T110" s="1212"/>
      <c r="U110" s="3" t="s">
        <v>130</v>
      </c>
      <c r="V110" s="1212"/>
      <c r="W110" s="785">
        <v>330.1</v>
      </c>
      <c r="X110" s="1282"/>
      <c r="Y110" s="1205">
        <v>45383</v>
      </c>
      <c r="Z110" s="856" t="s">
        <v>62</v>
      </c>
      <c r="AA110" s="1232"/>
      <c r="AB110" s="1099">
        <v>45384</v>
      </c>
      <c r="AC110" s="1099">
        <v>45384</v>
      </c>
      <c r="AD110" s="1176">
        <f>168+605</f>
        <v>773</v>
      </c>
      <c r="AE110" s="1227">
        <f t="shared" si="12"/>
        <v>0.96625000000000005</v>
      </c>
      <c r="AF110" s="1283" t="s">
        <v>131</v>
      </c>
      <c r="AG110" s="1286">
        <v>1</v>
      </c>
      <c r="AH110" s="1076" t="s">
        <v>162</v>
      </c>
      <c r="AI110" s="1248">
        <v>45386</v>
      </c>
      <c r="AJ110" s="1248">
        <v>45387</v>
      </c>
      <c r="AK110" s="1288">
        <f>67700+104979+67656</f>
        <v>240335</v>
      </c>
      <c r="AL110" s="1264">
        <f t="shared" si="13"/>
        <v>0.96133999999999997</v>
      </c>
      <c r="AM110" s="1265" t="s">
        <v>62</v>
      </c>
      <c r="AN110" s="1261">
        <v>1</v>
      </c>
      <c r="AO110" s="1276"/>
      <c r="AP110" s="1277"/>
      <c r="AQ110" s="1276"/>
      <c r="AR110" s="1278"/>
      <c r="AS110" s="1278"/>
    </row>
    <row r="111" spans="1:45" ht="15.6">
      <c r="A111" s="1097" t="s">
        <v>53</v>
      </c>
      <c r="B111" s="1075" t="s">
        <v>122</v>
      </c>
      <c r="C111" s="851" t="s">
        <v>123</v>
      </c>
      <c r="D111" s="851" t="s">
        <v>124</v>
      </c>
      <c r="E111" s="1432" t="s">
        <v>277</v>
      </c>
      <c r="F111" s="856">
        <v>2024</v>
      </c>
      <c r="G111" s="1099">
        <v>45376</v>
      </c>
      <c r="H111" s="1192">
        <v>200105228</v>
      </c>
      <c r="I111" s="1446" t="s">
        <v>286</v>
      </c>
      <c r="J111" s="856">
        <v>5</v>
      </c>
      <c r="K111" s="3" t="s">
        <v>128</v>
      </c>
      <c r="L111" s="1201"/>
      <c r="M111" s="786">
        <v>465.97</v>
      </c>
      <c r="N111" s="1201"/>
      <c r="O111" s="1205">
        <v>45379</v>
      </c>
      <c r="P111" s="1203"/>
      <c r="Q111" s="785" t="s">
        <v>287</v>
      </c>
      <c r="R111" s="1209"/>
      <c r="S111" s="856" t="s">
        <v>62</v>
      </c>
      <c r="T111" s="1212"/>
      <c r="U111" s="3" t="s">
        <v>130</v>
      </c>
      <c r="V111" s="1212"/>
      <c r="W111" s="785">
        <v>330.1</v>
      </c>
      <c r="X111" s="1282"/>
      <c r="Y111" s="1205">
        <v>45383</v>
      </c>
      <c r="Z111" s="856" t="s">
        <v>62</v>
      </c>
      <c r="AA111" s="1232"/>
      <c r="AB111" s="1099">
        <v>45385</v>
      </c>
      <c r="AC111" s="1099">
        <v>45385</v>
      </c>
      <c r="AD111" s="1176">
        <f>696+80</f>
        <v>776</v>
      </c>
      <c r="AE111" s="1227">
        <f t="shared" si="12"/>
        <v>0.97</v>
      </c>
      <c r="AF111" s="1283" t="s">
        <v>131</v>
      </c>
      <c r="AG111" s="1286">
        <v>1</v>
      </c>
      <c r="AH111" s="1076" t="s">
        <v>162</v>
      </c>
      <c r="AI111" s="1248">
        <v>45397</v>
      </c>
      <c r="AJ111" s="1248">
        <v>45398</v>
      </c>
      <c r="AK111" s="1288">
        <f>88866+105304+47282</f>
        <v>241452</v>
      </c>
      <c r="AL111" s="1264">
        <f t="shared" si="13"/>
        <v>0.965808</v>
      </c>
      <c r="AM111" s="1265" t="s">
        <v>62</v>
      </c>
      <c r="AN111" s="1261">
        <v>1</v>
      </c>
      <c r="AO111" s="1276"/>
      <c r="AP111" s="1277"/>
      <c r="AQ111" s="1276"/>
      <c r="AR111" s="1278"/>
      <c r="AS111" s="1278"/>
    </row>
    <row r="112" spans="1:45" ht="15.6">
      <c r="A112" s="1097" t="s">
        <v>53</v>
      </c>
      <c r="B112" s="1075" t="s">
        <v>122</v>
      </c>
      <c r="C112" s="851" t="s">
        <v>123</v>
      </c>
      <c r="D112" s="851" t="s">
        <v>124</v>
      </c>
      <c r="E112" s="1432" t="s">
        <v>277</v>
      </c>
      <c r="F112" s="856">
        <v>2024</v>
      </c>
      <c r="G112" s="1099">
        <v>45376</v>
      </c>
      <c r="H112" s="1192">
        <v>200105229</v>
      </c>
      <c r="I112" s="1446" t="s">
        <v>288</v>
      </c>
      <c r="J112" s="856">
        <v>6</v>
      </c>
      <c r="K112" s="3" t="s">
        <v>128</v>
      </c>
      <c r="L112" s="1201"/>
      <c r="M112" s="786">
        <v>468.99</v>
      </c>
      <c r="N112" s="1201"/>
      <c r="O112" s="1205">
        <v>45379</v>
      </c>
      <c r="P112" s="1203"/>
      <c r="Q112" s="785" t="s">
        <v>289</v>
      </c>
      <c r="R112" s="1209"/>
      <c r="S112" s="856" t="s">
        <v>62</v>
      </c>
      <c r="T112" s="1212"/>
      <c r="U112" s="3" t="s">
        <v>130</v>
      </c>
      <c r="V112" s="1212"/>
      <c r="W112" s="785">
        <v>330</v>
      </c>
      <c r="X112" s="1282"/>
      <c r="Y112" s="1205">
        <v>45384</v>
      </c>
      <c r="Z112" s="856" t="s">
        <v>62</v>
      </c>
      <c r="AA112" s="1232"/>
      <c r="AB112" s="1099">
        <v>45385</v>
      </c>
      <c r="AC112" s="1099">
        <v>45385</v>
      </c>
      <c r="AD112" s="1176">
        <f>538+242</f>
        <v>780</v>
      </c>
      <c r="AE112" s="1227">
        <f t="shared" si="12"/>
        <v>0.97499999999999998</v>
      </c>
      <c r="AF112" s="1283" t="s">
        <v>131</v>
      </c>
      <c r="AG112" s="1286">
        <v>1</v>
      </c>
      <c r="AH112" s="1076" t="s">
        <v>132</v>
      </c>
      <c r="AI112" s="1248">
        <v>45400</v>
      </c>
      <c r="AJ112" s="1248">
        <v>45400</v>
      </c>
      <c r="AK112" s="1288">
        <f>15564+156100+71898</f>
        <v>243562</v>
      </c>
      <c r="AL112" s="1264">
        <f t="shared" si="13"/>
        <v>0.974248</v>
      </c>
      <c r="AM112" s="1265" t="s">
        <v>62</v>
      </c>
      <c r="AN112" s="1261">
        <v>1</v>
      </c>
      <c r="AO112" s="1276"/>
      <c r="AP112" s="1277"/>
      <c r="AQ112" s="1276"/>
      <c r="AR112" s="1278"/>
      <c r="AS112" s="1278"/>
    </row>
    <row r="113" spans="1:45" ht="15.6">
      <c r="A113" s="1097" t="s">
        <v>53</v>
      </c>
      <c r="B113" s="1075" t="s">
        <v>122</v>
      </c>
      <c r="C113" s="851" t="s">
        <v>123</v>
      </c>
      <c r="D113" s="851" t="s">
        <v>124</v>
      </c>
      <c r="E113" s="1432" t="s">
        <v>277</v>
      </c>
      <c r="F113" s="856">
        <v>2024</v>
      </c>
      <c r="G113" s="1099">
        <v>45376</v>
      </c>
      <c r="H113" s="1192">
        <v>200105230</v>
      </c>
      <c r="I113" s="1446" t="s">
        <v>290</v>
      </c>
      <c r="J113" s="856">
        <v>7</v>
      </c>
      <c r="K113" s="3" t="s">
        <v>128</v>
      </c>
      <c r="L113" s="1201"/>
      <c r="M113" s="786">
        <v>461</v>
      </c>
      <c r="N113" s="1201"/>
      <c r="O113" s="1205">
        <v>45384</v>
      </c>
      <c r="P113" s="1203"/>
      <c r="Q113" s="3" t="s">
        <v>291</v>
      </c>
      <c r="R113" s="1209"/>
      <c r="S113" s="856" t="s">
        <v>62</v>
      </c>
      <c r="T113" s="1212"/>
      <c r="U113" s="3" t="s">
        <v>130</v>
      </c>
      <c r="V113" s="1212"/>
      <c r="W113" s="3">
        <v>330</v>
      </c>
      <c r="X113" s="1282"/>
      <c r="Y113" s="1205">
        <v>45384</v>
      </c>
      <c r="Z113" s="856" t="s">
        <v>62</v>
      </c>
      <c r="AA113" s="1232"/>
      <c r="AB113" s="1099">
        <v>45385</v>
      </c>
      <c r="AC113" s="1099">
        <v>45386</v>
      </c>
      <c r="AD113" s="1176">
        <f>248+525</f>
        <v>773</v>
      </c>
      <c r="AE113" s="1227">
        <f t="shared" si="12"/>
        <v>0.96625000000000005</v>
      </c>
      <c r="AF113" s="1283" t="s">
        <v>131</v>
      </c>
      <c r="AG113" s="1286">
        <v>1</v>
      </c>
      <c r="AH113" s="1076" t="s">
        <v>132</v>
      </c>
      <c r="AI113" s="1248">
        <v>45398</v>
      </c>
      <c r="AJ113" s="1248">
        <v>45398</v>
      </c>
      <c r="AK113" s="1288">
        <f>143409+98170</f>
        <v>241579</v>
      </c>
      <c r="AL113" s="1264">
        <f t="shared" si="13"/>
        <v>0.96631599999999995</v>
      </c>
      <c r="AM113" s="1265" t="s">
        <v>62</v>
      </c>
      <c r="AN113" s="1261">
        <v>1</v>
      </c>
      <c r="AO113" s="1276"/>
      <c r="AP113" s="1277"/>
      <c r="AQ113" s="1276"/>
      <c r="AR113" s="1278"/>
      <c r="AS113" s="1278"/>
    </row>
    <row r="114" spans="1:45" ht="15.6">
      <c r="A114" s="1097" t="s">
        <v>53</v>
      </c>
      <c r="B114" s="1075" t="s">
        <v>122</v>
      </c>
      <c r="C114" s="851" t="s">
        <v>123</v>
      </c>
      <c r="D114" s="851" t="s">
        <v>124</v>
      </c>
      <c r="E114" s="1432" t="s">
        <v>277</v>
      </c>
      <c r="F114" s="856">
        <v>2024</v>
      </c>
      <c r="G114" s="1099">
        <v>45376</v>
      </c>
      <c r="H114" s="1192">
        <v>200105231</v>
      </c>
      <c r="I114" s="1446" t="s">
        <v>292</v>
      </c>
      <c r="J114" s="856">
        <v>8</v>
      </c>
      <c r="K114" s="3" t="s">
        <v>128</v>
      </c>
      <c r="L114" s="1201"/>
      <c r="M114" s="786">
        <v>465</v>
      </c>
      <c r="N114" s="1201"/>
      <c r="O114" s="1205">
        <v>45384</v>
      </c>
      <c r="P114" s="1203"/>
      <c r="Q114" s="3" t="s">
        <v>293</v>
      </c>
      <c r="R114" s="1209"/>
      <c r="S114" s="856" t="s">
        <v>62</v>
      </c>
      <c r="T114" s="1212"/>
      <c r="U114" s="3" t="s">
        <v>130</v>
      </c>
      <c r="V114" s="1212"/>
      <c r="W114" s="3">
        <v>330.1</v>
      </c>
      <c r="X114" s="1282"/>
      <c r="Y114" s="1205">
        <v>45384</v>
      </c>
      <c r="Z114" s="856" t="s">
        <v>62</v>
      </c>
      <c r="AA114" s="1232"/>
      <c r="AB114" s="1099">
        <v>45386</v>
      </c>
      <c r="AC114" s="1099">
        <v>45386</v>
      </c>
      <c r="AD114" s="1176">
        <f>66+660+54</f>
        <v>780</v>
      </c>
      <c r="AE114" s="1227">
        <f t="shared" si="12"/>
        <v>0.97499999999999998</v>
      </c>
      <c r="AF114" s="1283" t="s">
        <v>131</v>
      </c>
      <c r="AG114" s="1286">
        <v>1</v>
      </c>
      <c r="AH114" s="1076" t="s">
        <v>132</v>
      </c>
      <c r="AI114" s="1248">
        <v>45398</v>
      </c>
      <c r="AJ114" s="1248">
        <v>45399</v>
      </c>
      <c r="AK114" s="1288">
        <f>48500+150300+44918</f>
        <v>243718</v>
      </c>
      <c r="AL114" s="1264">
        <f t="shared" si="13"/>
        <v>0.97487199999999996</v>
      </c>
      <c r="AM114" s="1265" t="s">
        <v>62</v>
      </c>
      <c r="AN114" s="1261">
        <v>1</v>
      </c>
      <c r="AO114" s="1276"/>
      <c r="AP114" s="1277"/>
      <c r="AQ114" s="1276"/>
      <c r="AR114" s="1278"/>
      <c r="AS114" s="1278"/>
    </row>
    <row r="115" spans="1:45" ht="15.6">
      <c r="A115" s="1097" t="s">
        <v>53</v>
      </c>
      <c r="B115" s="1075" t="s">
        <v>122</v>
      </c>
      <c r="C115" s="851" t="s">
        <v>123</v>
      </c>
      <c r="D115" s="851" t="s">
        <v>124</v>
      </c>
      <c r="E115" s="1432" t="s">
        <v>277</v>
      </c>
      <c r="F115" s="856">
        <v>2024</v>
      </c>
      <c r="G115" s="1099">
        <v>45376</v>
      </c>
      <c r="H115" s="1192">
        <v>200105232</v>
      </c>
      <c r="I115" s="1446" t="s">
        <v>294</v>
      </c>
      <c r="J115" s="856">
        <v>9</v>
      </c>
      <c r="K115" s="3" t="s">
        <v>128</v>
      </c>
      <c r="L115" s="1201"/>
      <c r="M115" s="786">
        <v>465.7</v>
      </c>
      <c r="N115" s="1201"/>
      <c r="O115" s="1205">
        <v>45384</v>
      </c>
      <c r="P115" s="1203"/>
      <c r="Q115" s="785" t="s">
        <v>295</v>
      </c>
      <c r="R115" s="1209"/>
      <c r="S115" s="856" t="s">
        <v>62</v>
      </c>
      <c r="T115" s="1212"/>
      <c r="U115" s="3" t="s">
        <v>130</v>
      </c>
      <c r="V115" s="1212"/>
      <c r="W115" s="3">
        <v>330.2</v>
      </c>
      <c r="X115" s="1282"/>
      <c r="Y115" s="1205">
        <v>45385</v>
      </c>
      <c r="Z115" s="856" t="s">
        <v>62</v>
      </c>
      <c r="AA115" s="1232"/>
      <c r="AB115" s="1099">
        <v>45386</v>
      </c>
      <c r="AC115" s="1099">
        <v>45387</v>
      </c>
      <c r="AD115" s="1176">
        <f>620+155</f>
        <v>775</v>
      </c>
      <c r="AE115" s="1227">
        <f t="shared" si="12"/>
        <v>0.96875</v>
      </c>
      <c r="AF115" s="1283" t="s">
        <v>131</v>
      </c>
      <c r="AG115" s="1286">
        <v>1</v>
      </c>
      <c r="AH115" s="1076" t="s">
        <v>162</v>
      </c>
      <c r="AI115" s="1248">
        <v>45398</v>
      </c>
      <c r="AJ115" s="1248">
        <v>45399</v>
      </c>
      <c r="AK115" s="1288">
        <f>52244+105000+83231</f>
        <v>240475</v>
      </c>
      <c r="AL115" s="1264">
        <f t="shared" si="13"/>
        <v>0.96189999999999998</v>
      </c>
      <c r="AM115" s="1265" t="s">
        <v>62</v>
      </c>
      <c r="AN115" s="1261">
        <v>1</v>
      </c>
      <c r="AO115" s="1276"/>
      <c r="AP115" s="1277"/>
      <c r="AQ115" s="1276"/>
      <c r="AR115" s="1278"/>
      <c r="AS115" s="1278"/>
    </row>
    <row r="116" spans="1:45" ht="15.6">
      <c r="A116" s="1097" t="s">
        <v>53</v>
      </c>
      <c r="B116" s="1075" t="s">
        <v>122</v>
      </c>
      <c r="C116" s="851" t="s">
        <v>123</v>
      </c>
      <c r="D116" s="851" t="s">
        <v>124</v>
      </c>
      <c r="E116" s="1432" t="s">
        <v>277</v>
      </c>
      <c r="F116" s="856">
        <v>2024</v>
      </c>
      <c r="G116" s="1099">
        <v>45376</v>
      </c>
      <c r="H116" s="1192">
        <v>200105233</v>
      </c>
      <c r="I116" s="1446" t="s">
        <v>296</v>
      </c>
      <c r="J116" s="856">
        <v>10</v>
      </c>
      <c r="K116" s="3" t="s">
        <v>128</v>
      </c>
      <c r="L116" s="1201"/>
      <c r="M116" s="786">
        <v>468.8</v>
      </c>
      <c r="N116" s="1201"/>
      <c r="O116" s="1205">
        <v>45384</v>
      </c>
      <c r="P116" s="1203"/>
      <c r="Q116" s="3" t="s">
        <v>297</v>
      </c>
      <c r="R116" s="1209"/>
      <c r="S116" s="856" t="s">
        <v>62</v>
      </c>
      <c r="T116" s="1212"/>
      <c r="U116" s="3" t="s">
        <v>130</v>
      </c>
      <c r="V116" s="1212"/>
      <c r="W116" s="785">
        <v>329.8</v>
      </c>
      <c r="X116" s="1282"/>
      <c r="Y116" s="1205">
        <v>45385</v>
      </c>
      <c r="Z116" s="856" t="s">
        <v>62</v>
      </c>
      <c r="AA116" s="1232"/>
      <c r="AB116" s="1099">
        <v>45387</v>
      </c>
      <c r="AC116" s="1099">
        <v>45387</v>
      </c>
      <c r="AD116" s="1176">
        <f>370+408</f>
        <v>778</v>
      </c>
      <c r="AE116" s="1227">
        <f t="shared" si="12"/>
        <v>0.97250000000000003</v>
      </c>
      <c r="AF116" s="1283" t="s">
        <v>131</v>
      </c>
      <c r="AG116" s="1286">
        <v>1</v>
      </c>
      <c r="AH116" s="1076" t="s">
        <v>132</v>
      </c>
      <c r="AI116" s="1248">
        <v>45399</v>
      </c>
      <c r="AJ116" s="1248">
        <v>45399</v>
      </c>
      <c r="AK116" s="1288">
        <f>78660+151300+12454</f>
        <v>242414</v>
      </c>
      <c r="AL116" s="1264">
        <f t="shared" si="13"/>
        <v>0.96965599999999996</v>
      </c>
      <c r="AM116" s="1265" t="s">
        <v>62</v>
      </c>
      <c r="AN116" s="1261">
        <v>1</v>
      </c>
      <c r="AO116" s="1276"/>
      <c r="AP116" s="1277"/>
      <c r="AQ116" s="1276"/>
      <c r="AR116" s="1278"/>
      <c r="AS116" s="1278"/>
    </row>
    <row r="117" spans="1:45" ht="15.6">
      <c r="A117" s="1097" t="s">
        <v>53</v>
      </c>
      <c r="B117" s="1075" t="s">
        <v>122</v>
      </c>
      <c r="C117" s="851" t="s">
        <v>123</v>
      </c>
      <c r="D117" s="851" t="s">
        <v>124</v>
      </c>
      <c r="E117" s="1432" t="s">
        <v>277</v>
      </c>
      <c r="F117" s="856">
        <v>2024</v>
      </c>
      <c r="G117" s="1099">
        <v>45383</v>
      </c>
      <c r="H117" s="3">
        <v>200105496</v>
      </c>
      <c r="I117" s="1447" t="s">
        <v>298</v>
      </c>
      <c r="J117" s="856">
        <v>11</v>
      </c>
      <c r="K117" s="3" t="s">
        <v>128</v>
      </c>
      <c r="L117" s="1201"/>
      <c r="M117" s="863">
        <v>463</v>
      </c>
      <c r="N117" s="1201"/>
      <c r="O117" s="1205">
        <v>45385</v>
      </c>
      <c r="P117" s="1203"/>
      <c r="Q117" s="3" t="s">
        <v>299</v>
      </c>
      <c r="R117" s="1209"/>
      <c r="S117" s="856" t="s">
        <v>62</v>
      </c>
      <c r="T117" s="1212"/>
      <c r="U117" s="3" t="s">
        <v>130</v>
      </c>
      <c r="V117" s="1212"/>
      <c r="W117" s="3">
        <v>330.08</v>
      </c>
      <c r="X117" s="1282"/>
      <c r="Y117" s="1205">
        <v>45385</v>
      </c>
      <c r="Z117" s="856" t="s">
        <v>62</v>
      </c>
      <c r="AA117" s="1232"/>
      <c r="AB117" s="1099">
        <v>45387</v>
      </c>
      <c r="AC117" s="1099">
        <v>45387</v>
      </c>
      <c r="AD117" s="1176">
        <f>116+666</f>
        <v>782</v>
      </c>
      <c r="AE117" s="1227">
        <f t="shared" si="12"/>
        <v>0.97750000000000004</v>
      </c>
      <c r="AF117" s="1283" t="s">
        <v>131</v>
      </c>
      <c r="AG117" s="1286">
        <v>1</v>
      </c>
      <c r="AH117" s="1076" t="s">
        <v>132</v>
      </c>
      <c r="AI117" s="1248">
        <v>45399</v>
      </c>
      <c r="AJ117" s="1248">
        <v>45400</v>
      </c>
      <c r="AK117" s="1288">
        <f>128300+115425</f>
        <v>243725</v>
      </c>
      <c r="AL117" s="1264">
        <f t="shared" si="13"/>
        <v>0.97489999999999999</v>
      </c>
      <c r="AM117" s="1265" t="s">
        <v>62</v>
      </c>
      <c r="AN117" s="1261">
        <v>1</v>
      </c>
      <c r="AO117" s="1276"/>
      <c r="AP117" s="1277"/>
      <c r="AQ117" s="1276"/>
      <c r="AR117" s="1278"/>
      <c r="AS117" s="1278"/>
    </row>
    <row r="118" spans="1:45" ht="15.6">
      <c r="A118" s="1097" t="s">
        <v>53</v>
      </c>
      <c r="B118" s="1075" t="s">
        <v>122</v>
      </c>
      <c r="C118" s="851" t="s">
        <v>123</v>
      </c>
      <c r="D118" s="851" t="s">
        <v>124</v>
      </c>
      <c r="E118" s="1432" t="s">
        <v>277</v>
      </c>
      <c r="F118" s="856">
        <v>2024</v>
      </c>
      <c r="G118" s="1099">
        <v>45383</v>
      </c>
      <c r="H118" s="3">
        <v>200105497</v>
      </c>
      <c r="I118" s="1447" t="s">
        <v>300</v>
      </c>
      <c r="J118" s="856">
        <v>12</v>
      </c>
      <c r="K118" s="3" t="s">
        <v>128</v>
      </c>
      <c r="L118" s="1201"/>
      <c r="M118" s="863">
        <v>463.4</v>
      </c>
      <c r="N118" s="1201"/>
      <c r="O118" s="1205">
        <v>45385</v>
      </c>
      <c r="P118" s="1203"/>
      <c r="Q118" s="3" t="s">
        <v>301</v>
      </c>
      <c r="R118" s="1209"/>
      <c r="S118" s="856" t="s">
        <v>62</v>
      </c>
      <c r="T118" s="1212"/>
      <c r="U118" s="3" t="s">
        <v>130</v>
      </c>
      <c r="V118" s="1212"/>
      <c r="W118" s="785">
        <v>330</v>
      </c>
      <c r="X118" s="1282"/>
      <c r="Y118" s="1205">
        <v>45386</v>
      </c>
      <c r="Z118" s="856" t="s">
        <v>62</v>
      </c>
      <c r="AA118" s="1232"/>
      <c r="AB118" s="1099">
        <v>45397</v>
      </c>
      <c r="AC118" s="1099">
        <v>45397</v>
      </c>
      <c r="AD118" s="1176">
        <f>106+670</f>
        <v>776</v>
      </c>
      <c r="AE118" s="1227">
        <f t="shared" si="12"/>
        <v>0.97</v>
      </c>
      <c r="AF118" s="1283" t="s">
        <v>131</v>
      </c>
      <c r="AG118" s="1286">
        <v>1</v>
      </c>
      <c r="AH118" s="1076" t="s">
        <v>132</v>
      </c>
      <c r="AI118" s="1248">
        <v>45400</v>
      </c>
      <c r="AJ118" s="1248">
        <v>45401</v>
      </c>
      <c r="AK118" s="1288">
        <f>82500+111856+48732</f>
        <v>243088</v>
      </c>
      <c r="AL118" s="1264">
        <f t="shared" si="13"/>
        <v>0.97235199999999999</v>
      </c>
      <c r="AM118" s="1265" t="s">
        <v>62</v>
      </c>
      <c r="AN118" s="1261">
        <v>1</v>
      </c>
      <c r="AO118" s="1276"/>
      <c r="AP118" s="1277"/>
      <c r="AQ118" s="1276"/>
      <c r="AR118" s="1278"/>
      <c r="AS118" s="1278"/>
    </row>
    <row r="119" spans="1:45" ht="15.6">
      <c r="A119" s="1097" t="s">
        <v>53</v>
      </c>
      <c r="B119" s="1075" t="s">
        <v>122</v>
      </c>
      <c r="C119" s="851" t="s">
        <v>123</v>
      </c>
      <c r="D119" s="851" t="s">
        <v>124</v>
      </c>
      <c r="E119" s="1432" t="s">
        <v>277</v>
      </c>
      <c r="F119" s="856">
        <v>2024</v>
      </c>
      <c r="G119" s="1099">
        <v>45383</v>
      </c>
      <c r="H119" s="3">
        <v>200105498</v>
      </c>
      <c r="I119" s="1447" t="s">
        <v>302</v>
      </c>
      <c r="J119" s="856">
        <v>13</v>
      </c>
      <c r="K119" s="3" t="s">
        <v>128</v>
      </c>
      <c r="L119" s="1201"/>
      <c r="M119" s="859">
        <v>471.1</v>
      </c>
      <c r="N119" s="1201"/>
      <c r="O119" s="1205">
        <v>45385</v>
      </c>
      <c r="P119" s="1203"/>
      <c r="Q119" s="3" t="s">
        <v>303</v>
      </c>
      <c r="R119" s="1209"/>
      <c r="S119" s="856" t="s">
        <v>62</v>
      </c>
      <c r="T119" s="1212"/>
      <c r="U119" s="3" t="s">
        <v>130</v>
      </c>
      <c r="V119" s="1212"/>
      <c r="W119" s="785">
        <v>329.9</v>
      </c>
      <c r="X119" s="1282"/>
      <c r="Y119" s="1205">
        <v>45386</v>
      </c>
      <c r="Z119" s="856" t="s">
        <v>62</v>
      </c>
      <c r="AA119" s="1232"/>
      <c r="AB119" s="1099">
        <v>45398</v>
      </c>
      <c r="AC119" s="1099">
        <v>45398</v>
      </c>
      <c r="AD119" s="1176">
        <f>634+153</f>
        <v>787</v>
      </c>
      <c r="AE119" s="1227">
        <f t="shared" si="12"/>
        <v>0.98375000000000001</v>
      </c>
      <c r="AF119" s="1283" t="s">
        <v>131</v>
      </c>
      <c r="AG119" s="1286">
        <v>1</v>
      </c>
      <c r="AH119" s="1076" t="s">
        <v>132</v>
      </c>
      <c r="AI119" s="1248">
        <v>45401</v>
      </c>
      <c r="AJ119" s="1248">
        <v>45404</v>
      </c>
      <c r="AK119" s="1288">
        <f>73600+129200+42902</f>
        <v>245702</v>
      </c>
      <c r="AL119" s="1264">
        <f t="shared" si="13"/>
        <v>0.98280800000000001</v>
      </c>
      <c r="AM119" s="1265" t="s">
        <v>62</v>
      </c>
      <c r="AN119" s="1261">
        <v>1</v>
      </c>
      <c r="AO119" s="1276"/>
      <c r="AP119" s="1277"/>
      <c r="AQ119" s="1276"/>
      <c r="AR119" s="1278"/>
      <c r="AS119" s="1278"/>
    </row>
    <row r="120" spans="1:45" ht="15.6">
      <c r="A120" s="1097" t="s">
        <v>53</v>
      </c>
      <c r="B120" s="1075" t="s">
        <v>122</v>
      </c>
      <c r="C120" s="851" t="s">
        <v>123</v>
      </c>
      <c r="D120" s="851" t="s">
        <v>124</v>
      </c>
      <c r="E120" s="1432" t="s">
        <v>277</v>
      </c>
      <c r="F120" s="856">
        <v>2024</v>
      </c>
      <c r="G120" s="1099">
        <v>45383</v>
      </c>
      <c r="H120" s="3">
        <v>200105499</v>
      </c>
      <c r="I120" s="1447" t="s">
        <v>304</v>
      </c>
      <c r="J120" s="856">
        <v>14</v>
      </c>
      <c r="K120" s="3" t="s">
        <v>128</v>
      </c>
      <c r="L120" s="1201"/>
      <c r="M120" s="863">
        <v>469.3</v>
      </c>
      <c r="N120" s="1201"/>
      <c r="O120" s="1205">
        <v>45385</v>
      </c>
      <c r="P120" s="1203"/>
      <c r="Q120" s="3" t="s">
        <v>305</v>
      </c>
      <c r="R120" s="1209"/>
      <c r="S120" s="856" t="s">
        <v>62</v>
      </c>
      <c r="T120" s="1212"/>
      <c r="U120" s="3" t="s">
        <v>130</v>
      </c>
      <c r="V120" s="1212"/>
      <c r="W120" s="785">
        <v>330</v>
      </c>
      <c r="X120" s="1282"/>
      <c r="Y120" s="1205">
        <v>45386</v>
      </c>
      <c r="Z120" s="856" t="s">
        <v>62</v>
      </c>
      <c r="AA120" s="1232"/>
      <c r="AB120" s="1099">
        <v>45398</v>
      </c>
      <c r="AC120" s="1099">
        <v>45398</v>
      </c>
      <c r="AD120" s="1176">
        <f>492+292</f>
        <v>784</v>
      </c>
      <c r="AE120" s="1227">
        <f t="shared" si="12"/>
        <v>0.98</v>
      </c>
      <c r="AF120" s="1283" t="s">
        <v>131</v>
      </c>
      <c r="AG120" s="1286">
        <v>1</v>
      </c>
      <c r="AH120" s="1076" t="s">
        <v>132</v>
      </c>
      <c r="AI120" s="1248">
        <v>45404</v>
      </c>
      <c r="AJ120" s="1248">
        <v>45404</v>
      </c>
      <c r="AK120" s="1288">
        <f>82500+150000+12328</f>
        <v>244828</v>
      </c>
      <c r="AL120" s="1264">
        <f t="shared" si="13"/>
        <v>0.97931199999999996</v>
      </c>
      <c r="AM120" s="1265" t="s">
        <v>62</v>
      </c>
      <c r="AN120" s="1261">
        <v>1</v>
      </c>
      <c r="AO120" s="1276"/>
      <c r="AP120" s="1277"/>
      <c r="AQ120" s="1276"/>
      <c r="AR120" s="1278"/>
      <c r="AS120" s="1278"/>
    </row>
    <row r="121" spans="1:45" ht="15.6">
      <c r="A121" s="1097" t="s">
        <v>53</v>
      </c>
      <c r="B121" s="1075" t="s">
        <v>122</v>
      </c>
      <c r="C121" s="851" t="s">
        <v>123</v>
      </c>
      <c r="D121" s="851" t="s">
        <v>124</v>
      </c>
      <c r="E121" s="1432" t="s">
        <v>277</v>
      </c>
      <c r="F121" s="856">
        <v>2024</v>
      </c>
      <c r="G121" s="1099">
        <v>45384</v>
      </c>
      <c r="H121" s="3">
        <v>200105502</v>
      </c>
      <c r="I121" s="1448" t="s">
        <v>306</v>
      </c>
      <c r="J121" s="856">
        <v>15</v>
      </c>
      <c r="K121" s="3" t="s">
        <v>128</v>
      </c>
      <c r="L121" s="1201"/>
      <c r="M121" s="786">
        <v>463.55</v>
      </c>
      <c r="N121" s="1201"/>
      <c r="O121" s="1205">
        <v>45386</v>
      </c>
      <c r="P121" s="1203"/>
      <c r="Q121" s="3" t="s">
        <v>307</v>
      </c>
      <c r="R121" s="1209"/>
      <c r="S121" s="856" t="s">
        <v>62</v>
      </c>
      <c r="T121" s="1212"/>
      <c r="U121" s="3" t="s">
        <v>130</v>
      </c>
      <c r="V121" s="1212"/>
      <c r="W121" s="3">
        <v>329.9</v>
      </c>
      <c r="X121" s="1282"/>
      <c r="Y121" s="1205">
        <v>45386</v>
      </c>
      <c r="Z121" s="856" t="s">
        <v>62</v>
      </c>
      <c r="AA121" s="1232"/>
      <c r="AB121" s="1099">
        <v>45398</v>
      </c>
      <c r="AC121" s="1099">
        <v>45399</v>
      </c>
      <c r="AD121" s="1176">
        <f>355+422</f>
        <v>777</v>
      </c>
      <c r="AE121" s="1227">
        <f t="shared" si="12"/>
        <v>0.97124999999999995</v>
      </c>
      <c r="AF121" s="1283" t="s">
        <v>131</v>
      </c>
      <c r="AG121" s="1286">
        <v>1</v>
      </c>
      <c r="AH121" s="1076" t="s">
        <v>132</v>
      </c>
      <c r="AI121" s="1248">
        <v>45404</v>
      </c>
      <c r="AJ121" s="1248">
        <v>45405</v>
      </c>
      <c r="AK121" s="1288">
        <f>137100+105491</f>
        <v>242591</v>
      </c>
      <c r="AL121" s="1264">
        <f t="shared" si="13"/>
        <v>0.970364</v>
      </c>
      <c r="AM121" s="1265" t="s">
        <v>62</v>
      </c>
      <c r="AN121" s="1261">
        <v>1</v>
      </c>
      <c r="AO121" s="1276"/>
      <c r="AP121" s="1277"/>
      <c r="AQ121" s="1276"/>
      <c r="AR121" s="1278"/>
      <c r="AS121" s="1278"/>
    </row>
    <row r="122" spans="1:45" ht="15.6">
      <c r="A122" s="1097" t="s">
        <v>53</v>
      </c>
      <c r="B122" s="1075" t="s">
        <v>122</v>
      </c>
      <c r="C122" s="851" t="s">
        <v>123</v>
      </c>
      <c r="D122" s="851" t="s">
        <v>124</v>
      </c>
      <c r="E122" s="1432" t="s">
        <v>277</v>
      </c>
      <c r="F122" s="856">
        <v>2024</v>
      </c>
      <c r="G122" s="1099">
        <v>45384</v>
      </c>
      <c r="H122" s="3">
        <v>200105503</v>
      </c>
      <c r="I122" s="1448" t="s">
        <v>308</v>
      </c>
      <c r="J122" s="856">
        <v>16</v>
      </c>
      <c r="K122" s="3" t="s">
        <v>128</v>
      </c>
      <c r="L122" s="1201"/>
      <c r="M122" s="786">
        <v>469.28</v>
      </c>
      <c r="N122" s="1201"/>
      <c r="O122" s="1205">
        <v>45386</v>
      </c>
      <c r="P122" s="1203"/>
      <c r="Q122" s="3" t="s">
        <v>309</v>
      </c>
      <c r="R122" s="1209"/>
      <c r="S122" s="856" t="s">
        <v>62</v>
      </c>
      <c r="T122" s="1212"/>
      <c r="U122" s="3" t="s">
        <v>130</v>
      </c>
      <c r="V122" s="1212"/>
      <c r="W122" s="859">
        <v>330</v>
      </c>
      <c r="X122" s="1282"/>
      <c r="Y122" s="1205">
        <v>45387</v>
      </c>
      <c r="Z122" s="856" t="s">
        <v>62</v>
      </c>
      <c r="AA122" s="1232"/>
      <c r="AB122" s="1099">
        <v>45399</v>
      </c>
      <c r="AC122" s="1099">
        <v>45399</v>
      </c>
      <c r="AD122" s="1176">
        <f>264+521</f>
        <v>785</v>
      </c>
      <c r="AE122" s="1227">
        <f t="shared" si="12"/>
        <v>0.98124999999999996</v>
      </c>
      <c r="AF122" s="1283" t="s">
        <v>131</v>
      </c>
      <c r="AG122" s="1286">
        <v>1</v>
      </c>
      <c r="AH122" s="1076" t="s">
        <v>132</v>
      </c>
      <c r="AI122" s="1248">
        <v>45405</v>
      </c>
      <c r="AJ122" s="1248">
        <v>45405</v>
      </c>
      <c r="AK122" s="1288">
        <f>20600+162600+61876</f>
        <v>245076</v>
      </c>
      <c r="AL122" s="1264">
        <f t="shared" si="13"/>
        <v>0.98030399999999995</v>
      </c>
      <c r="AM122" s="1265" t="s">
        <v>62</v>
      </c>
      <c r="AN122" s="1261">
        <v>1</v>
      </c>
      <c r="AO122" s="1276"/>
      <c r="AP122" s="1277"/>
      <c r="AQ122" s="1276"/>
      <c r="AR122" s="1278"/>
      <c r="AS122" s="1278"/>
    </row>
    <row r="123" spans="1:45" ht="15.6">
      <c r="A123" s="1097" t="s">
        <v>53</v>
      </c>
      <c r="B123" s="1075" t="s">
        <v>122</v>
      </c>
      <c r="C123" s="851" t="s">
        <v>123</v>
      </c>
      <c r="D123" s="851" t="s">
        <v>124</v>
      </c>
      <c r="E123" s="1432" t="s">
        <v>277</v>
      </c>
      <c r="F123" s="856">
        <v>2024</v>
      </c>
      <c r="G123" s="1099">
        <v>45384</v>
      </c>
      <c r="H123" s="3">
        <v>200105504</v>
      </c>
      <c r="I123" s="1448" t="s">
        <v>310</v>
      </c>
      <c r="J123" s="856">
        <v>17</v>
      </c>
      <c r="K123" s="3" t="s">
        <v>128</v>
      </c>
      <c r="L123" s="1201"/>
      <c r="M123" s="786">
        <v>464.35</v>
      </c>
      <c r="N123" s="1201"/>
      <c r="O123" s="1205">
        <v>45386</v>
      </c>
      <c r="P123" s="1203"/>
      <c r="Q123" s="3" t="s">
        <v>311</v>
      </c>
      <c r="R123" s="1209"/>
      <c r="S123" s="856" t="s">
        <v>62</v>
      </c>
      <c r="T123" s="1212"/>
      <c r="U123" s="3" t="s">
        <v>130</v>
      </c>
      <c r="V123" s="1212"/>
      <c r="W123" s="859">
        <v>330</v>
      </c>
      <c r="X123" s="1282"/>
      <c r="Y123" s="1205">
        <v>45387</v>
      </c>
      <c r="Z123" s="856" t="s">
        <v>62</v>
      </c>
      <c r="AA123" s="1232"/>
      <c r="AB123" s="1099">
        <v>45399</v>
      </c>
      <c r="AC123" s="1099">
        <v>45399</v>
      </c>
      <c r="AD123" s="1176">
        <f>116+662</f>
        <v>778</v>
      </c>
      <c r="AE123" s="1227">
        <f t="shared" si="12"/>
        <v>0.97250000000000003</v>
      </c>
      <c r="AF123" s="1283" t="s">
        <v>131</v>
      </c>
      <c r="AG123" s="1286">
        <v>1</v>
      </c>
      <c r="AH123" s="1076" t="s">
        <v>132</v>
      </c>
      <c r="AI123" s="1248">
        <v>45405</v>
      </c>
      <c r="AJ123" s="1248">
        <v>45406</v>
      </c>
      <c r="AK123" s="1288">
        <f>103300+139490</f>
        <v>242790</v>
      </c>
      <c r="AL123" s="1264">
        <f t="shared" si="13"/>
        <v>0.97116000000000002</v>
      </c>
      <c r="AM123" s="1265" t="s">
        <v>62</v>
      </c>
      <c r="AN123" s="1261">
        <v>1</v>
      </c>
      <c r="AO123" s="1276"/>
      <c r="AP123" s="1277"/>
      <c r="AQ123" s="1276"/>
      <c r="AR123" s="1278"/>
      <c r="AS123" s="1278"/>
    </row>
    <row r="124" spans="1:45" ht="15.6">
      <c r="A124" s="1097" t="s">
        <v>53</v>
      </c>
      <c r="B124" s="1075" t="s">
        <v>122</v>
      </c>
      <c r="C124" s="851" t="s">
        <v>123</v>
      </c>
      <c r="D124" s="851" t="s">
        <v>124</v>
      </c>
      <c r="E124" s="1432" t="s">
        <v>277</v>
      </c>
      <c r="F124" s="856">
        <v>2024</v>
      </c>
      <c r="G124" s="1099">
        <v>45384</v>
      </c>
      <c r="H124" s="3">
        <v>200105505</v>
      </c>
      <c r="I124" s="1448" t="s">
        <v>312</v>
      </c>
      <c r="J124" s="856">
        <v>18</v>
      </c>
      <c r="K124" s="3" t="s">
        <v>128</v>
      </c>
      <c r="L124" s="1201"/>
      <c r="M124" s="786">
        <v>464.7</v>
      </c>
      <c r="N124" s="1201"/>
      <c r="O124" s="1205">
        <v>45386</v>
      </c>
      <c r="P124" s="1203"/>
      <c r="Q124" s="785" t="s">
        <v>313</v>
      </c>
      <c r="R124" s="1209"/>
      <c r="S124" s="856" t="s">
        <v>62</v>
      </c>
      <c r="T124" s="1212"/>
      <c r="U124" s="3" t="s">
        <v>130</v>
      </c>
      <c r="V124" s="1212"/>
      <c r="W124" s="859">
        <v>330</v>
      </c>
      <c r="X124" s="1282"/>
      <c r="Y124" s="1205">
        <v>45397</v>
      </c>
      <c r="Z124" s="856" t="s">
        <v>62</v>
      </c>
      <c r="AA124" s="1232"/>
      <c r="AB124" s="1099">
        <v>45400</v>
      </c>
      <c r="AC124" s="1099">
        <v>45400</v>
      </c>
      <c r="AD124" s="1176">
        <f>700+73</f>
        <v>773</v>
      </c>
      <c r="AE124" s="1227">
        <f t="shared" si="12"/>
        <v>0.96625000000000005</v>
      </c>
      <c r="AF124" s="1283" t="s">
        <v>131</v>
      </c>
      <c r="AG124" s="1286">
        <v>1</v>
      </c>
      <c r="AH124" s="1076" t="s">
        <v>132</v>
      </c>
      <c r="AI124" s="1248">
        <v>45406</v>
      </c>
      <c r="AJ124" s="1248">
        <v>45406</v>
      </c>
      <c r="AK124" s="1288">
        <f>138300+103118</f>
        <v>241418</v>
      </c>
      <c r="AL124" s="1264">
        <f t="shared" si="13"/>
        <v>0.96567199999999997</v>
      </c>
      <c r="AM124" s="1265" t="s">
        <v>62</v>
      </c>
      <c r="AN124" s="1261">
        <v>1</v>
      </c>
      <c r="AO124" s="1276"/>
      <c r="AP124" s="1277"/>
      <c r="AQ124" s="1276"/>
      <c r="AR124" s="1278"/>
      <c r="AS124" s="1278"/>
    </row>
    <row r="125" spans="1:45" ht="15.6">
      <c r="A125" s="1097" t="s">
        <v>53</v>
      </c>
      <c r="B125" s="1075" t="s">
        <v>122</v>
      </c>
      <c r="C125" s="851" t="s">
        <v>123</v>
      </c>
      <c r="D125" s="851" t="s">
        <v>124</v>
      </c>
      <c r="E125" s="1432" t="s">
        <v>277</v>
      </c>
      <c r="F125" s="856">
        <v>2024</v>
      </c>
      <c r="G125" s="1099">
        <v>45384</v>
      </c>
      <c r="H125" s="3">
        <v>200105506</v>
      </c>
      <c r="I125" s="1448" t="s">
        <v>314</v>
      </c>
      <c r="J125" s="856">
        <v>19</v>
      </c>
      <c r="K125" s="3" t="s">
        <v>128</v>
      </c>
      <c r="L125" s="1201"/>
      <c r="M125" s="786">
        <v>457.78</v>
      </c>
      <c r="N125" s="1201"/>
      <c r="O125" s="1205">
        <v>45386</v>
      </c>
      <c r="P125" s="1203"/>
      <c r="Q125" s="785" t="s">
        <v>315</v>
      </c>
      <c r="R125" s="1209"/>
      <c r="S125" s="856" t="s">
        <v>62</v>
      </c>
      <c r="T125" s="1212"/>
      <c r="U125" s="3" t="s">
        <v>130</v>
      </c>
      <c r="V125" s="1212"/>
      <c r="W125" s="859">
        <v>330</v>
      </c>
      <c r="X125" s="1282"/>
      <c r="Y125" s="1205">
        <v>45397</v>
      </c>
      <c r="Z125" s="856" t="s">
        <v>62</v>
      </c>
      <c r="AA125" s="1232"/>
      <c r="AB125" s="1099">
        <v>45400</v>
      </c>
      <c r="AC125" s="1099">
        <v>45400</v>
      </c>
      <c r="AD125" s="1176">
        <f>574+201</f>
        <v>775</v>
      </c>
      <c r="AE125" s="1227">
        <f t="shared" si="12"/>
        <v>0.96875</v>
      </c>
      <c r="AF125" s="1283" t="s">
        <v>131</v>
      </c>
      <c r="AG125" s="1286">
        <v>1</v>
      </c>
      <c r="AH125" s="1076" t="s">
        <v>132</v>
      </c>
      <c r="AI125" s="1248">
        <v>45406</v>
      </c>
      <c r="AJ125" s="1248">
        <v>45407</v>
      </c>
      <c r="AK125" s="1288">
        <f>55900+136900+43285</f>
        <v>236085</v>
      </c>
      <c r="AL125" s="1264">
        <f t="shared" si="13"/>
        <v>0.94433999999999996</v>
      </c>
      <c r="AM125" s="1265" t="s">
        <v>62</v>
      </c>
      <c r="AN125" s="1261">
        <v>1</v>
      </c>
      <c r="AO125" s="1276"/>
      <c r="AP125" s="1277"/>
      <c r="AQ125" s="1276"/>
      <c r="AR125" s="1278"/>
      <c r="AS125" s="1278"/>
    </row>
    <row r="126" spans="1:45" ht="15.6">
      <c r="A126" s="1097" t="s">
        <v>53</v>
      </c>
      <c r="B126" s="1075" t="s">
        <v>122</v>
      </c>
      <c r="C126" s="851" t="s">
        <v>123</v>
      </c>
      <c r="D126" s="851" t="s">
        <v>124</v>
      </c>
      <c r="E126" s="1432" t="s">
        <v>277</v>
      </c>
      <c r="F126" s="856">
        <v>2024</v>
      </c>
      <c r="G126" s="1099">
        <v>45384</v>
      </c>
      <c r="H126" s="3">
        <v>200105507</v>
      </c>
      <c r="I126" s="1448" t="s">
        <v>316</v>
      </c>
      <c r="J126" s="856">
        <v>20</v>
      </c>
      <c r="K126" s="3" t="s">
        <v>128</v>
      </c>
      <c r="L126" s="1201"/>
      <c r="M126" s="786">
        <v>465.2</v>
      </c>
      <c r="N126" s="1201"/>
      <c r="O126" s="1205">
        <v>45386</v>
      </c>
      <c r="P126" s="1203"/>
      <c r="Q126" s="3" t="s">
        <v>317</v>
      </c>
      <c r="R126" s="1209"/>
      <c r="S126" s="856" t="s">
        <v>62</v>
      </c>
      <c r="T126" s="1212"/>
      <c r="U126" s="3" t="s">
        <v>130</v>
      </c>
      <c r="V126" s="1212"/>
      <c r="W126" s="762">
        <v>329.8</v>
      </c>
      <c r="X126" s="1282"/>
      <c r="Y126" s="1205">
        <v>45398</v>
      </c>
      <c r="Z126" s="856" t="s">
        <v>62</v>
      </c>
      <c r="AA126" s="1232"/>
      <c r="AB126" s="1099">
        <v>45400</v>
      </c>
      <c r="AC126" s="1099">
        <v>45401</v>
      </c>
      <c r="AD126" s="1176">
        <f>462+319</f>
        <v>781</v>
      </c>
      <c r="AE126" s="1227">
        <f t="shared" si="12"/>
        <v>0.97624999999999995</v>
      </c>
      <c r="AF126" s="1283" t="s">
        <v>131</v>
      </c>
      <c r="AG126" s="1286">
        <v>1</v>
      </c>
      <c r="AH126" s="1076" t="s">
        <v>132</v>
      </c>
      <c r="AI126" s="1248">
        <v>45407</v>
      </c>
      <c r="AJ126" s="1248">
        <v>45407</v>
      </c>
      <c r="AK126" s="1288">
        <f>91900+151662</f>
        <v>243562</v>
      </c>
      <c r="AL126" s="1264">
        <f t="shared" si="13"/>
        <v>0.974248</v>
      </c>
      <c r="AM126" s="1265" t="s">
        <v>62</v>
      </c>
      <c r="AN126" s="1261">
        <v>1</v>
      </c>
      <c r="AO126" s="1276"/>
      <c r="AP126" s="1277"/>
      <c r="AQ126" s="1276"/>
      <c r="AR126" s="1278"/>
      <c r="AS126" s="1278"/>
    </row>
    <row r="127" spans="1:45" ht="15.6">
      <c r="A127" s="1097" t="s">
        <v>53</v>
      </c>
      <c r="B127" s="1075"/>
      <c r="C127" s="851"/>
      <c r="D127" s="851"/>
      <c r="E127" s="856"/>
      <c r="F127" s="856"/>
      <c r="G127" s="1099"/>
      <c r="H127" s="3"/>
      <c r="I127" s="3"/>
      <c r="J127" s="856"/>
      <c r="K127" s="851"/>
      <c r="L127" s="851"/>
      <c r="M127" s="851"/>
      <c r="N127" s="851"/>
      <c r="O127" s="1205"/>
      <c r="P127" s="1205"/>
      <c r="Q127" s="851"/>
      <c r="R127" s="1209"/>
      <c r="S127" s="851"/>
      <c r="T127" s="1215"/>
      <c r="U127" s="851"/>
      <c r="V127" s="851"/>
      <c r="W127" s="851"/>
      <c r="X127" s="1179"/>
      <c r="Y127" s="1205"/>
      <c r="Z127" s="851"/>
      <c r="AA127" s="1232"/>
      <c r="AB127" s="1099"/>
      <c r="AC127" s="1099"/>
      <c r="AD127" s="1176"/>
      <c r="AE127" s="1227"/>
      <c r="AF127" s="1283"/>
      <c r="AG127" s="1289"/>
      <c r="AH127" s="1076"/>
      <c r="AI127" s="1248"/>
      <c r="AJ127" s="1248"/>
      <c r="AK127" s="1285"/>
      <c r="AL127" s="1264"/>
      <c r="AM127" s="1269"/>
      <c r="AN127" s="1261"/>
      <c r="AO127" s="1276"/>
      <c r="AP127" s="1277"/>
      <c r="AQ127" s="1276"/>
      <c r="AR127" s="1278"/>
      <c r="AS127" s="1278"/>
    </row>
    <row r="128" spans="1:45" ht="15.6">
      <c r="A128" s="1097" t="s">
        <v>53</v>
      </c>
      <c r="B128" s="1075" t="s">
        <v>122</v>
      </c>
      <c r="C128" s="851" t="s">
        <v>123</v>
      </c>
      <c r="D128" s="851" t="s">
        <v>124</v>
      </c>
      <c r="E128" s="1432" t="s">
        <v>57</v>
      </c>
      <c r="F128" s="856">
        <v>2024</v>
      </c>
      <c r="G128" s="1099">
        <v>45387</v>
      </c>
      <c r="H128" s="3">
        <v>200105646</v>
      </c>
      <c r="I128" s="1449" t="s">
        <v>318</v>
      </c>
      <c r="J128" s="856">
        <v>1</v>
      </c>
      <c r="K128" s="3" t="s">
        <v>128</v>
      </c>
      <c r="L128" s="1201"/>
      <c r="M128" s="762">
        <v>462.3</v>
      </c>
      <c r="N128" s="804"/>
      <c r="O128" s="1205">
        <v>45400</v>
      </c>
      <c r="P128" s="1203"/>
      <c r="Q128" s="3" t="s">
        <v>319</v>
      </c>
      <c r="R128" s="1209"/>
      <c r="S128" s="856" t="s">
        <v>62</v>
      </c>
      <c r="T128" s="1212"/>
      <c r="U128" s="3" t="s">
        <v>130</v>
      </c>
      <c r="V128" s="848"/>
      <c r="W128" s="3">
        <v>330.1</v>
      </c>
      <c r="X128" s="1282"/>
      <c r="Y128" s="1205">
        <v>45399</v>
      </c>
      <c r="Z128" s="856" t="s">
        <v>62</v>
      </c>
      <c r="AA128" s="1232"/>
      <c r="AB128" s="1099">
        <v>45401</v>
      </c>
      <c r="AC128" s="1099">
        <v>45401</v>
      </c>
      <c r="AD128" s="1176">
        <f>248+533</f>
        <v>781</v>
      </c>
      <c r="AE128" s="1227">
        <f t="shared" ref="AE128:AE155" si="14">AD128/800</f>
        <v>0.97624999999999995</v>
      </c>
      <c r="AF128" s="1283" t="s">
        <v>131</v>
      </c>
      <c r="AG128" s="1286">
        <v>1</v>
      </c>
      <c r="AH128" s="1076" t="s">
        <v>132</v>
      </c>
      <c r="AI128" s="1248">
        <v>45408</v>
      </c>
      <c r="AJ128" s="1248">
        <v>45408</v>
      </c>
      <c r="AK128" s="1288">
        <f>111000+132812</f>
        <v>243812</v>
      </c>
      <c r="AL128" s="1264">
        <f t="shared" ref="AL128:AL155" si="15">AK128/250000</f>
        <v>0.975248</v>
      </c>
      <c r="AM128" s="1265" t="s">
        <v>62</v>
      </c>
      <c r="AN128" s="1261">
        <v>1</v>
      </c>
      <c r="AO128" s="1276"/>
      <c r="AP128" s="1277"/>
      <c r="AQ128" s="1276"/>
      <c r="AR128" s="1278"/>
      <c r="AS128" s="1278"/>
    </row>
    <row r="129" spans="1:45" ht="15.6">
      <c r="A129" s="1097" t="s">
        <v>53</v>
      </c>
      <c r="B129" s="1075" t="s">
        <v>122</v>
      </c>
      <c r="C129" s="851" t="s">
        <v>123</v>
      </c>
      <c r="D129" s="851" t="s">
        <v>124</v>
      </c>
      <c r="E129" s="1432" t="s">
        <v>57</v>
      </c>
      <c r="F129" s="856">
        <v>2024</v>
      </c>
      <c r="G129" s="1099">
        <v>45399</v>
      </c>
      <c r="H129" s="3">
        <v>200105661</v>
      </c>
      <c r="I129" s="1450" t="s">
        <v>320</v>
      </c>
      <c r="J129" s="856">
        <v>2</v>
      </c>
      <c r="K129" s="3" t="s">
        <v>128</v>
      </c>
      <c r="L129" s="1201"/>
      <c r="M129" s="786">
        <v>460.7</v>
      </c>
      <c r="N129" s="804"/>
      <c r="O129" s="1205">
        <v>45407</v>
      </c>
      <c r="P129" s="1203"/>
      <c r="Q129" s="784" t="s">
        <v>321</v>
      </c>
      <c r="R129" s="1209"/>
      <c r="S129" s="856" t="s">
        <v>62</v>
      </c>
      <c r="T129" s="1212"/>
      <c r="U129" s="3" t="s">
        <v>130</v>
      </c>
      <c r="V129" s="848"/>
      <c r="W129" s="786">
        <v>330.1</v>
      </c>
      <c r="X129" s="1282"/>
      <c r="Y129" s="1205">
        <v>45407</v>
      </c>
      <c r="Z129" s="856" t="s">
        <v>62</v>
      </c>
      <c r="AA129" s="1232"/>
      <c r="AB129" s="1099">
        <v>45411</v>
      </c>
      <c r="AC129" s="1099">
        <v>45411</v>
      </c>
      <c r="AD129" s="1176">
        <f>620+154</f>
        <v>774</v>
      </c>
      <c r="AE129" s="1227">
        <f t="shared" si="14"/>
        <v>0.96750000000000003</v>
      </c>
      <c r="AF129" s="1283" t="s">
        <v>131</v>
      </c>
      <c r="AG129" s="1286">
        <v>1</v>
      </c>
      <c r="AH129" s="1076" t="s">
        <v>132</v>
      </c>
      <c r="AI129" s="1248">
        <v>45414</v>
      </c>
      <c r="AJ129" s="1248">
        <v>45414</v>
      </c>
      <c r="AK129" s="1288">
        <f>40200+122997+78144</f>
        <v>241341</v>
      </c>
      <c r="AL129" s="1264">
        <f t="shared" si="15"/>
        <v>0.965364</v>
      </c>
      <c r="AM129" s="1265" t="s">
        <v>62</v>
      </c>
      <c r="AN129" s="1261">
        <v>1</v>
      </c>
      <c r="AO129" s="1276"/>
      <c r="AP129" s="1277"/>
      <c r="AQ129" s="1276"/>
      <c r="AR129" s="1278"/>
      <c r="AS129" s="1278"/>
    </row>
    <row r="130" spans="1:45" ht="15.6">
      <c r="A130" s="1097" t="s">
        <v>53</v>
      </c>
      <c r="B130" s="1075" t="s">
        <v>122</v>
      </c>
      <c r="C130" s="851" t="s">
        <v>123</v>
      </c>
      <c r="D130" s="851" t="s">
        <v>124</v>
      </c>
      <c r="E130" s="1432" t="s">
        <v>57</v>
      </c>
      <c r="F130" s="856">
        <v>2024</v>
      </c>
      <c r="G130" s="1099">
        <v>45399</v>
      </c>
      <c r="H130" s="3">
        <v>200105662</v>
      </c>
      <c r="I130" s="1450" t="s">
        <v>322</v>
      </c>
      <c r="J130" s="856">
        <v>3</v>
      </c>
      <c r="K130" s="3" t="s">
        <v>128</v>
      </c>
      <c r="L130" s="1201"/>
      <c r="M130" s="786">
        <v>463.4</v>
      </c>
      <c r="N130" s="804"/>
      <c r="O130" s="1205">
        <v>45407</v>
      </c>
      <c r="P130" s="1203"/>
      <c r="Q130" s="784" t="s">
        <v>323</v>
      </c>
      <c r="R130" s="1209"/>
      <c r="S130" s="856" t="s">
        <v>62</v>
      </c>
      <c r="T130" s="1212"/>
      <c r="U130" s="3" t="s">
        <v>130</v>
      </c>
      <c r="V130" s="848"/>
      <c r="W130" s="786">
        <v>329.9</v>
      </c>
      <c r="X130" s="1282"/>
      <c r="Y130" s="1205">
        <v>45407</v>
      </c>
      <c r="Z130" s="856" t="s">
        <v>62</v>
      </c>
      <c r="AA130" s="1232"/>
      <c r="AB130" s="1099">
        <v>45411</v>
      </c>
      <c r="AC130" s="1099">
        <v>45411</v>
      </c>
      <c r="AD130" s="1176">
        <f>488+288</f>
        <v>776</v>
      </c>
      <c r="AE130" s="1227">
        <f t="shared" si="14"/>
        <v>0.97</v>
      </c>
      <c r="AF130" s="1283" t="s">
        <v>131</v>
      </c>
      <c r="AG130" s="1286">
        <v>1</v>
      </c>
      <c r="AH130" s="1076" t="s">
        <v>132</v>
      </c>
      <c r="AI130" s="1248">
        <v>45414</v>
      </c>
      <c r="AJ130" s="1248">
        <v>45415</v>
      </c>
      <c r="AK130" s="1288">
        <f>65500+127000+49710</f>
        <v>242210</v>
      </c>
      <c r="AL130" s="1264">
        <f t="shared" si="15"/>
        <v>0.96884000000000003</v>
      </c>
      <c r="AM130" s="1265" t="s">
        <v>62</v>
      </c>
      <c r="AN130" s="1261">
        <v>1</v>
      </c>
      <c r="AO130" s="1276"/>
      <c r="AP130" s="1277"/>
      <c r="AQ130" s="1276"/>
      <c r="AR130" s="1278"/>
      <c r="AS130" s="1278"/>
    </row>
    <row r="131" spans="1:45" ht="15.6">
      <c r="A131" s="1097" t="s">
        <v>53</v>
      </c>
      <c r="B131" s="1075" t="s">
        <v>122</v>
      </c>
      <c r="C131" s="851" t="s">
        <v>123</v>
      </c>
      <c r="D131" s="851" t="s">
        <v>124</v>
      </c>
      <c r="E131" s="1432" t="s">
        <v>57</v>
      </c>
      <c r="F131" s="856">
        <v>2024</v>
      </c>
      <c r="G131" s="1099">
        <v>45399</v>
      </c>
      <c r="H131" s="3">
        <v>200105663</v>
      </c>
      <c r="I131" s="1450" t="s">
        <v>324</v>
      </c>
      <c r="J131" s="856">
        <v>4</v>
      </c>
      <c r="K131" s="3" t="s">
        <v>128</v>
      </c>
      <c r="L131" s="1201"/>
      <c r="M131" s="786">
        <v>467</v>
      </c>
      <c r="N131" s="804"/>
      <c r="O131" s="1205">
        <v>45408</v>
      </c>
      <c r="P131" s="1203"/>
      <c r="Q131" s="3" t="s">
        <v>325</v>
      </c>
      <c r="R131" s="1209"/>
      <c r="S131" s="856" t="s">
        <v>62</v>
      </c>
      <c r="T131" s="1212"/>
      <c r="U131" s="3" t="s">
        <v>130</v>
      </c>
      <c r="V131" s="848"/>
      <c r="W131" s="786">
        <v>330</v>
      </c>
      <c r="X131" s="1282"/>
      <c r="Y131" s="1205">
        <v>45407</v>
      </c>
      <c r="Z131" s="856" t="s">
        <v>62</v>
      </c>
      <c r="AA131" s="1232"/>
      <c r="AB131" s="1099">
        <v>45411</v>
      </c>
      <c r="AC131" s="1099">
        <v>45412</v>
      </c>
      <c r="AD131" s="1176">
        <f>396+388</f>
        <v>784</v>
      </c>
      <c r="AE131" s="1227">
        <f t="shared" si="14"/>
        <v>0.98</v>
      </c>
      <c r="AF131" s="1283" t="s">
        <v>131</v>
      </c>
      <c r="AG131" s="1286">
        <v>1</v>
      </c>
      <c r="AH131" s="1076" t="s">
        <v>132</v>
      </c>
      <c r="AI131" s="1248">
        <v>45415</v>
      </c>
      <c r="AJ131" s="1248">
        <v>45418</v>
      </c>
      <c r="AK131" s="1288">
        <f>61000+145000+38778</f>
        <v>244778</v>
      </c>
      <c r="AL131" s="1264">
        <f t="shared" si="15"/>
        <v>0.97911199999999998</v>
      </c>
      <c r="AM131" s="1265" t="s">
        <v>62</v>
      </c>
      <c r="AN131" s="1261">
        <v>1</v>
      </c>
      <c r="AO131" s="1276"/>
      <c r="AP131" s="1277"/>
      <c r="AQ131" s="1276"/>
      <c r="AR131" s="1278"/>
      <c r="AS131" s="1278"/>
    </row>
    <row r="132" spans="1:45" ht="15.6">
      <c r="A132" s="1097" t="s">
        <v>53</v>
      </c>
      <c r="B132" s="1075" t="s">
        <v>122</v>
      </c>
      <c r="C132" s="851" t="s">
        <v>123</v>
      </c>
      <c r="D132" s="851" t="s">
        <v>124</v>
      </c>
      <c r="E132" s="1432" t="s">
        <v>57</v>
      </c>
      <c r="F132" s="856">
        <v>2024</v>
      </c>
      <c r="G132" s="1099">
        <v>45399</v>
      </c>
      <c r="H132" s="3">
        <v>200105664</v>
      </c>
      <c r="I132" s="1450" t="s">
        <v>326</v>
      </c>
      <c r="J132" s="856">
        <v>5</v>
      </c>
      <c r="K132" s="3" t="s">
        <v>128</v>
      </c>
      <c r="L132" s="1201"/>
      <c r="M132" s="786">
        <v>465.6</v>
      </c>
      <c r="N132" s="804"/>
      <c r="O132" s="1205">
        <v>45408</v>
      </c>
      <c r="P132" s="1203"/>
      <c r="Q132" s="784" t="s">
        <v>327</v>
      </c>
      <c r="R132" s="1209"/>
      <c r="S132" s="856" t="s">
        <v>62</v>
      </c>
      <c r="T132" s="1212"/>
      <c r="U132" s="3" t="s">
        <v>130</v>
      </c>
      <c r="V132" s="848"/>
      <c r="W132" s="786">
        <v>329.8</v>
      </c>
      <c r="X132" s="1282"/>
      <c r="Y132" s="1205">
        <v>45408</v>
      </c>
      <c r="Z132" s="856" t="s">
        <v>62</v>
      </c>
      <c r="AA132" s="1232"/>
      <c r="AB132" s="1099">
        <v>45412</v>
      </c>
      <c r="AC132" s="1099">
        <v>45412</v>
      </c>
      <c r="AD132" s="1176">
        <f>264+517</f>
        <v>781</v>
      </c>
      <c r="AE132" s="1227">
        <f t="shared" si="14"/>
        <v>0.97624999999999995</v>
      </c>
      <c r="AF132" s="1283" t="s">
        <v>131</v>
      </c>
      <c r="AG132" s="1286">
        <v>1</v>
      </c>
      <c r="AH132" s="1076" t="s">
        <v>162</v>
      </c>
      <c r="AI132" s="1248">
        <v>45415</v>
      </c>
      <c r="AJ132" s="1248">
        <v>45418</v>
      </c>
      <c r="AK132" s="1288">
        <f>55773+40500+96010+49884</f>
        <v>242167</v>
      </c>
      <c r="AL132" s="1264">
        <f t="shared" si="15"/>
        <v>0.96866799999999997</v>
      </c>
      <c r="AM132" s="1265" t="s">
        <v>62</v>
      </c>
      <c r="AN132" s="1261">
        <v>1</v>
      </c>
      <c r="AO132" s="1276"/>
      <c r="AP132" s="1277"/>
      <c r="AQ132" s="1276"/>
      <c r="AR132" s="1278"/>
      <c r="AS132" s="1278"/>
    </row>
    <row r="133" spans="1:45" ht="15.6">
      <c r="A133" s="1097" t="s">
        <v>53</v>
      </c>
      <c r="B133" s="1075" t="s">
        <v>122</v>
      </c>
      <c r="C133" s="851" t="s">
        <v>123</v>
      </c>
      <c r="D133" s="851" t="s">
        <v>124</v>
      </c>
      <c r="E133" s="1432" t="s">
        <v>57</v>
      </c>
      <c r="F133" s="856">
        <v>2024</v>
      </c>
      <c r="G133" s="1099">
        <v>45399</v>
      </c>
      <c r="H133" s="3">
        <v>200105665</v>
      </c>
      <c r="I133" s="1450" t="s">
        <v>328</v>
      </c>
      <c r="J133" s="856">
        <v>6</v>
      </c>
      <c r="K133" s="3" t="s">
        <v>128</v>
      </c>
      <c r="L133" s="1201"/>
      <c r="M133" s="786">
        <v>459</v>
      </c>
      <c r="N133" s="804"/>
      <c r="O133" s="1205">
        <v>45411</v>
      </c>
      <c r="P133" s="1203"/>
      <c r="Q133" s="3" t="s">
        <v>329</v>
      </c>
      <c r="R133" s="1209"/>
      <c r="S133" s="856" t="s">
        <v>62</v>
      </c>
      <c r="T133" s="1212"/>
      <c r="U133" s="3" t="s">
        <v>130</v>
      </c>
      <c r="V133" s="848"/>
      <c r="W133" s="786">
        <v>330</v>
      </c>
      <c r="X133" s="1282"/>
      <c r="Y133" s="1205">
        <v>45408</v>
      </c>
      <c r="Z133" s="856" t="s">
        <v>62</v>
      </c>
      <c r="AA133" s="1232"/>
      <c r="AB133" s="1099">
        <v>45412</v>
      </c>
      <c r="AC133" s="1099">
        <v>45412</v>
      </c>
      <c r="AD133" s="1176">
        <f>132+644</f>
        <v>776</v>
      </c>
      <c r="AE133" s="1227">
        <f t="shared" si="14"/>
        <v>0.97</v>
      </c>
      <c r="AF133" s="1283" t="s">
        <v>131</v>
      </c>
      <c r="AG133" s="1286">
        <v>1</v>
      </c>
      <c r="AH133" s="1076" t="s">
        <v>132</v>
      </c>
      <c r="AI133" s="1248">
        <v>45418</v>
      </c>
      <c r="AJ133" s="1248">
        <v>45422</v>
      </c>
      <c r="AK133" s="1288">
        <f>7000+11800+146100+77333</f>
        <v>242233</v>
      </c>
      <c r="AL133" s="1264">
        <f t="shared" si="15"/>
        <v>0.96893200000000002</v>
      </c>
      <c r="AM133" s="1265" t="s">
        <v>62</v>
      </c>
      <c r="AN133" s="1261">
        <v>1</v>
      </c>
      <c r="AO133" s="1276"/>
      <c r="AP133" s="1277"/>
      <c r="AQ133" s="1276"/>
      <c r="AR133" s="1278"/>
      <c r="AS133" s="1278"/>
    </row>
    <row r="134" spans="1:45" ht="15.6">
      <c r="A134" s="1097" t="s">
        <v>53</v>
      </c>
      <c r="B134" s="1075" t="s">
        <v>122</v>
      </c>
      <c r="C134" s="851" t="s">
        <v>123</v>
      </c>
      <c r="D134" s="851" t="s">
        <v>124</v>
      </c>
      <c r="E134" s="1432" t="s">
        <v>57</v>
      </c>
      <c r="F134" s="856">
        <v>2024</v>
      </c>
      <c r="G134" s="1099">
        <v>45399</v>
      </c>
      <c r="H134" s="3">
        <v>200105666</v>
      </c>
      <c r="I134" s="1450" t="s">
        <v>330</v>
      </c>
      <c r="J134" s="856">
        <v>7</v>
      </c>
      <c r="K134" s="3" t="s">
        <v>128</v>
      </c>
      <c r="L134" s="1201"/>
      <c r="M134" s="786">
        <v>465.3</v>
      </c>
      <c r="N134" s="804"/>
      <c r="O134" s="1205">
        <v>45411</v>
      </c>
      <c r="P134" s="1203"/>
      <c r="Q134" s="3" t="s">
        <v>331</v>
      </c>
      <c r="R134" s="1209"/>
      <c r="S134" s="856" t="s">
        <v>62</v>
      </c>
      <c r="T134" s="1212"/>
      <c r="U134" s="3" t="s">
        <v>130</v>
      </c>
      <c r="V134" s="848"/>
      <c r="W134" s="786">
        <v>330</v>
      </c>
      <c r="X134" s="1282"/>
      <c r="Y134" s="1205">
        <v>45408</v>
      </c>
      <c r="Z134" s="856" t="s">
        <v>62</v>
      </c>
      <c r="AA134" s="1232"/>
      <c r="AB134" s="1099">
        <v>45414</v>
      </c>
      <c r="AC134" s="1099">
        <v>45414</v>
      </c>
      <c r="AD134" s="1176">
        <f>634+146</f>
        <v>780</v>
      </c>
      <c r="AE134" s="1227">
        <f t="shared" si="14"/>
        <v>0.97499999999999998</v>
      </c>
      <c r="AF134" s="1283" t="s">
        <v>131</v>
      </c>
      <c r="AG134" s="1286">
        <v>1</v>
      </c>
      <c r="AH134" s="1076" t="s">
        <v>132</v>
      </c>
      <c r="AI134" s="1248">
        <v>45418</v>
      </c>
      <c r="AJ134" s="1248">
        <v>45420</v>
      </c>
      <c r="AK134" s="1288">
        <f>1800+9000+161000+62650+9175</f>
        <v>243625</v>
      </c>
      <c r="AL134" s="1264">
        <f t="shared" si="15"/>
        <v>0.97450000000000003</v>
      </c>
      <c r="AM134" s="1265" t="s">
        <v>62</v>
      </c>
      <c r="AN134" s="1261">
        <v>1</v>
      </c>
      <c r="AO134" s="1276"/>
      <c r="AP134" s="1277"/>
      <c r="AQ134" s="1276"/>
      <c r="AR134" s="1278"/>
      <c r="AS134" s="1278"/>
    </row>
    <row r="135" spans="1:45" ht="15.6">
      <c r="A135" s="1097" t="s">
        <v>53</v>
      </c>
      <c r="B135" s="1075" t="s">
        <v>122</v>
      </c>
      <c r="C135" s="851" t="s">
        <v>123</v>
      </c>
      <c r="D135" s="851" t="s">
        <v>124</v>
      </c>
      <c r="E135" s="1432" t="s">
        <v>57</v>
      </c>
      <c r="F135" s="856">
        <v>2024</v>
      </c>
      <c r="G135" s="1099">
        <v>45399</v>
      </c>
      <c r="H135" s="3">
        <v>200105667</v>
      </c>
      <c r="I135" s="1450" t="s">
        <v>332</v>
      </c>
      <c r="J135" s="856">
        <v>8</v>
      </c>
      <c r="K135" s="3" t="s">
        <v>128</v>
      </c>
      <c r="L135" s="1201"/>
      <c r="M135" s="786">
        <v>463.7</v>
      </c>
      <c r="N135" s="804"/>
      <c r="O135" s="1205">
        <v>45412</v>
      </c>
      <c r="P135" s="1203"/>
      <c r="Q135" s="3" t="s">
        <v>333</v>
      </c>
      <c r="R135" s="1209"/>
      <c r="S135" s="856" t="s">
        <v>62</v>
      </c>
      <c r="T135" s="1212"/>
      <c r="U135" s="3" t="s">
        <v>130</v>
      </c>
      <c r="V135" s="848"/>
      <c r="W135" s="786">
        <v>330.4</v>
      </c>
      <c r="X135" s="1282"/>
      <c r="Y135" s="1205">
        <v>45411</v>
      </c>
      <c r="Z135" s="856" t="s">
        <v>62</v>
      </c>
      <c r="AA135" s="1232"/>
      <c r="AB135" s="1099">
        <v>45414</v>
      </c>
      <c r="AC135" s="1099">
        <v>45414</v>
      </c>
      <c r="AD135" s="1176">
        <f>498+281</f>
        <v>779</v>
      </c>
      <c r="AE135" s="1227">
        <f t="shared" si="14"/>
        <v>0.97375</v>
      </c>
      <c r="AF135" s="1283" t="s">
        <v>131</v>
      </c>
      <c r="AG135" s="1286">
        <v>1</v>
      </c>
      <c r="AH135" s="1076" t="s">
        <v>162</v>
      </c>
      <c r="AI135" s="1248">
        <v>45418</v>
      </c>
      <c r="AJ135" s="1248">
        <v>45419</v>
      </c>
      <c r="AK135" s="1288">
        <f>48425+100500+89670+3347</f>
        <v>241942</v>
      </c>
      <c r="AL135" s="1264">
        <f t="shared" si="15"/>
        <v>0.96776799999999996</v>
      </c>
      <c r="AM135" s="1265" t="s">
        <v>62</v>
      </c>
      <c r="AN135" s="1261">
        <v>1</v>
      </c>
      <c r="AO135" s="1276"/>
      <c r="AP135" s="1277"/>
      <c r="AQ135" s="1276"/>
      <c r="AR135" s="1278"/>
      <c r="AS135" s="1278"/>
    </row>
    <row r="136" spans="1:45" ht="15.6">
      <c r="A136" s="1097" t="s">
        <v>53</v>
      </c>
      <c r="B136" s="1075" t="s">
        <v>122</v>
      </c>
      <c r="C136" s="851" t="s">
        <v>123</v>
      </c>
      <c r="D136" s="851" t="s">
        <v>124</v>
      </c>
      <c r="E136" s="1432" t="s">
        <v>57</v>
      </c>
      <c r="F136" s="856">
        <v>2024</v>
      </c>
      <c r="G136" s="1099">
        <v>45399</v>
      </c>
      <c r="H136" s="3">
        <v>200105668</v>
      </c>
      <c r="I136" s="1450" t="s">
        <v>334</v>
      </c>
      <c r="J136" s="856">
        <v>9</v>
      </c>
      <c r="K136" s="3" t="s">
        <v>128</v>
      </c>
      <c r="L136" s="1201"/>
      <c r="M136" s="786">
        <v>464.1</v>
      </c>
      <c r="N136" s="804"/>
      <c r="O136" s="1205">
        <v>45412</v>
      </c>
      <c r="P136" s="1203"/>
      <c r="Q136" s="784" t="s">
        <v>335</v>
      </c>
      <c r="R136" s="1209"/>
      <c r="S136" s="856" t="s">
        <v>62</v>
      </c>
      <c r="T136" s="1212"/>
      <c r="U136" s="3" t="s">
        <v>130</v>
      </c>
      <c r="V136" s="848"/>
      <c r="W136" s="786">
        <v>330.2</v>
      </c>
      <c r="X136" s="1282"/>
      <c r="Y136" s="1205">
        <v>45411</v>
      </c>
      <c r="Z136" s="856" t="s">
        <v>62</v>
      </c>
      <c r="AA136" s="1232"/>
      <c r="AB136" s="1099">
        <v>45414</v>
      </c>
      <c r="AC136" s="1099">
        <v>45415</v>
      </c>
      <c r="AD136" s="1176">
        <f>406+374</f>
        <v>780</v>
      </c>
      <c r="AE136" s="1227">
        <f t="shared" si="14"/>
        <v>0.97499999999999998</v>
      </c>
      <c r="AF136" s="1283" t="s">
        <v>131</v>
      </c>
      <c r="AG136" s="1286">
        <v>1</v>
      </c>
      <c r="AH136" s="1076" t="s">
        <v>132</v>
      </c>
      <c r="AI136" s="1248">
        <v>45422</v>
      </c>
      <c r="AJ136" s="1248">
        <v>45422</v>
      </c>
      <c r="AK136" s="1288">
        <f>38500+116500+88623</f>
        <v>243623</v>
      </c>
      <c r="AL136" s="1264">
        <f t="shared" si="15"/>
        <v>0.97449200000000002</v>
      </c>
      <c r="AM136" s="1265" t="s">
        <v>62</v>
      </c>
      <c r="AN136" s="1261">
        <v>1</v>
      </c>
      <c r="AO136" s="1276"/>
      <c r="AP136" s="1277"/>
      <c r="AQ136" s="1276"/>
      <c r="AR136" s="1278"/>
      <c r="AS136" s="1278"/>
    </row>
    <row r="137" spans="1:45" ht="15.6">
      <c r="A137" s="1097" t="s">
        <v>53</v>
      </c>
      <c r="B137" s="1075" t="s">
        <v>122</v>
      </c>
      <c r="C137" s="851" t="s">
        <v>123</v>
      </c>
      <c r="D137" s="851" t="s">
        <v>124</v>
      </c>
      <c r="E137" s="1432" t="s">
        <v>57</v>
      </c>
      <c r="F137" s="856">
        <v>2024</v>
      </c>
      <c r="G137" s="1099">
        <v>45412</v>
      </c>
      <c r="H137" s="3">
        <v>200105702</v>
      </c>
      <c r="I137" s="1439" t="s">
        <v>336</v>
      </c>
      <c r="J137" s="856">
        <v>10</v>
      </c>
      <c r="K137" s="3" t="s">
        <v>128</v>
      </c>
      <c r="L137" s="1201"/>
      <c r="M137" s="786">
        <v>468.1</v>
      </c>
      <c r="N137" s="804"/>
      <c r="O137" s="1205">
        <v>45412</v>
      </c>
      <c r="P137" s="1203"/>
      <c r="Q137" s="864" t="s">
        <v>337</v>
      </c>
      <c r="R137" s="1209"/>
      <c r="S137" s="856" t="s">
        <v>62</v>
      </c>
      <c r="T137" s="1212"/>
      <c r="U137" s="3" t="s">
        <v>130</v>
      </c>
      <c r="V137" s="848"/>
      <c r="W137" s="786">
        <v>330</v>
      </c>
      <c r="X137" s="1282"/>
      <c r="Y137" s="1205">
        <v>45412</v>
      </c>
      <c r="Z137" s="856" t="s">
        <v>62</v>
      </c>
      <c r="AA137" s="1232"/>
      <c r="AB137" s="1099">
        <v>45418</v>
      </c>
      <c r="AC137" s="1099">
        <v>45418</v>
      </c>
      <c r="AD137" s="1176">
        <f>330+449</f>
        <v>779</v>
      </c>
      <c r="AE137" s="1227">
        <f t="shared" si="14"/>
        <v>0.97375</v>
      </c>
      <c r="AF137" s="1283" t="s">
        <v>131</v>
      </c>
      <c r="AG137" s="1286">
        <v>1</v>
      </c>
      <c r="AH137" s="1076" t="s">
        <v>132</v>
      </c>
      <c r="AI137" s="1248">
        <v>45422</v>
      </c>
      <c r="AJ137" s="1248">
        <v>45425</v>
      </c>
      <c r="AK137" s="1288">
        <f>57800+133000+52498</f>
        <v>243298</v>
      </c>
      <c r="AL137" s="1264">
        <f t="shared" si="15"/>
        <v>0.97319199999999995</v>
      </c>
      <c r="AM137" s="1265" t="s">
        <v>62</v>
      </c>
      <c r="AN137" s="1261">
        <v>1</v>
      </c>
      <c r="AO137" s="1276"/>
      <c r="AP137" s="1277"/>
      <c r="AQ137" s="1276"/>
      <c r="AR137" s="1278"/>
      <c r="AS137" s="1278"/>
    </row>
    <row r="138" spans="1:45" ht="15.6">
      <c r="A138" s="1097" t="s">
        <v>53</v>
      </c>
      <c r="B138" s="1075" t="s">
        <v>122</v>
      </c>
      <c r="C138" s="851" t="s">
        <v>123</v>
      </c>
      <c r="D138" s="851" t="s">
        <v>124</v>
      </c>
      <c r="E138" s="1432" t="s">
        <v>57</v>
      </c>
      <c r="F138" s="856">
        <v>2024</v>
      </c>
      <c r="G138" s="1099">
        <v>45412</v>
      </c>
      <c r="H138" s="3">
        <v>200105773</v>
      </c>
      <c r="I138" s="1449" t="s">
        <v>338</v>
      </c>
      <c r="J138" s="856">
        <v>11</v>
      </c>
      <c r="K138" s="3" t="s">
        <v>128</v>
      </c>
      <c r="L138" s="1201"/>
      <c r="M138" s="786">
        <v>468.1</v>
      </c>
      <c r="N138" s="804"/>
      <c r="O138" s="1205">
        <v>45412</v>
      </c>
      <c r="P138" s="1203"/>
      <c r="Q138" s="784" t="s">
        <v>339</v>
      </c>
      <c r="R138" s="1209"/>
      <c r="S138" s="856" t="s">
        <v>62</v>
      </c>
      <c r="T138" s="1212"/>
      <c r="U138" s="3" t="s">
        <v>130</v>
      </c>
      <c r="V138" s="848"/>
      <c r="W138" s="786">
        <v>329.8</v>
      </c>
      <c r="X138" s="1282"/>
      <c r="Y138" s="1205">
        <v>45412</v>
      </c>
      <c r="Z138" s="856" t="s">
        <v>62</v>
      </c>
      <c r="AA138" s="1232"/>
      <c r="AB138" s="1099">
        <v>45415</v>
      </c>
      <c r="AC138" s="1099">
        <v>45415</v>
      </c>
      <c r="AD138" s="1176">
        <f>177+607</f>
        <v>784</v>
      </c>
      <c r="AE138" s="1227">
        <f t="shared" si="14"/>
        <v>0.98</v>
      </c>
      <c r="AF138" s="1283" t="s">
        <v>131</v>
      </c>
      <c r="AG138" s="1286">
        <v>1</v>
      </c>
      <c r="AH138" s="1076" t="s">
        <v>162</v>
      </c>
      <c r="AI138" s="1248">
        <v>45420</v>
      </c>
      <c r="AJ138" s="1248">
        <v>45420</v>
      </c>
      <c r="AK138" s="1291">
        <f>87420+106500+50141</f>
        <v>244061</v>
      </c>
      <c r="AL138" s="1264">
        <f t="shared" si="15"/>
        <v>0.976244</v>
      </c>
      <c r="AM138" s="1265" t="s">
        <v>62</v>
      </c>
      <c r="AN138" s="1261">
        <v>1</v>
      </c>
      <c r="AO138" s="1276"/>
      <c r="AP138" s="1277"/>
      <c r="AQ138" s="1276"/>
      <c r="AR138" s="1278"/>
      <c r="AS138" s="1278"/>
    </row>
    <row r="139" spans="1:45" ht="15.6">
      <c r="A139" s="1097" t="s">
        <v>53</v>
      </c>
      <c r="B139" s="1075" t="s">
        <v>122</v>
      </c>
      <c r="C139" s="851" t="s">
        <v>123</v>
      </c>
      <c r="D139" s="851" t="s">
        <v>124</v>
      </c>
      <c r="E139" s="1432" t="s">
        <v>57</v>
      </c>
      <c r="F139" s="856">
        <v>2024</v>
      </c>
      <c r="G139" s="1099">
        <v>45412</v>
      </c>
      <c r="H139" s="3">
        <v>200105774</v>
      </c>
      <c r="I139" s="1449" t="s">
        <v>340</v>
      </c>
      <c r="J139" s="856">
        <v>12</v>
      </c>
      <c r="K139" s="3" t="s">
        <v>128</v>
      </c>
      <c r="L139" s="1201"/>
      <c r="M139" s="786">
        <v>463.1</v>
      </c>
      <c r="N139" s="804"/>
      <c r="O139" s="1205">
        <v>45414</v>
      </c>
      <c r="P139" s="1203"/>
      <c r="Q139" s="3" t="s">
        <v>341</v>
      </c>
      <c r="R139" s="1209"/>
      <c r="S139" s="856" t="s">
        <v>62</v>
      </c>
      <c r="T139" s="1212"/>
      <c r="U139" s="3" t="s">
        <v>130</v>
      </c>
      <c r="V139" s="848"/>
      <c r="W139" s="786">
        <v>330</v>
      </c>
      <c r="X139" s="1282"/>
      <c r="Y139" s="1205">
        <v>45412</v>
      </c>
      <c r="Z139" s="856" t="s">
        <v>62</v>
      </c>
      <c r="AA139" s="1232"/>
      <c r="AB139" s="1099">
        <v>45415</v>
      </c>
      <c r="AC139" s="1099">
        <v>45415</v>
      </c>
      <c r="AD139" s="1176">
        <f>36+745</f>
        <v>781</v>
      </c>
      <c r="AE139" s="1227">
        <f t="shared" si="14"/>
        <v>0.97624999999999995</v>
      </c>
      <c r="AF139" s="1283" t="s">
        <v>131</v>
      </c>
      <c r="AG139" s="1286">
        <v>1</v>
      </c>
      <c r="AH139" s="1076" t="s">
        <v>162</v>
      </c>
      <c r="AI139" s="1248">
        <v>45420</v>
      </c>
      <c r="AJ139" s="1248">
        <v>45422</v>
      </c>
      <c r="AK139" s="1291">
        <f>31177+91092+67500+53516</f>
        <v>243285</v>
      </c>
      <c r="AL139" s="1264">
        <f t="shared" si="15"/>
        <v>0.97314000000000001</v>
      </c>
      <c r="AM139" s="1265" t="s">
        <v>62</v>
      </c>
      <c r="AN139" s="1261">
        <v>1</v>
      </c>
      <c r="AO139" s="1276"/>
      <c r="AP139" s="1277"/>
      <c r="AQ139" s="1276"/>
      <c r="AR139" s="1278"/>
      <c r="AS139" s="1278"/>
    </row>
    <row r="140" spans="1:45" ht="15.6">
      <c r="A140" s="1097" t="s">
        <v>53</v>
      </c>
      <c r="B140" s="1075" t="s">
        <v>122</v>
      </c>
      <c r="C140" s="851" t="s">
        <v>123</v>
      </c>
      <c r="D140" s="851" t="s">
        <v>124</v>
      </c>
      <c r="E140" s="1432" t="s">
        <v>57</v>
      </c>
      <c r="F140" s="856">
        <v>2024</v>
      </c>
      <c r="G140" s="1099">
        <v>45412</v>
      </c>
      <c r="H140" s="3">
        <v>200105800</v>
      </c>
      <c r="I140" s="1449" t="s">
        <v>342</v>
      </c>
      <c r="J140" s="856">
        <v>13</v>
      </c>
      <c r="K140" s="3" t="s">
        <v>128</v>
      </c>
      <c r="L140" s="1201"/>
      <c r="M140" s="786">
        <v>459.7</v>
      </c>
      <c r="N140" s="804"/>
      <c r="O140" s="1205">
        <v>45415</v>
      </c>
      <c r="P140" s="1203"/>
      <c r="Q140" s="3" t="s">
        <v>343</v>
      </c>
      <c r="R140" s="1209"/>
      <c r="S140" s="856" t="s">
        <v>62</v>
      </c>
      <c r="T140" s="1212"/>
      <c r="U140" s="3" t="s">
        <v>130</v>
      </c>
      <c r="V140" s="848"/>
      <c r="W140" s="786">
        <v>329.9</v>
      </c>
      <c r="X140" s="1282"/>
      <c r="Y140" s="1205">
        <v>45414</v>
      </c>
      <c r="Z140" s="856" t="s">
        <v>62</v>
      </c>
      <c r="AA140" s="1232"/>
      <c r="AB140" s="1099">
        <v>45418</v>
      </c>
      <c r="AC140" s="1099">
        <v>45418</v>
      </c>
      <c r="AD140" s="1176">
        <f>162+611</f>
        <v>773</v>
      </c>
      <c r="AE140" s="1227">
        <f t="shared" si="14"/>
        <v>0.96625000000000005</v>
      </c>
      <c r="AF140" s="1283" t="s">
        <v>131</v>
      </c>
      <c r="AG140" s="1286">
        <v>1</v>
      </c>
      <c r="AH140" s="1076" t="s">
        <v>162</v>
      </c>
      <c r="AI140" s="1248">
        <v>45422</v>
      </c>
      <c r="AJ140" s="1248">
        <v>45425</v>
      </c>
      <c r="AK140" s="1291">
        <f>15520+90616+86060+47552</f>
        <v>239748</v>
      </c>
      <c r="AL140" s="1264">
        <f t="shared" si="15"/>
        <v>0.95899199999999996</v>
      </c>
      <c r="AM140" s="1265" t="s">
        <v>62</v>
      </c>
      <c r="AN140" s="1261">
        <v>1</v>
      </c>
      <c r="AO140" s="1276"/>
      <c r="AP140" s="1277"/>
      <c r="AQ140" s="1276"/>
      <c r="AR140" s="1278"/>
      <c r="AS140" s="1278"/>
    </row>
    <row r="141" spans="1:45" ht="15.6">
      <c r="A141" s="1097" t="s">
        <v>53</v>
      </c>
      <c r="B141" s="1075" t="s">
        <v>122</v>
      </c>
      <c r="C141" s="851" t="s">
        <v>123</v>
      </c>
      <c r="D141" s="851" t="s">
        <v>124</v>
      </c>
      <c r="E141" s="1432" t="s">
        <v>57</v>
      </c>
      <c r="F141" s="856">
        <v>2024</v>
      </c>
      <c r="G141" s="1099">
        <v>45412</v>
      </c>
      <c r="H141" s="3">
        <v>200105820</v>
      </c>
      <c r="I141" s="1451" t="s">
        <v>344</v>
      </c>
      <c r="J141" s="856">
        <v>14</v>
      </c>
      <c r="K141" s="3" t="s">
        <v>128</v>
      </c>
      <c r="L141" s="1201"/>
      <c r="M141" s="786">
        <v>468</v>
      </c>
      <c r="N141" s="804"/>
      <c r="O141" s="1205">
        <v>45415</v>
      </c>
      <c r="P141" s="1203"/>
      <c r="Q141" s="3" t="s">
        <v>345</v>
      </c>
      <c r="R141" s="1209"/>
      <c r="S141" s="856" t="s">
        <v>62</v>
      </c>
      <c r="T141" s="1212"/>
      <c r="U141" s="3" t="s">
        <v>130</v>
      </c>
      <c r="V141" s="848"/>
      <c r="W141" s="786">
        <v>329.8</v>
      </c>
      <c r="X141" s="1282"/>
      <c r="Y141" s="1205">
        <v>45415</v>
      </c>
      <c r="Z141" s="856" t="s">
        <v>62</v>
      </c>
      <c r="AA141" s="1232"/>
      <c r="AB141" s="1099">
        <v>45418</v>
      </c>
      <c r="AC141" s="1099">
        <v>45419</v>
      </c>
      <c r="AD141" s="1176">
        <f>56+574+126+24</f>
        <v>780</v>
      </c>
      <c r="AE141" s="1227">
        <f t="shared" si="14"/>
        <v>0.97499999999999998</v>
      </c>
      <c r="AF141" s="1283" t="s">
        <v>131</v>
      </c>
      <c r="AG141" s="1286">
        <v>1</v>
      </c>
      <c r="AH141" s="1076" t="s">
        <v>132</v>
      </c>
      <c r="AI141" s="1248">
        <v>45425</v>
      </c>
      <c r="AJ141" s="1248">
        <v>45426</v>
      </c>
      <c r="AK141" s="1288">
        <f>61700+161008+20595</f>
        <v>243303</v>
      </c>
      <c r="AL141" s="1264">
        <f t="shared" si="15"/>
        <v>0.97321199999999997</v>
      </c>
      <c r="AM141" s="1265" t="s">
        <v>62</v>
      </c>
      <c r="AN141" s="1261">
        <v>1</v>
      </c>
      <c r="AO141" s="1276"/>
      <c r="AP141" s="1277"/>
      <c r="AQ141" s="1276"/>
      <c r="AR141" s="1278"/>
      <c r="AS141" s="1278"/>
    </row>
    <row r="142" spans="1:45" ht="15.6">
      <c r="A142" s="1097" t="s">
        <v>53</v>
      </c>
      <c r="B142" s="1075" t="s">
        <v>122</v>
      </c>
      <c r="C142" s="851" t="s">
        <v>123</v>
      </c>
      <c r="D142" s="851" t="s">
        <v>124</v>
      </c>
      <c r="E142" s="1432" t="s">
        <v>57</v>
      </c>
      <c r="F142" s="856">
        <v>2024</v>
      </c>
      <c r="G142" s="1099">
        <v>45412</v>
      </c>
      <c r="H142" s="3">
        <v>200105821</v>
      </c>
      <c r="I142" s="1451" t="s">
        <v>346</v>
      </c>
      <c r="J142" s="856">
        <v>15</v>
      </c>
      <c r="K142" s="3" t="s">
        <v>128</v>
      </c>
      <c r="L142" s="1201"/>
      <c r="M142" s="786">
        <v>468.9</v>
      </c>
      <c r="N142" s="804"/>
      <c r="O142" s="1205">
        <v>45418</v>
      </c>
      <c r="P142" s="1203"/>
      <c r="Q142" s="3" t="s">
        <v>347</v>
      </c>
      <c r="R142" s="1209"/>
      <c r="S142" s="856" t="s">
        <v>62</v>
      </c>
      <c r="T142" s="1212"/>
      <c r="U142" s="3" t="s">
        <v>130</v>
      </c>
      <c r="V142" s="848"/>
      <c r="W142" s="786">
        <v>329.9</v>
      </c>
      <c r="X142" s="1282"/>
      <c r="Y142" s="1205">
        <v>45415</v>
      </c>
      <c r="Z142" s="856" t="s">
        <v>62</v>
      </c>
      <c r="AA142" s="1232"/>
      <c r="AB142" s="1099">
        <v>45419</v>
      </c>
      <c r="AC142" s="1099">
        <v>45419</v>
      </c>
      <c r="AD142" s="1176">
        <f>432+347</f>
        <v>779</v>
      </c>
      <c r="AE142" s="1227">
        <f t="shared" si="14"/>
        <v>0.97375</v>
      </c>
      <c r="AF142" s="1283" t="s">
        <v>131</v>
      </c>
      <c r="AG142" s="1286">
        <v>1</v>
      </c>
      <c r="AH142" s="1076" t="s">
        <v>132</v>
      </c>
      <c r="AI142" s="1248">
        <v>45426</v>
      </c>
      <c r="AJ142" s="1248">
        <v>45426</v>
      </c>
      <c r="AK142" s="1285">
        <f>118000+125394</f>
        <v>243394</v>
      </c>
      <c r="AL142" s="1264">
        <f t="shared" si="15"/>
        <v>0.973576</v>
      </c>
      <c r="AM142" s="1265" t="s">
        <v>62</v>
      </c>
      <c r="AN142" s="1261">
        <v>1</v>
      </c>
      <c r="AO142" s="1276"/>
      <c r="AP142" s="1277"/>
      <c r="AQ142" s="1276"/>
      <c r="AR142" s="1278"/>
      <c r="AS142" s="1278"/>
    </row>
    <row r="143" spans="1:45" ht="15.6">
      <c r="A143" s="1097" t="s">
        <v>53</v>
      </c>
      <c r="B143" s="1075" t="s">
        <v>122</v>
      </c>
      <c r="C143" s="851" t="s">
        <v>123</v>
      </c>
      <c r="D143" s="851" t="s">
        <v>124</v>
      </c>
      <c r="E143" s="1432" t="s">
        <v>57</v>
      </c>
      <c r="F143" s="856">
        <v>2024</v>
      </c>
      <c r="G143" s="1099">
        <v>45412</v>
      </c>
      <c r="H143" s="3">
        <v>200105822</v>
      </c>
      <c r="I143" s="1451" t="s">
        <v>348</v>
      </c>
      <c r="J143" s="856">
        <v>16</v>
      </c>
      <c r="K143" s="3" t="s">
        <v>128</v>
      </c>
      <c r="L143" s="1201"/>
      <c r="M143" s="786">
        <v>468.3</v>
      </c>
      <c r="N143" s="804"/>
      <c r="O143" s="1205">
        <v>45418</v>
      </c>
      <c r="P143" s="1203"/>
      <c r="Q143" s="3" t="s">
        <v>349</v>
      </c>
      <c r="R143" s="1209"/>
      <c r="S143" s="856" t="s">
        <v>62</v>
      </c>
      <c r="T143" s="1212"/>
      <c r="U143" s="3" t="s">
        <v>130</v>
      </c>
      <c r="V143" s="848"/>
      <c r="W143" s="786">
        <v>330</v>
      </c>
      <c r="X143" s="1282"/>
      <c r="Y143" s="1205">
        <v>45418</v>
      </c>
      <c r="Z143" s="856" t="s">
        <v>62</v>
      </c>
      <c r="AA143" s="1232"/>
      <c r="AB143" s="1099">
        <v>45419</v>
      </c>
      <c r="AC143" s="1099">
        <v>45420</v>
      </c>
      <c r="AD143" s="1176">
        <f>330+450</f>
        <v>780</v>
      </c>
      <c r="AE143" s="1227">
        <f t="shared" si="14"/>
        <v>0.97499999999999998</v>
      </c>
      <c r="AF143" s="1283" t="s">
        <v>131</v>
      </c>
      <c r="AG143" s="1286">
        <v>1</v>
      </c>
      <c r="AH143" s="1076" t="s">
        <v>132</v>
      </c>
      <c r="AI143" s="1248">
        <v>45426</v>
      </c>
      <c r="AJ143" s="1248">
        <v>45427</v>
      </c>
      <c r="AK143" s="1285">
        <f>20600+161100+64835</f>
        <v>246535</v>
      </c>
      <c r="AL143" s="1264">
        <f t="shared" si="15"/>
        <v>0.98614000000000002</v>
      </c>
      <c r="AM143" s="1265" t="s">
        <v>62</v>
      </c>
      <c r="AN143" s="1261">
        <v>1</v>
      </c>
      <c r="AO143" s="1276"/>
      <c r="AP143" s="1277"/>
      <c r="AQ143" s="1276"/>
      <c r="AR143" s="1278"/>
      <c r="AS143" s="1278"/>
    </row>
    <row r="144" spans="1:45" ht="15.6">
      <c r="A144" s="1097" t="s">
        <v>53</v>
      </c>
      <c r="B144" s="1075" t="s">
        <v>122</v>
      </c>
      <c r="C144" s="851" t="s">
        <v>123</v>
      </c>
      <c r="D144" s="851" t="s">
        <v>124</v>
      </c>
      <c r="E144" s="1432" t="s">
        <v>57</v>
      </c>
      <c r="F144" s="856">
        <v>2024</v>
      </c>
      <c r="G144" s="1099">
        <v>45412</v>
      </c>
      <c r="H144" s="3">
        <v>200105823</v>
      </c>
      <c r="I144" s="1451" t="s">
        <v>350</v>
      </c>
      <c r="J144" s="856">
        <v>17</v>
      </c>
      <c r="K144" s="3" t="s">
        <v>128</v>
      </c>
      <c r="L144" s="1201"/>
      <c r="M144" s="786">
        <v>464</v>
      </c>
      <c r="N144" s="804"/>
      <c r="O144" s="1205">
        <v>45418</v>
      </c>
      <c r="P144" s="1203"/>
      <c r="Q144" s="3" t="s">
        <v>351</v>
      </c>
      <c r="R144" s="1209"/>
      <c r="S144" s="856" t="s">
        <v>62</v>
      </c>
      <c r="T144" s="1212"/>
      <c r="U144" s="3" t="s">
        <v>130</v>
      </c>
      <c r="V144" s="848"/>
      <c r="W144" s="786">
        <v>330</v>
      </c>
      <c r="X144" s="1282"/>
      <c r="Y144" s="1205">
        <v>45418</v>
      </c>
      <c r="Z144" s="856" t="s">
        <v>62</v>
      </c>
      <c r="AA144" s="1232"/>
      <c r="AB144" s="1099">
        <v>45420</v>
      </c>
      <c r="AC144" s="1099">
        <v>45420</v>
      </c>
      <c r="AD144" s="1176">
        <f>214+565</f>
        <v>779</v>
      </c>
      <c r="AE144" s="1227">
        <f t="shared" si="14"/>
        <v>0.97375</v>
      </c>
      <c r="AF144" s="1283" t="s">
        <v>131</v>
      </c>
      <c r="AG144" s="1286">
        <v>1</v>
      </c>
      <c r="AH144" s="1076" t="s">
        <v>132</v>
      </c>
      <c r="AI144" s="1248">
        <v>45427</v>
      </c>
      <c r="AJ144" s="1248">
        <v>45427</v>
      </c>
      <c r="AK144" s="1285">
        <f>82300+160841</f>
        <v>243141</v>
      </c>
      <c r="AL144" s="1264">
        <f t="shared" si="15"/>
        <v>0.97256399999999998</v>
      </c>
      <c r="AM144" s="1265" t="s">
        <v>62</v>
      </c>
      <c r="AN144" s="1261">
        <v>1</v>
      </c>
      <c r="AO144" s="1276"/>
      <c r="AP144" s="1277"/>
      <c r="AQ144" s="1276"/>
      <c r="AR144" s="1278"/>
      <c r="AS144" s="1278"/>
    </row>
    <row r="145" spans="1:45" ht="15.6">
      <c r="A145" s="1097" t="s">
        <v>53</v>
      </c>
      <c r="B145" s="1075" t="s">
        <v>122</v>
      </c>
      <c r="C145" s="851" t="s">
        <v>123</v>
      </c>
      <c r="D145" s="851" t="s">
        <v>124</v>
      </c>
      <c r="E145" s="1432" t="s">
        <v>57</v>
      </c>
      <c r="F145" s="856">
        <v>2024</v>
      </c>
      <c r="G145" s="1099">
        <v>45412</v>
      </c>
      <c r="H145" s="3">
        <v>200105824</v>
      </c>
      <c r="I145" s="1451" t="s">
        <v>352</v>
      </c>
      <c r="J145" s="856">
        <v>18</v>
      </c>
      <c r="K145" s="3" t="s">
        <v>128</v>
      </c>
      <c r="L145" s="1201"/>
      <c r="M145" s="786">
        <v>470.2</v>
      </c>
      <c r="N145" s="804"/>
      <c r="O145" s="1205">
        <v>45418</v>
      </c>
      <c r="P145" s="1203"/>
      <c r="Q145" s="3" t="s">
        <v>353</v>
      </c>
      <c r="R145" s="1209"/>
      <c r="S145" s="856" t="s">
        <v>62</v>
      </c>
      <c r="T145" s="1212"/>
      <c r="U145" s="3" t="s">
        <v>130</v>
      </c>
      <c r="V145" s="848"/>
      <c r="W145" s="786">
        <v>329.7</v>
      </c>
      <c r="X145" s="1282"/>
      <c r="Y145" s="1205">
        <v>45418</v>
      </c>
      <c r="Z145" s="856" t="s">
        <v>62</v>
      </c>
      <c r="AA145" s="1232"/>
      <c r="AB145" s="1099">
        <v>45420</v>
      </c>
      <c r="AC145" s="1099">
        <v>45420</v>
      </c>
      <c r="AD145" s="1176">
        <f>56+724</f>
        <v>780</v>
      </c>
      <c r="AE145" s="1227">
        <f t="shared" si="14"/>
        <v>0.97499999999999998</v>
      </c>
      <c r="AF145" s="1283" t="s">
        <v>131</v>
      </c>
      <c r="AG145" s="1286">
        <v>1</v>
      </c>
      <c r="AH145" s="1076" t="s">
        <v>132</v>
      </c>
      <c r="AI145" s="1248">
        <v>45427</v>
      </c>
      <c r="AJ145" s="1248">
        <v>45428</v>
      </c>
      <c r="AK145" s="1285">
        <f>161000+82439</f>
        <v>243439</v>
      </c>
      <c r="AL145" s="1264">
        <f t="shared" si="15"/>
        <v>0.97375599999999995</v>
      </c>
      <c r="AM145" s="1265" t="s">
        <v>62</v>
      </c>
      <c r="AN145" s="1261">
        <v>1</v>
      </c>
      <c r="AO145" s="1276"/>
      <c r="AP145" s="1277"/>
      <c r="AQ145" s="1276"/>
      <c r="AR145" s="1278"/>
      <c r="AS145" s="1278"/>
    </row>
    <row r="146" spans="1:45" ht="15.6">
      <c r="A146" s="1097" t="s">
        <v>53</v>
      </c>
      <c r="B146" s="1075" t="s">
        <v>122</v>
      </c>
      <c r="C146" s="851" t="s">
        <v>123</v>
      </c>
      <c r="D146" s="851" t="s">
        <v>124</v>
      </c>
      <c r="E146" s="1432" t="s">
        <v>57</v>
      </c>
      <c r="F146" s="856">
        <v>2024</v>
      </c>
      <c r="G146" s="1099">
        <v>45412</v>
      </c>
      <c r="H146" s="3">
        <v>200105825</v>
      </c>
      <c r="I146" s="1451" t="s">
        <v>354</v>
      </c>
      <c r="J146" s="856">
        <v>19</v>
      </c>
      <c r="K146" s="3" t="s">
        <v>128</v>
      </c>
      <c r="L146" s="1201"/>
      <c r="M146" s="786">
        <v>468.7</v>
      </c>
      <c r="N146" s="804"/>
      <c r="O146" s="1205">
        <v>45419</v>
      </c>
      <c r="P146" s="1203"/>
      <c r="Q146" s="3" t="s">
        <v>355</v>
      </c>
      <c r="R146" s="1209"/>
      <c r="S146" s="856" t="s">
        <v>62</v>
      </c>
      <c r="T146" s="1212"/>
      <c r="U146" s="3" t="s">
        <v>130</v>
      </c>
      <c r="V146" s="848"/>
      <c r="W146" s="786">
        <v>329.9</v>
      </c>
      <c r="X146" s="1282"/>
      <c r="Y146" s="1205">
        <v>45419</v>
      </c>
      <c r="Z146" s="856" t="s">
        <v>62</v>
      </c>
      <c r="AA146" s="1232"/>
      <c r="AB146" s="1099">
        <v>45422</v>
      </c>
      <c r="AC146" s="1099">
        <v>45422</v>
      </c>
      <c r="AD146" s="1176">
        <f>498+281</f>
        <v>779</v>
      </c>
      <c r="AE146" s="1227">
        <f t="shared" si="14"/>
        <v>0.97375</v>
      </c>
      <c r="AF146" s="1283" t="s">
        <v>131</v>
      </c>
      <c r="AG146" s="1286">
        <v>1</v>
      </c>
      <c r="AH146" s="1076" t="s">
        <v>132</v>
      </c>
      <c r="AI146" s="1248">
        <v>45428</v>
      </c>
      <c r="AJ146" s="1248">
        <v>45428</v>
      </c>
      <c r="AK146" s="1285">
        <f>162500+72645+8375</f>
        <v>243520</v>
      </c>
      <c r="AL146" s="1264">
        <f t="shared" si="15"/>
        <v>0.97407999999999995</v>
      </c>
      <c r="AM146" s="1265" t="s">
        <v>62</v>
      </c>
      <c r="AN146" s="1261">
        <v>1</v>
      </c>
      <c r="AO146" s="1276"/>
      <c r="AP146" s="1277"/>
      <c r="AQ146" s="1276"/>
      <c r="AR146" s="1278"/>
      <c r="AS146" s="1278"/>
    </row>
    <row r="147" spans="1:45" ht="15.6">
      <c r="A147" s="1097" t="s">
        <v>53</v>
      </c>
      <c r="B147" s="1075" t="s">
        <v>122</v>
      </c>
      <c r="C147" s="851" t="s">
        <v>123</v>
      </c>
      <c r="D147" s="851" t="s">
        <v>124</v>
      </c>
      <c r="E147" s="1432" t="s">
        <v>57</v>
      </c>
      <c r="F147" s="856">
        <v>2024</v>
      </c>
      <c r="G147" s="1099">
        <v>45418</v>
      </c>
      <c r="H147" s="3">
        <v>200105874</v>
      </c>
      <c r="I147" s="1452" t="s">
        <v>356</v>
      </c>
      <c r="J147" s="856">
        <v>20</v>
      </c>
      <c r="K147" s="3" t="s">
        <v>128</v>
      </c>
      <c r="L147" s="1201"/>
      <c r="M147" s="786">
        <v>466.7</v>
      </c>
      <c r="N147" s="804"/>
      <c r="O147" s="1205">
        <v>45419</v>
      </c>
      <c r="P147" s="1203"/>
      <c r="Q147" s="3" t="s">
        <v>357</v>
      </c>
      <c r="R147" s="1209"/>
      <c r="S147" s="856" t="s">
        <v>62</v>
      </c>
      <c r="T147" s="1212"/>
      <c r="U147" s="3" t="s">
        <v>130</v>
      </c>
      <c r="V147" s="848"/>
      <c r="W147" s="786">
        <v>330</v>
      </c>
      <c r="X147" s="1282"/>
      <c r="Y147" s="1205">
        <v>45419</v>
      </c>
      <c r="Z147" s="856" t="s">
        <v>62</v>
      </c>
      <c r="AA147" s="1232"/>
      <c r="AB147" s="1099">
        <v>45422</v>
      </c>
      <c r="AC147" s="1099">
        <v>45422</v>
      </c>
      <c r="AD147" s="1176">
        <f>234+50+497</f>
        <v>781</v>
      </c>
      <c r="AE147" s="1227">
        <f t="shared" si="14"/>
        <v>0.97624999999999995</v>
      </c>
      <c r="AF147" s="1283" t="s">
        <v>131</v>
      </c>
      <c r="AG147" s="1286">
        <v>1</v>
      </c>
      <c r="AH147" s="1076" t="s">
        <v>132</v>
      </c>
      <c r="AI147" s="1248">
        <v>45428</v>
      </c>
      <c r="AJ147" s="1248">
        <v>45429</v>
      </c>
      <c r="AK147" s="1285">
        <f>81600+93800+68305</f>
        <v>243705</v>
      </c>
      <c r="AL147" s="1264">
        <f t="shared" si="15"/>
        <v>0.97482000000000002</v>
      </c>
      <c r="AM147" s="1265" t="s">
        <v>62</v>
      </c>
      <c r="AN147" s="1261">
        <v>1</v>
      </c>
      <c r="AO147" s="1276"/>
      <c r="AP147" s="1277"/>
      <c r="AQ147" s="1276"/>
      <c r="AR147" s="1278"/>
      <c r="AS147" s="1278"/>
    </row>
    <row r="148" spans="1:45" ht="15.6">
      <c r="A148" s="1097" t="s">
        <v>53</v>
      </c>
      <c r="B148" s="1075" t="s">
        <v>122</v>
      </c>
      <c r="C148" s="851" t="s">
        <v>123</v>
      </c>
      <c r="D148" s="851" t="s">
        <v>124</v>
      </c>
      <c r="E148" s="1432" t="s">
        <v>57</v>
      </c>
      <c r="F148" s="856">
        <v>2024</v>
      </c>
      <c r="G148" s="1099">
        <v>45418</v>
      </c>
      <c r="H148" s="3">
        <v>200105875</v>
      </c>
      <c r="I148" s="1452" t="s">
        <v>358</v>
      </c>
      <c r="J148" s="856">
        <v>21</v>
      </c>
      <c r="K148" s="3" t="s">
        <v>128</v>
      </c>
      <c r="L148" s="1201"/>
      <c r="M148" s="786">
        <v>463.9</v>
      </c>
      <c r="N148" s="804"/>
      <c r="O148" s="1205">
        <v>45419</v>
      </c>
      <c r="P148" s="1203"/>
      <c r="Q148" s="3" t="s">
        <v>359</v>
      </c>
      <c r="R148" s="1209"/>
      <c r="S148" s="856" t="s">
        <v>62</v>
      </c>
      <c r="T148" s="1212"/>
      <c r="U148" s="3" t="s">
        <v>130</v>
      </c>
      <c r="V148" s="848"/>
      <c r="W148" s="786">
        <v>329.9</v>
      </c>
      <c r="X148" s="1282"/>
      <c r="Y148" s="1205">
        <v>45420</v>
      </c>
      <c r="Z148" s="856" t="s">
        <v>62</v>
      </c>
      <c r="AA148" s="1232"/>
      <c r="AB148" s="1099">
        <v>45422</v>
      </c>
      <c r="AC148" s="1099">
        <v>45425</v>
      </c>
      <c r="AD148" s="1176">
        <f>96+534+144</f>
        <v>774</v>
      </c>
      <c r="AE148" s="1227">
        <f t="shared" si="14"/>
        <v>0.96750000000000003</v>
      </c>
      <c r="AF148" s="1283" t="s">
        <v>131</v>
      </c>
      <c r="AG148" s="1286">
        <v>1</v>
      </c>
      <c r="AH148" s="1076" t="s">
        <v>132</v>
      </c>
      <c r="AI148" s="1248">
        <v>45429</v>
      </c>
      <c r="AJ148" s="1248">
        <v>45432</v>
      </c>
      <c r="AK148" s="1285">
        <f>61800+155000+24918</f>
        <v>241718</v>
      </c>
      <c r="AL148" s="1264">
        <f t="shared" si="15"/>
        <v>0.96687199999999995</v>
      </c>
      <c r="AM148" s="1265" t="s">
        <v>62</v>
      </c>
      <c r="AN148" s="1261">
        <v>1</v>
      </c>
      <c r="AO148" s="1276"/>
      <c r="AP148" s="1277"/>
      <c r="AQ148" s="1276"/>
      <c r="AR148" s="1278"/>
      <c r="AS148" s="1278"/>
    </row>
    <row r="149" spans="1:45" ht="15.6">
      <c r="A149" s="1097" t="s">
        <v>53</v>
      </c>
      <c r="B149" s="1075" t="s">
        <v>122</v>
      </c>
      <c r="C149" s="851" t="s">
        <v>123</v>
      </c>
      <c r="D149" s="851" t="s">
        <v>124</v>
      </c>
      <c r="E149" s="1432" t="s">
        <v>57</v>
      </c>
      <c r="F149" s="856">
        <v>2024</v>
      </c>
      <c r="G149" s="1099">
        <v>45418</v>
      </c>
      <c r="H149" s="3">
        <v>200105876</v>
      </c>
      <c r="I149" s="1452" t="s">
        <v>360</v>
      </c>
      <c r="J149" s="856">
        <v>22</v>
      </c>
      <c r="K149" s="3" t="s">
        <v>128</v>
      </c>
      <c r="L149" s="1201"/>
      <c r="M149" s="786">
        <v>464.1</v>
      </c>
      <c r="N149" s="804"/>
      <c r="O149" s="1205">
        <v>45419</v>
      </c>
      <c r="P149" s="1203"/>
      <c r="Q149" s="3" t="s">
        <v>361</v>
      </c>
      <c r="R149" s="1209"/>
      <c r="S149" s="856" t="s">
        <v>62</v>
      </c>
      <c r="T149" s="1212"/>
      <c r="U149" s="3" t="s">
        <v>130</v>
      </c>
      <c r="V149" s="848"/>
      <c r="W149" s="786">
        <v>330</v>
      </c>
      <c r="X149" s="1282"/>
      <c r="Y149" s="1205">
        <v>45420</v>
      </c>
      <c r="Z149" s="856" t="s">
        <v>62</v>
      </c>
      <c r="AA149" s="1232"/>
      <c r="AB149" s="1099">
        <v>45425</v>
      </c>
      <c r="AC149" s="1099">
        <v>45425</v>
      </c>
      <c r="AD149" s="1176">
        <f>472+302</f>
        <v>774</v>
      </c>
      <c r="AE149" s="1227">
        <f t="shared" si="14"/>
        <v>0.96750000000000003</v>
      </c>
      <c r="AF149" s="1283" t="s">
        <v>131</v>
      </c>
      <c r="AG149" s="1286">
        <v>1</v>
      </c>
      <c r="AH149" s="1076" t="s">
        <v>162</v>
      </c>
      <c r="AI149" s="1248">
        <v>45430</v>
      </c>
      <c r="AJ149" s="1248">
        <v>45432</v>
      </c>
      <c r="AK149" s="1292">
        <f>40500+88824+81000+30032</f>
        <v>240356</v>
      </c>
      <c r="AL149" s="1264">
        <f t="shared" si="15"/>
        <v>0.96142399999999995</v>
      </c>
      <c r="AM149" s="1265" t="s">
        <v>62</v>
      </c>
      <c r="AN149" s="1261">
        <v>1</v>
      </c>
      <c r="AO149" s="1276"/>
      <c r="AP149" s="1277"/>
      <c r="AQ149" s="1276"/>
      <c r="AR149" s="1278"/>
      <c r="AS149" s="1278"/>
    </row>
    <row r="150" spans="1:45" ht="15.6">
      <c r="A150" s="1097" t="s">
        <v>53</v>
      </c>
      <c r="B150" s="1075" t="s">
        <v>122</v>
      </c>
      <c r="C150" s="851" t="s">
        <v>123</v>
      </c>
      <c r="D150" s="851" t="s">
        <v>124</v>
      </c>
      <c r="E150" s="1432" t="s">
        <v>57</v>
      </c>
      <c r="F150" s="856">
        <v>2024</v>
      </c>
      <c r="G150" s="1099">
        <v>45418</v>
      </c>
      <c r="H150" s="3">
        <v>200105877</v>
      </c>
      <c r="I150" s="1452" t="s">
        <v>362</v>
      </c>
      <c r="J150" s="856">
        <v>23</v>
      </c>
      <c r="K150" s="3" t="s">
        <v>128</v>
      </c>
      <c r="L150" s="1201"/>
      <c r="M150" s="786">
        <v>469.4</v>
      </c>
      <c r="N150" s="804"/>
      <c r="O150" s="1205">
        <v>45420</v>
      </c>
      <c r="P150" s="1203"/>
      <c r="Q150" s="3" t="s">
        <v>363</v>
      </c>
      <c r="R150" s="1209"/>
      <c r="S150" s="856" t="s">
        <v>62</v>
      </c>
      <c r="T150" s="1212"/>
      <c r="U150" s="3" t="s">
        <v>130</v>
      </c>
      <c r="V150" s="848"/>
      <c r="W150" s="786">
        <v>330.1</v>
      </c>
      <c r="X150" s="1282"/>
      <c r="Y150" s="1205">
        <v>45420</v>
      </c>
      <c r="Z150" s="856" t="s">
        <v>62</v>
      </c>
      <c r="AA150" s="1232"/>
      <c r="AB150" s="1099">
        <v>45425</v>
      </c>
      <c r="AC150" s="1099">
        <v>45426</v>
      </c>
      <c r="AD150" s="1176">
        <f>370+411</f>
        <v>781</v>
      </c>
      <c r="AE150" s="1227">
        <f t="shared" si="14"/>
        <v>0.97624999999999995</v>
      </c>
      <c r="AF150" s="1283" t="s">
        <v>64</v>
      </c>
      <c r="AG150" s="1286">
        <v>1</v>
      </c>
      <c r="AH150" s="1076" t="s">
        <v>132</v>
      </c>
      <c r="AI150" s="1248">
        <v>45432</v>
      </c>
      <c r="AJ150" s="1248">
        <v>45432</v>
      </c>
      <c r="AK150" s="1285">
        <f>82300+151300+10059</f>
        <v>243659</v>
      </c>
      <c r="AL150" s="1264">
        <f t="shared" si="15"/>
        <v>0.97463599999999995</v>
      </c>
      <c r="AM150" s="1265" t="s">
        <v>62</v>
      </c>
      <c r="AN150" s="1261">
        <v>1</v>
      </c>
      <c r="AO150" s="1276"/>
      <c r="AP150" s="1277"/>
      <c r="AQ150" s="1276"/>
      <c r="AR150" s="1278"/>
      <c r="AS150" s="1278"/>
    </row>
    <row r="151" spans="1:45" ht="15.6">
      <c r="A151" s="1097" t="s">
        <v>53</v>
      </c>
      <c r="B151" s="1075" t="s">
        <v>122</v>
      </c>
      <c r="C151" s="851" t="s">
        <v>123</v>
      </c>
      <c r="D151" s="851" t="s">
        <v>124</v>
      </c>
      <c r="E151" s="1432" t="s">
        <v>57</v>
      </c>
      <c r="F151" s="856">
        <v>2024</v>
      </c>
      <c r="G151" s="1099">
        <v>45418</v>
      </c>
      <c r="H151" s="3">
        <v>200105878</v>
      </c>
      <c r="I151" s="1452" t="s">
        <v>364</v>
      </c>
      <c r="J151" s="856">
        <v>24</v>
      </c>
      <c r="K151" s="3" t="s">
        <v>128</v>
      </c>
      <c r="L151" s="1201"/>
      <c r="M151" s="786">
        <v>459.1</v>
      </c>
      <c r="N151" s="804"/>
      <c r="O151" s="1205">
        <v>45420</v>
      </c>
      <c r="P151" s="1203"/>
      <c r="Q151" s="3" t="s">
        <v>365</v>
      </c>
      <c r="R151" s="1209"/>
      <c r="S151" s="856" t="s">
        <v>62</v>
      </c>
      <c r="T151" s="1212"/>
      <c r="U151" s="3" t="s">
        <v>130</v>
      </c>
      <c r="V151" s="848"/>
      <c r="W151" s="785">
        <v>329.9</v>
      </c>
      <c r="X151" s="1282"/>
      <c r="Y151" s="1205">
        <v>45422</v>
      </c>
      <c r="Z151" s="856" t="s">
        <v>62</v>
      </c>
      <c r="AA151" s="1232"/>
      <c r="AB151" s="1099">
        <v>45426</v>
      </c>
      <c r="AC151" s="1099">
        <v>45426</v>
      </c>
      <c r="AD151" s="1176">
        <f>168+617</f>
        <v>785</v>
      </c>
      <c r="AE151" s="1227">
        <f t="shared" si="14"/>
        <v>0.98124999999999996</v>
      </c>
      <c r="AF151" s="1283" t="s">
        <v>64</v>
      </c>
      <c r="AG151" s="1286">
        <v>1</v>
      </c>
      <c r="AH151" s="1076" t="s">
        <v>132</v>
      </c>
      <c r="AI151" s="1248">
        <v>45432</v>
      </c>
      <c r="AJ151" s="1248">
        <v>45433</v>
      </c>
      <c r="AK151" s="1285">
        <f>136100+108367</f>
        <v>244467</v>
      </c>
      <c r="AL151" s="1264">
        <f t="shared" si="15"/>
        <v>0.97786799999999996</v>
      </c>
      <c r="AM151" s="1265" t="s">
        <v>62</v>
      </c>
      <c r="AN151" s="1261">
        <v>1</v>
      </c>
      <c r="AO151" s="1276"/>
      <c r="AP151" s="1277"/>
      <c r="AQ151" s="1276"/>
      <c r="AR151" s="1278"/>
      <c r="AS151" s="1278"/>
    </row>
    <row r="152" spans="1:45" ht="15.6">
      <c r="A152" s="1097" t="s">
        <v>53</v>
      </c>
      <c r="B152" s="1075" t="s">
        <v>122</v>
      </c>
      <c r="C152" s="851" t="s">
        <v>123</v>
      </c>
      <c r="D152" s="851" t="s">
        <v>124</v>
      </c>
      <c r="E152" s="1432" t="s">
        <v>57</v>
      </c>
      <c r="F152" s="856">
        <v>2024</v>
      </c>
      <c r="G152" s="1099">
        <v>45418</v>
      </c>
      <c r="H152" s="3">
        <v>200105879</v>
      </c>
      <c r="I152" s="1452" t="s">
        <v>366</v>
      </c>
      <c r="J152" s="856">
        <v>25</v>
      </c>
      <c r="K152" s="3" t="s">
        <v>128</v>
      </c>
      <c r="L152" s="1201"/>
      <c r="M152" s="786">
        <v>467.7</v>
      </c>
      <c r="N152" s="804"/>
      <c r="O152" s="1205">
        <v>45420</v>
      </c>
      <c r="P152" s="1203"/>
      <c r="Q152" s="3" t="s">
        <v>367</v>
      </c>
      <c r="R152" s="1209"/>
      <c r="S152" s="856" t="s">
        <v>62</v>
      </c>
      <c r="T152" s="1212"/>
      <c r="U152" s="3" t="s">
        <v>130</v>
      </c>
      <c r="V152" s="848"/>
      <c r="W152" s="786">
        <v>330</v>
      </c>
      <c r="X152" s="1282"/>
      <c r="Y152" s="1205">
        <v>45422</v>
      </c>
      <c r="Z152" s="856" t="s">
        <v>62</v>
      </c>
      <c r="AA152" s="1232"/>
      <c r="AB152" s="1099">
        <v>45428</v>
      </c>
      <c r="AC152" s="1099">
        <v>45429</v>
      </c>
      <c r="AD152" s="1176">
        <f>214+314+246</f>
        <v>774</v>
      </c>
      <c r="AE152" s="1227">
        <f t="shared" si="14"/>
        <v>0.96750000000000003</v>
      </c>
      <c r="AF152" s="1283" t="s">
        <v>64</v>
      </c>
      <c r="AG152" s="1286">
        <v>1</v>
      </c>
      <c r="AH152" s="1076" t="s">
        <v>162</v>
      </c>
      <c r="AI152" s="1248">
        <v>45434</v>
      </c>
      <c r="AJ152" s="1248">
        <v>45436</v>
      </c>
      <c r="AK152" s="1292">
        <f>40416+97348+76986+25379</f>
        <v>240129</v>
      </c>
      <c r="AL152" s="1264">
        <f t="shared" si="15"/>
        <v>0.96051600000000004</v>
      </c>
      <c r="AM152" s="1265" t="s">
        <v>62</v>
      </c>
      <c r="AN152" s="1261">
        <v>1</v>
      </c>
      <c r="AO152" s="1276"/>
      <c r="AP152" s="1277"/>
      <c r="AQ152" s="1276"/>
      <c r="AR152" s="1278"/>
      <c r="AS152" s="1278"/>
    </row>
    <row r="153" spans="1:45" ht="22.05" customHeight="1">
      <c r="A153" s="1097" t="s">
        <v>53</v>
      </c>
      <c r="B153" s="1075" t="s">
        <v>122</v>
      </c>
      <c r="C153" s="851" t="s">
        <v>123</v>
      </c>
      <c r="D153" s="851" t="s">
        <v>124</v>
      </c>
      <c r="E153" s="1432" t="s">
        <v>57</v>
      </c>
      <c r="F153" s="856">
        <v>2024</v>
      </c>
      <c r="G153" s="1099">
        <v>45418</v>
      </c>
      <c r="H153" s="3">
        <v>200105920</v>
      </c>
      <c r="I153" s="1452" t="s">
        <v>368</v>
      </c>
      <c r="J153" s="856">
        <v>26</v>
      </c>
      <c r="K153" s="3" t="s">
        <v>128</v>
      </c>
      <c r="L153" s="1201"/>
      <c r="M153" s="786">
        <v>466.2</v>
      </c>
      <c r="N153" s="804"/>
      <c r="O153" s="1205">
        <v>45420</v>
      </c>
      <c r="P153" s="1203"/>
      <c r="Q153" s="3" t="s">
        <v>369</v>
      </c>
      <c r="R153" s="1209"/>
      <c r="S153" s="856" t="s">
        <v>62</v>
      </c>
      <c r="T153" s="1212"/>
      <c r="U153" s="3" t="s">
        <v>130</v>
      </c>
      <c r="V153" s="848"/>
      <c r="W153" s="786">
        <v>330</v>
      </c>
      <c r="X153" s="1282"/>
      <c r="Y153" s="1205">
        <v>45425</v>
      </c>
      <c r="Z153" s="856" t="s">
        <v>62</v>
      </c>
      <c r="AA153" s="1232"/>
      <c r="AB153" s="1099">
        <v>45426</v>
      </c>
      <c r="AC153" s="1099">
        <v>45427</v>
      </c>
      <c r="AD153" s="1176">
        <f>53+544+173</f>
        <v>770</v>
      </c>
      <c r="AE153" s="1227">
        <f t="shared" si="14"/>
        <v>0.96250000000000002</v>
      </c>
      <c r="AF153" s="1283" t="s">
        <v>64</v>
      </c>
      <c r="AG153" s="1286">
        <v>1</v>
      </c>
      <c r="AH153" s="1076" t="s">
        <v>162</v>
      </c>
      <c r="AI153" s="1248">
        <v>45432</v>
      </c>
      <c r="AJ153" s="1248">
        <v>45436</v>
      </c>
      <c r="AK153" s="1292">
        <f>61564+98000+63214+17389</f>
        <v>240167</v>
      </c>
      <c r="AL153" s="1264">
        <f t="shared" si="15"/>
        <v>0.96066799999999997</v>
      </c>
      <c r="AM153" s="1265" t="s">
        <v>62</v>
      </c>
      <c r="AN153" s="1261">
        <v>1</v>
      </c>
      <c r="AO153" s="1276"/>
      <c r="AP153" s="1277"/>
      <c r="AQ153" s="1276"/>
      <c r="AR153" s="1278"/>
      <c r="AS153" s="1278"/>
    </row>
    <row r="154" spans="1:45" ht="15.6">
      <c r="A154" s="1097" t="s">
        <v>53</v>
      </c>
      <c r="B154" s="1075" t="s">
        <v>122</v>
      </c>
      <c r="C154" s="851" t="s">
        <v>123</v>
      </c>
      <c r="D154" s="851" t="s">
        <v>124</v>
      </c>
      <c r="E154" s="1432" t="s">
        <v>57</v>
      </c>
      <c r="F154" s="856">
        <v>2024</v>
      </c>
      <c r="G154" s="1099">
        <v>45418</v>
      </c>
      <c r="H154" s="3">
        <v>200105856</v>
      </c>
      <c r="I154" s="1449" t="s">
        <v>370</v>
      </c>
      <c r="J154" s="856">
        <v>27</v>
      </c>
      <c r="K154" s="3" t="s">
        <v>128</v>
      </c>
      <c r="L154" s="1201"/>
      <c r="M154" s="786">
        <v>470.7</v>
      </c>
      <c r="N154" s="804"/>
      <c r="O154" s="1205">
        <v>45420</v>
      </c>
      <c r="P154" s="1203"/>
      <c r="Q154" s="3" t="s">
        <v>371</v>
      </c>
      <c r="R154" s="1209"/>
      <c r="S154" s="856" t="s">
        <v>62</v>
      </c>
      <c r="T154" s="1212"/>
      <c r="U154" s="3" t="s">
        <v>130</v>
      </c>
      <c r="V154" s="848"/>
      <c r="W154" s="786">
        <v>330</v>
      </c>
      <c r="X154" s="1282"/>
      <c r="Y154" s="1205">
        <v>45425</v>
      </c>
      <c r="Z154" s="856" t="s">
        <v>62</v>
      </c>
      <c r="AA154" s="1232"/>
      <c r="AB154" s="1099">
        <v>45427</v>
      </c>
      <c r="AC154" s="1099">
        <v>45427</v>
      </c>
      <c r="AD154" s="1176">
        <f>446+337</f>
        <v>783</v>
      </c>
      <c r="AE154" s="1227">
        <f t="shared" si="14"/>
        <v>0.97875000000000001</v>
      </c>
      <c r="AF154" s="1283" t="s">
        <v>64</v>
      </c>
      <c r="AG154" s="1286">
        <v>1</v>
      </c>
      <c r="AH154" s="1076" t="s">
        <v>162</v>
      </c>
      <c r="AI154" s="1248">
        <v>45433</v>
      </c>
      <c r="AJ154" s="1248">
        <v>45434</v>
      </c>
      <c r="AK154" s="1292">
        <f>95093+105146+43785</f>
        <v>244024</v>
      </c>
      <c r="AL154" s="1264">
        <f t="shared" si="15"/>
        <v>0.97609599999999996</v>
      </c>
      <c r="AM154" s="1265" t="s">
        <v>62</v>
      </c>
      <c r="AN154" s="1261">
        <v>1</v>
      </c>
      <c r="AO154" s="1276"/>
      <c r="AP154" s="1277"/>
      <c r="AQ154" s="1276"/>
      <c r="AR154" s="1278"/>
      <c r="AS154" s="1278"/>
    </row>
    <row r="155" spans="1:45" ht="15.6">
      <c r="A155" s="1097" t="s">
        <v>53</v>
      </c>
      <c r="B155" s="1075" t="s">
        <v>122</v>
      </c>
      <c r="C155" s="851" t="s">
        <v>123</v>
      </c>
      <c r="D155" s="851" t="s">
        <v>124</v>
      </c>
      <c r="E155" s="1432" t="s">
        <v>57</v>
      </c>
      <c r="F155" s="856">
        <v>2024</v>
      </c>
      <c r="G155" s="1099">
        <v>45418</v>
      </c>
      <c r="H155" s="3">
        <v>200105857</v>
      </c>
      <c r="I155" s="1449" t="s">
        <v>372</v>
      </c>
      <c r="J155" s="856">
        <v>28</v>
      </c>
      <c r="K155" s="3" t="s">
        <v>128</v>
      </c>
      <c r="L155" s="1201"/>
      <c r="M155" s="786">
        <v>464.6</v>
      </c>
      <c r="N155" s="804"/>
      <c r="O155" s="1205">
        <v>45430</v>
      </c>
      <c r="P155" s="1203"/>
      <c r="Q155" s="3" t="s">
        <v>373</v>
      </c>
      <c r="R155" s="1209"/>
      <c r="S155" s="856" t="s">
        <v>62</v>
      </c>
      <c r="T155" s="1212"/>
      <c r="U155" s="3" t="s">
        <v>130</v>
      </c>
      <c r="V155" s="848"/>
      <c r="W155" s="786">
        <v>329.8</v>
      </c>
      <c r="X155" s="1282"/>
      <c r="Y155" s="1205">
        <v>45426</v>
      </c>
      <c r="Z155" s="856" t="s">
        <v>62</v>
      </c>
      <c r="AA155" s="1232"/>
      <c r="AB155" s="1099">
        <v>45427</v>
      </c>
      <c r="AC155" s="1099">
        <v>45428</v>
      </c>
      <c r="AD155" s="1176">
        <f>330+444</f>
        <v>774</v>
      </c>
      <c r="AE155" s="1227">
        <f t="shared" si="14"/>
        <v>0.96750000000000003</v>
      </c>
      <c r="AF155" s="1283" t="s">
        <v>64</v>
      </c>
      <c r="AG155" s="1286">
        <v>1</v>
      </c>
      <c r="AH155" s="1076" t="s">
        <v>132</v>
      </c>
      <c r="AI155" s="1248">
        <v>45433</v>
      </c>
      <c r="AJ155" s="1248">
        <v>45433</v>
      </c>
      <c r="AK155" s="1285">
        <f>27000+96600+117992</f>
        <v>241592</v>
      </c>
      <c r="AL155" s="1264">
        <f t="shared" si="15"/>
        <v>0.966368</v>
      </c>
      <c r="AM155" s="1265" t="s">
        <v>62</v>
      </c>
      <c r="AN155" s="1261">
        <v>1</v>
      </c>
      <c r="AO155" s="1276"/>
      <c r="AP155" s="1277"/>
      <c r="AQ155" s="1276"/>
      <c r="AR155" s="1278"/>
      <c r="AS155" s="1278"/>
    </row>
    <row r="156" spans="1:45" ht="15.6">
      <c r="A156" s="1097" t="s">
        <v>53</v>
      </c>
      <c r="B156" s="1075"/>
      <c r="C156" s="851"/>
      <c r="D156" s="851"/>
      <c r="E156" s="856"/>
      <c r="F156" s="856"/>
      <c r="G156" s="1099"/>
      <c r="H156" s="3"/>
      <c r="I156" s="3"/>
      <c r="J156" s="856"/>
      <c r="K156" s="851"/>
      <c r="L156" s="851"/>
      <c r="M156" s="851"/>
      <c r="N156" s="851"/>
      <c r="O156" s="1205"/>
      <c r="P156" s="1205"/>
      <c r="Q156" s="851"/>
      <c r="R156" s="1209"/>
      <c r="S156" s="851"/>
      <c r="T156" s="1215"/>
      <c r="U156" s="851"/>
      <c r="V156" s="851"/>
      <c r="W156" s="851"/>
      <c r="X156" s="1179"/>
      <c r="Y156" s="1205"/>
      <c r="Z156" s="851"/>
      <c r="AA156" s="1232"/>
      <c r="AB156" s="1099"/>
      <c r="AC156" s="1099"/>
      <c r="AD156" s="1176"/>
      <c r="AE156" s="1227"/>
      <c r="AF156" s="1283"/>
      <c r="AG156" s="1289"/>
      <c r="AH156" s="1076"/>
      <c r="AI156" s="1248"/>
      <c r="AJ156" s="1248"/>
      <c r="AK156" s="1285"/>
      <c r="AL156" s="1264"/>
      <c r="AM156" s="1269"/>
      <c r="AN156" s="1261"/>
      <c r="AO156" s="1276"/>
      <c r="AP156" s="1277"/>
      <c r="AQ156" s="1276"/>
      <c r="AR156" s="1278"/>
      <c r="AS156" s="1278"/>
    </row>
    <row r="157" spans="1:45" ht="15.6">
      <c r="A157" s="1097" t="s">
        <v>53</v>
      </c>
      <c r="B157" s="1075" t="s">
        <v>122</v>
      </c>
      <c r="C157" s="851" t="s">
        <v>123</v>
      </c>
      <c r="D157" s="851" t="s">
        <v>124</v>
      </c>
      <c r="E157" s="1432" t="s">
        <v>72</v>
      </c>
      <c r="F157" s="856">
        <v>2024</v>
      </c>
      <c r="G157" s="1099">
        <v>45425</v>
      </c>
      <c r="H157" s="3">
        <v>200105941</v>
      </c>
      <c r="I157" s="1453" t="s">
        <v>374</v>
      </c>
      <c r="J157" s="856">
        <v>1</v>
      </c>
      <c r="K157" s="3" t="s">
        <v>128</v>
      </c>
      <c r="L157" s="1201"/>
      <c r="M157" s="786">
        <v>329.9</v>
      </c>
      <c r="N157" s="804"/>
      <c r="O157" s="1205">
        <v>45427</v>
      </c>
      <c r="P157" s="1203"/>
      <c r="Q157" s="3" t="s">
        <v>375</v>
      </c>
      <c r="R157" s="1209"/>
      <c r="S157" s="856" t="s">
        <v>62</v>
      </c>
      <c r="T157" s="1212"/>
      <c r="U157" s="3" t="s">
        <v>130</v>
      </c>
      <c r="V157" s="848"/>
      <c r="W157" s="786">
        <v>329.9</v>
      </c>
      <c r="X157" s="1282"/>
      <c r="Y157" s="1205">
        <v>45427</v>
      </c>
      <c r="Z157" s="856" t="s">
        <v>62</v>
      </c>
      <c r="AA157" s="1232"/>
      <c r="AB157" s="1099">
        <v>45436</v>
      </c>
      <c r="AC157" s="1099">
        <v>45441</v>
      </c>
      <c r="AD157" s="1176">
        <f>178+334+42+207+15</f>
        <v>776</v>
      </c>
      <c r="AE157" s="1227">
        <f t="shared" ref="AE157:AE186" si="16">AD157/800</f>
        <v>0.97</v>
      </c>
      <c r="AF157" s="1283" t="s">
        <v>64</v>
      </c>
      <c r="AG157" s="1286">
        <v>1</v>
      </c>
      <c r="AH157" s="1248" t="s">
        <v>132</v>
      </c>
      <c r="AI157" s="1248">
        <v>45447</v>
      </c>
      <c r="AJ157" s="1248">
        <v>45447</v>
      </c>
      <c r="AK157" s="1285">
        <f>103000+153707</f>
        <v>256707</v>
      </c>
      <c r="AL157" s="1264">
        <f t="shared" ref="AL157:AL186" si="17">AK157/250000</f>
        <v>1.0268280000000001</v>
      </c>
      <c r="AM157" s="1265" t="s">
        <v>62</v>
      </c>
      <c r="AN157" s="1261">
        <v>1</v>
      </c>
      <c r="AO157" s="1276"/>
      <c r="AP157" s="1277"/>
      <c r="AQ157" s="1276"/>
      <c r="AR157" s="1278"/>
      <c r="AS157" s="1278"/>
    </row>
    <row r="158" spans="1:45" ht="15.6">
      <c r="A158" s="1097" t="s">
        <v>53</v>
      </c>
      <c r="B158" s="1075" t="s">
        <v>122</v>
      </c>
      <c r="C158" s="851" t="s">
        <v>123</v>
      </c>
      <c r="D158" s="851" t="s">
        <v>124</v>
      </c>
      <c r="E158" s="1432" t="s">
        <v>72</v>
      </c>
      <c r="F158" s="856">
        <v>2024</v>
      </c>
      <c r="G158" s="1099">
        <v>45425</v>
      </c>
      <c r="H158" s="3">
        <v>200105942</v>
      </c>
      <c r="I158" s="1453" t="s">
        <v>376</v>
      </c>
      <c r="J158" s="856">
        <v>2</v>
      </c>
      <c r="K158" s="3" t="s">
        <v>128</v>
      </c>
      <c r="L158" s="1201"/>
      <c r="M158" s="786">
        <v>330.3</v>
      </c>
      <c r="N158" s="804"/>
      <c r="O158" s="1205">
        <v>45427</v>
      </c>
      <c r="P158" s="1203"/>
      <c r="Q158" s="3" t="s">
        <v>377</v>
      </c>
      <c r="R158" s="1209"/>
      <c r="S158" s="856" t="s">
        <v>62</v>
      </c>
      <c r="T158" s="1212"/>
      <c r="U158" s="3" t="s">
        <v>130</v>
      </c>
      <c r="V158" s="848"/>
      <c r="W158" s="786">
        <v>330.3</v>
      </c>
      <c r="X158" s="1282"/>
      <c r="Y158" s="1205">
        <v>45427</v>
      </c>
      <c r="Z158" s="856" t="s">
        <v>62</v>
      </c>
      <c r="AA158" s="1232"/>
      <c r="AB158" s="1099">
        <v>45429</v>
      </c>
      <c r="AC158" s="1099">
        <v>45429</v>
      </c>
      <c r="AD158" s="1176">
        <f>264+495</f>
        <v>759</v>
      </c>
      <c r="AE158" s="1227">
        <f t="shared" si="16"/>
        <v>0.94874999999999998</v>
      </c>
      <c r="AF158" s="1283" t="s">
        <v>64</v>
      </c>
      <c r="AG158" s="1286">
        <v>1</v>
      </c>
      <c r="AH158" s="1076" t="s">
        <v>132</v>
      </c>
      <c r="AI158" s="1248">
        <v>45434</v>
      </c>
      <c r="AJ158" s="1248">
        <v>45434</v>
      </c>
      <c r="AK158" s="1285">
        <f>139000+102624</f>
        <v>241624</v>
      </c>
      <c r="AL158" s="1264">
        <f t="shared" si="17"/>
        <v>0.96649600000000002</v>
      </c>
      <c r="AM158" s="1265" t="s">
        <v>62</v>
      </c>
      <c r="AN158" s="1261">
        <v>1</v>
      </c>
      <c r="AO158" s="1276"/>
      <c r="AP158" s="1277"/>
      <c r="AQ158" s="1276"/>
      <c r="AR158" s="1278"/>
      <c r="AS158" s="1278"/>
    </row>
    <row r="159" spans="1:45" ht="15.6">
      <c r="A159" s="1097" t="s">
        <v>53</v>
      </c>
      <c r="B159" s="1075" t="s">
        <v>122</v>
      </c>
      <c r="C159" s="851" t="s">
        <v>123</v>
      </c>
      <c r="D159" s="851" t="s">
        <v>124</v>
      </c>
      <c r="E159" s="1432" t="s">
        <v>72</v>
      </c>
      <c r="F159" s="856">
        <v>2024</v>
      </c>
      <c r="G159" s="1099">
        <v>45425</v>
      </c>
      <c r="H159" s="3">
        <v>200105943</v>
      </c>
      <c r="I159" s="1453" t="s">
        <v>378</v>
      </c>
      <c r="J159" s="856">
        <v>3</v>
      </c>
      <c r="K159" s="3" t="s">
        <v>128</v>
      </c>
      <c r="L159" s="1201"/>
      <c r="M159" s="786">
        <v>330</v>
      </c>
      <c r="N159" s="804"/>
      <c r="O159" s="1205">
        <v>45427</v>
      </c>
      <c r="P159" s="1203"/>
      <c r="Q159" s="3" t="s">
        <v>377</v>
      </c>
      <c r="R159" s="1209"/>
      <c r="S159" s="856" t="s">
        <v>62</v>
      </c>
      <c r="T159" s="1212"/>
      <c r="U159" s="3" t="s">
        <v>130</v>
      </c>
      <c r="V159" s="848"/>
      <c r="W159" s="786">
        <v>330</v>
      </c>
      <c r="X159" s="1282"/>
      <c r="Y159" s="1205">
        <v>45427</v>
      </c>
      <c r="Z159" s="856" t="s">
        <v>62</v>
      </c>
      <c r="AA159" s="1232"/>
      <c r="AB159" s="1099">
        <v>45439</v>
      </c>
      <c r="AC159" s="1099">
        <v>45439</v>
      </c>
      <c r="AD159" s="1176">
        <f>162+613</f>
        <v>775</v>
      </c>
      <c r="AE159" s="1227">
        <f t="shared" si="16"/>
        <v>0.96875</v>
      </c>
      <c r="AF159" s="1283" t="s">
        <v>64</v>
      </c>
      <c r="AG159" s="1286">
        <v>1</v>
      </c>
      <c r="AH159" s="1248" t="s">
        <v>162</v>
      </c>
      <c r="AI159" s="1248">
        <v>45447</v>
      </c>
      <c r="AJ159" s="1248">
        <v>45448</v>
      </c>
      <c r="AK159" s="1293">
        <f>2246+80000+80540+79090</f>
        <v>241876</v>
      </c>
      <c r="AL159" s="1264">
        <f t="shared" si="17"/>
        <v>0.96750400000000003</v>
      </c>
      <c r="AM159" s="1265" t="s">
        <v>62</v>
      </c>
      <c r="AN159" s="1261">
        <v>1</v>
      </c>
      <c r="AO159" s="1276"/>
      <c r="AP159" s="1277"/>
      <c r="AQ159" s="1276"/>
      <c r="AR159" s="1278"/>
      <c r="AS159" s="1278"/>
    </row>
    <row r="160" spans="1:45" ht="15.6">
      <c r="A160" s="1097" t="s">
        <v>53</v>
      </c>
      <c r="B160" s="1075" t="s">
        <v>122</v>
      </c>
      <c r="C160" s="851" t="s">
        <v>123</v>
      </c>
      <c r="D160" s="851" t="s">
        <v>124</v>
      </c>
      <c r="E160" s="1432" t="s">
        <v>72</v>
      </c>
      <c r="F160" s="856">
        <v>2024</v>
      </c>
      <c r="G160" s="1099">
        <v>45428</v>
      </c>
      <c r="H160" s="3">
        <v>200106125</v>
      </c>
      <c r="I160" s="1454" t="s">
        <v>379</v>
      </c>
      <c r="J160" s="856">
        <v>4</v>
      </c>
      <c r="K160" s="3" t="s">
        <v>128</v>
      </c>
      <c r="L160" s="1201"/>
      <c r="M160" s="762">
        <v>330</v>
      </c>
      <c r="N160" s="804"/>
      <c r="O160" s="1205">
        <v>45434</v>
      </c>
      <c r="P160" s="1203"/>
      <c r="Q160" s="3" t="s">
        <v>380</v>
      </c>
      <c r="R160" s="1209"/>
      <c r="S160" s="856" t="s">
        <v>62</v>
      </c>
      <c r="T160" s="1212"/>
      <c r="U160" s="3" t="s">
        <v>130</v>
      </c>
      <c r="V160" s="848"/>
      <c r="W160" s="762">
        <v>330</v>
      </c>
      <c r="X160" s="1282"/>
      <c r="Y160" s="1205">
        <v>45434</v>
      </c>
      <c r="Z160" s="856" t="s">
        <v>62</v>
      </c>
      <c r="AA160" s="1232"/>
      <c r="AB160" s="1099">
        <v>45439</v>
      </c>
      <c r="AC160" s="1099">
        <v>45440</v>
      </c>
      <c r="AD160" s="1176">
        <f>706+67</f>
        <v>773</v>
      </c>
      <c r="AE160" s="1227">
        <f t="shared" si="16"/>
        <v>0.96625000000000005</v>
      </c>
      <c r="AF160" s="1283" t="s">
        <v>64</v>
      </c>
      <c r="AG160" s="1286">
        <v>1</v>
      </c>
      <c r="AH160" s="1076" t="s">
        <v>132</v>
      </c>
      <c r="AI160" s="1248">
        <v>45448</v>
      </c>
      <c r="AJ160" s="1248">
        <v>45448</v>
      </c>
      <c r="AK160" s="1293">
        <f>137347+104064</f>
        <v>241411</v>
      </c>
      <c r="AL160" s="1264">
        <f t="shared" si="17"/>
        <v>0.96564399999999995</v>
      </c>
      <c r="AM160" s="1265" t="s">
        <v>62</v>
      </c>
      <c r="AN160" s="1261">
        <v>1</v>
      </c>
      <c r="AO160" s="1276"/>
      <c r="AP160" s="1277"/>
      <c r="AQ160" s="1276"/>
      <c r="AR160" s="1278"/>
      <c r="AS160" s="1278"/>
    </row>
    <row r="161" spans="1:45" ht="15.6">
      <c r="A161" s="1097" t="s">
        <v>53</v>
      </c>
      <c r="B161" s="1075" t="s">
        <v>122</v>
      </c>
      <c r="C161" s="851" t="s">
        <v>123</v>
      </c>
      <c r="D161" s="851" t="s">
        <v>124</v>
      </c>
      <c r="E161" s="1432" t="s">
        <v>72</v>
      </c>
      <c r="F161" s="856">
        <v>2024</v>
      </c>
      <c r="G161" s="1099">
        <v>45428</v>
      </c>
      <c r="H161" s="3">
        <v>200106126</v>
      </c>
      <c r="I161" s="1454" t="s">
        <v>381</v>
      </c>
      <c r="J161" s="856">
        <v>5</v>
      </c>
      <c r="K161" s="3" t="s">
        <v>128</v>
      </c>
      <c r="L161" s="1201"/>
      <c r="M161" s="786">
        <v>329.8</v>
      </c>
      <c r="N161" s="804"/>
      <c r="O161" s="1205">
        <v>45434</v>
      </c>
      <c r="P161" s="1203"/>
      <c r="Q161" s="3" t="s">
        <v>382</v>
      </c>
      <c r="R161" s="1209"/>
      <c r="S161" s="856" t="s">
        <v>62</v>
      </c>
      <c r="T161" s="1212"/>
      <c r="U161" s="3" t="s">
        <v>130</v>
      </c>
      <c r="V161" s="848"/>
      <c r="W161" s="786">
        <v>329.8</v>
      </c>
      <c r="X161" s="1282"/>
      <c r="Y161" s="1205">
        <v>45434</v>
      </c>
      <c r="Z161" s="856" t="s">
        <v>62</v>
      </c>
      <c r="AA161" s="1232"/>
      <c r="AB161" s="1099">
        <v>45440</v>
      </c>
      <c r="AC161" s="1099">
        <v>45440</v>
      </c>
      <c r="AD161" s="1176">
        <f>330+446</f>
        <v>776</v>
      </c>
      <c r="AE161" s="1227">
        <f t="shared" si="16"/>
        <v>0.97</v>
      </c>
      <c r="AF161" s="1283" t="s">
        <v>64</v>
      </c>
      <c r="AG161" s="1286">
        <v>1</v>
      </c>
      <c r="AH161" s="1248" t="s">
        <v>162</v>
      </c>
      <c r="AI161" s="1248">
        <v>45448</v>
      </c>
      <c r="AJ161" s="1248">
        <v>45449</v>
      </c>
      <c r="AK161" s="1293">
        <f>81687+98191+61856</f>
        <v>241734</v>
      </c>
      <c r="AL161" s="1264">
        <f t="shared" si="17"/>
        <v>0.96693600000000002</v>
      </c>
      <c r="AM161" s="1265" t="s">
        <v>62</v>
      </c>
      <c r="AN161" s="1261">
        <v>1</v>
      </c>
      <c r="AO161" s="1276"/>
      <c r="AP161" s="1277"/>
      <c r="AQ161" s="1276"/>
      <c r="AR161" s="1278"/>
      <c r="AS161" s="1278"/>
    </row>
    <row r="162" spans="1:45" ht="15.6">
      <c r="A162" s="1097" t="s">
        <v>53</v>
      </c>
      <c r="B162" s="1075" t="s">
        <v>122</v>
      </c>
      <c r="C162" s="851" t="s">
        <v>123</v>
      </c>
      <c r="D162" s="851" t="s">
        <v>124</v>
      </c>
      <c r="E162" s="1432" t="s">
        <v>72</v>
      </c>
      <c r="F162" s="856">
        <v>2024</v>
      </c>
      <c r="G162" s="1099">
        <v>45428</v>
      </c>
      <c r="H162" s="3">
        <v>200106127</v>
      </c>
      <c r="I162" s="1454" t="s">
        <v>383</v>
      </c>
      <c r="J162" s="856">
        <v>6</v>
      </c>
      <c r="K162" s="3" t="s">
        <v>128</v>
      </c>
      <c r="L162" s="1201"/>
      <c r="M162" s="786">
        <v>330</v>
      </c>
      <c r="N162" s="804"/>
      <c r="O162" s="1205">
        <v>45434</v>
      </c>
      <c r="P162" s="1203"/>
      <c r="Q162" s="3" t="s">
        <v>384</v>
      </c>
      <c r="R162" s="1209"/>
      <c r="S162" s="856" t="s">
        <v>62</v>
      </c>
      <c r="T162" s="1212"/>
      <c r="U162" s="3" t="s">
        <v>130</v>
      </c>
      <c r="V162" s="848"/>
      <c r="W162" s="786">
        <v>330</v>
      </c>
      <c r="X162" s="1282"/>
      <c r="Y162" s="1205">
        <v>45434</v>
      </c>
      <c r="Z162" s="856" t="s">
        <v>62</v>
      </c>
      <c r="AA162" s="1232"/>
      <c r="AB162" s="1099">
        <v>45440</v>
      </c>
      <c r="AC162" s="1099">
        <v>45440</v>
      </c>
      <c r="AD162" s="1176">
        <f>218+555</f>
        <v>773</v>
      </c>
      <c r="AE162" s="1227">
        <f t="shared" si="16"/>
        <v>0.96625000000000005</v>
      </c>
      <c r="AF162" s="1283" t="s">
        <v>64</v>
      </c>
      <c r="AG162" s="1286">
        <v>1</v>
      </c>
      <c r="AH162" s="1076" t="s">
        <v>132</v>
      </c>
      <c r="AI162" s="1248">
        <v>45448</v>
      </c>
      <c r="AJ162" s="1248">
        <v>45449</v>
      </c>
      <c r="AK162" s="1293">
        <f>29000+137500+74562</f>
        <v>241062</v>
      </c>
      <c r="AL162" s="1264">
        <f t="shared" si="17"/>
        <v>0.96424799999999999</v>
      </c>
      <c r="AM162" s="1265" t="s">
        <v>62</v>
      </c>
      <c r="AN162" s="1261">
        <v>1</v>
      </c>
      <c r="AO162" s="1276">
        <v>3437</v>
      </c>
      <c r="AP162" s="1277">
        <v>45478</v>
      </c>
      <c r="AQ162" s="1276" t="s">
        <v>132</v>
      </c>
      <c r="AR162" s="1278"/>
      <c r="AS162" s="1278"/>
    </row>
    <row r="163" spans="1:45" ht="15.6">
      <c r="A163" s="1097" t="s">
        <v>53</v>
      </c>
      <c r="B163" s="1075" t="s">
        <v>122</v>
      </c>
      <c r="C163" s="851" t="s">
        <v>123</v>
      </c>
      <c r="D163" s="851" t="s">
        <v>124</v>
      </c>
      <c r="E163" s="1432" t="s">
        <v>72</v>
      </c>
      <c r="F163" s="856">
        <v>2024</v>
      </c>
      <c r="G163" s="1099">
        <v>45428</v>
      </c>
      <c r="H163" s="3">
        <v>200106128</v>
      </c>
      <c r="I163" s="1454" t="s">
        <v>385</v>
      </c>
      <c r="J163" s="856">
        <v>7</v>
      </c>
      <c r="K163" s="3" t="s">
        <v>128</v>
      </c>
      <c r="L163" s="1201"/>
      <c r="M163" s="786">
        <v>330</v>
      </c>
      <c r="N163" s="804"/>
      <c r="O163" s="1205">
        <v>45434</v>
      </c>
      <c r="P163" s="1203"/>
      <c r="Q163" s="3" t="s">
        <v>386</v>
      </c>
      <c r="R163" s="1209"/>
      <c r="S163" s="856" t="s">
        <v>62</v>
      </c>
      <c r="T163" s="1212"/>
      <c r="U163" s="3" t="s">
        <v>130</v>
      </c>
      <c r="V163" s="848"/>
      <c r="W163" s="786">
        <v>330</v>
      </c>
      <c r="X163" s="1282"/>
      <c r="Y163" s="1205">
        <v>45434</v>
      </c>
      <c r="Z163" s="856" t="s">
        <v>62</v>
      </c>
      <c r="AA163" s="1232"/>
      <c r="AB163" s="1099">
        <v>45440</v>
      </c>
      <c r="AC163" s="1099">
        <v>45441</v>
      </c>
      <c r="AD163" s="1176">
        <f>126+488+159</f>
        <v>773</v>
      </c>
      <c r="AE163" s="1227">
        <f t="shared" si="16"/>
        <v>0.96625000000000005</v>
      </c>
      <c r="AF163" s="1283" t="s">
        <v>64</v>
      </c>
      <c r="AG163" s="1286">
        <v>1</v>
      </c>
      <c r="AH163" s="1076" t="s">
        <v>132</v>
      </c>
      <c r="AI163" s="1248">
        <v>45449</v>
      </c>
      <c r="AJ163" s="1248">
        <v>45449</v>
      </c>
      <c r="AK163" s="1293">
        <f>7300+125000+109257</f>
        <v>241557</v>
      </c>
      <c r="AL163" s="1264">
        <f t="shared" si="17"/>
        <v>0.96622799999999998</v>
      </c>
      <c r="AM163" s="1265" t="s">
        <v>62</v>
      </c>
      <c r="AN163" s="1261">
        <v>1</v>
      </c>
      <c r="AO163" s="1276"/>
      <c r="AP163" s="1277"/>
      <c r="AQ163" s="1276"/>
      <c r="AR163" s="1278"/>
      <c r="AS163" s="1278"/>
    </row>
    <row r="164" spans="1:45" ht="15.6">
      <c r="A164" s="1097" t="s">
        <v>53</v>
      </c>
      <c r="B164" s="1075" t="s">
        <v>122</v>
      </c>
      <c r="C164" s="851" t="s">
        <v>123</v>
      </c>
      <c r="D164" s="851" t="s">
        <v>124</v>
      </c>
      <c r="E164" s="1432" t="s">
        <v>72</v>
      </c>
      <c r="F164" s="856">
        <v>2024</v>
      </c>
      <c r="G164" s="1099">
        <v>45428</v>
      </c>
      <c r="H164" s="3">
        <v>200106129</v>
      </c>
      <c r="I164" s="1454" t="s">
        <v>387</v>
      </c>
      <c r="J164" s="856">
        <v>8</v>
      </c>
      <c r="K164" s="3" t="s">
        <v>128</v>
      </c>
      <c r="L164" s="1201"/>
      <c r="M164" s="786">
        <v>330.2</v>
      </c>
      <c r="N164" s="804"/>
      <c r="O164" s="1205">
        <v>45436</v>
      </c>
      <c r="P164" s="1203"/>
      <c r="Q164" s="3" t="s">
        <v>388</v>
      </c>
      <c r="R164" s="1209"/>
      <c r="S164" s="856" t="s">
        <v>62</v>
      </c>
      <c r="T164" s="1212"/>
      <c r="U164" s="3" t="s">
        <v>130</v>
      </c>
      <c r="V164" s="848"/>
      <c r="W164" s="786">
        <v>330.2</v>
      </c>
      <c r="X164" s="1282"/>
      <c r="Y164" s="1205">
        <v>45434</v>
      </c>
      <c r="Z164" s="856" t="s">
        <v>62</v>
      </c>
      <c r="AA164" s="1232"/>
      <c r="AB164" s="1099">
        <v>45446</v>
      </c>
      <c r="AC164" s="1099">
        <v>45446</v>
      </c>
      <c r="AD164" s="1176">
        <f>396+377</f>
        <v>773</v>
      </c>
      <c r="AE164" s="1227">
        <f t="shared" si="16"/>
        <v>0.96625000000000005</v>
      </c>
      <c r="AF164" s="1283" t="s">
        <v>64</v>
      </c>
      <c r="AG164" s="1286">
        <v>1</v>
      </c>
      <c r="AH164" s="1248" t="s">
        <v>162</v>
      </c>
      <c r="AI164" s="1248">
        <v>45449</v>
      </c>
      <c r="AJ164" s="1248">
        <v>45450</v>
      </c>
      <c r="AK164" s="1293">
        <f>18870+91371+52120+69100+9319</f>
        <v>240780</v>
      </c>
      <c r="AL164" s="1264">
        <f t="shared" si="17"/>
        <v>0.96311999999999998</v>
      </c>
      <c r="AM164" s="1265" t="s">
        <v>62</v>
      </c>
      <c r="AN164" s="1261">
        <v>1</v>
      </c>
      <c r="AO164" s="1276">
        <v>2582</v>
      </c>
      <c r="AP164" s="1277">
        <v>45468</v>
      </c>
      <c r="AQ164" s="1276" t="s">
        <v>162</v>
      </c>
      <c r="AR164" s="1278"/>
      <c r="AS164" s="1278"/>
    </row>
    <row r="165" spans="1:45" ht="15.6">
      <c r="A165" s="1097" t="s">
        <v>53</v>
      </c>
      <c r="B165" s="1075" t="s">
        <v>122</v>
      </c>
      <c r="C165" s="851" t="s">
        <v>123</v>
      </c>
      <c r="D165" s="851" t="s">
        <v>124</v>
      </c>
      <c r="E165" s="1432" t="s">
        <v>72</v>
      </c>
      <c r="F165" s="856">
        <v>2024</v>
      </c>
      <c r="G165" s="1099">
        <v>45432</v>
      </c>
      <c r="H165" s="3">
        <v>200106132</v>
      </c>
      <c r="I165" s="1448" t="s">
        <v>389</v>
      </c>
      <c r="J165" s="856">
        <v>9</v>
      </c>
      <c r="K165" s="3" t="s">
        <v>128</v>
      </c>
      <c r="L165" s="1201"/>
      <c r="M165" s="786">
        <v>330</v>
      </c>
      <c r="N165" s="804"/>
      <c r="O165" s="1205">
        <v>45436</v>
      </c>
      <c r="P165" s="1203"/>
      <c r="Q165" s="3" t="s">
        <v>390</v>
      </c>
      <c r="R165" s="1209"/>
      <c r="S165" s="856" t="s">
        <v>62</v>
      </c>
      <c r="T165" s="1212"/>
      <c r="U165" s="3" t="s">
        <v>130</v>
      </c>
      <c r="V165" s="848"/>
      <c r="W165" s="786">
        <v>330</v>
      </c>
      <c r="X165" s="1282"/>
      <c r="Y165" s="1205">
        <v>45434</v>
      </c>
      <c r="Z165" s="856" t="s">
        <v>62</v>
      </c>
      <c r="AA165" s="1232"/>
      <c r="AB165" s="1099">
        <v>45446</v>
      </c>
      <c r="AC165" s="1099">
        <v>45446</v>
      </c>
      <c r="AD165" s="1176">
        <f>233+542</f>
        <v>775</v>
      </c>
      <c r="AE165" s="1227">
        <f t="shared" si="16"/>
        <v>0.96875</v>
      </c>
      <c r="AF165" s="1283" t="s">
        <v>64</v>
      </c>
      <c r="AG165" s="1286">
        <v>1</v>
      </c>
      <c r="AH165" s="1076" t="s">
        <v>132</v>
      </c>
      <c r="AI165" s="1248">
        <v>45449</v>
      </c>
      <c r="AJ165" s="1248">
        <v>45450</v>
      </c>
      <c r="AK165" s="1293">
        <f>13409+121520+22000+85274</f>
        <v>242203</v>
      </c>
      <c r="AL165" s="1264">
        <f t="shared" si="17"/>
        <v>0.96881200000000001</v>
      </c>
      <c r="AM165" s="1265" t="s">
        <v>62</v>
      </c>
      <c r="AN165" s="1261">
        <v>1</v>
      </c>
      <c r="AO165" s="1276"/>
      <c r="AP165" s="1277"/>
      <c r="AQ165" s="1276"/>
      <c r="AR165" s="1278"/>
      <c r="AS165" s="1278"/>
    </row>
    <row r="166" spans="1:45" ht="15.6">
      <c r="A166" s="1097" t="s">
        <v>53</v>
      </c>
      <c r="B166" s="1075" t="s">
        <v>122</v>
      </c>
      <c r="C166" s="851" t="s">
        <v>123</v>
      </c>
      <c r="D166" s="851" t="s">
        <v>124</v>
      </c>
      <c r="E166" s="1432" t="s">
        <v>72</v>
      </c>
      <c r="F166" s="856">
        <v>2024</v>
      </c>
      <c r="G166" s="1099">
        <v>45432</v>
      </c>
      <c r="H166" s="3">
        <v>200106133</v>
      </c>
      <c r="I166" s="1448" t="s">
        <v>391</v>
      </c>
      <c r="J166" s="856">
        <v>10</v>
      </c>
      <c r="K166" s="3" t="s">
        <v>128</v>
      </c>
      <c r="L166" s="1201"/>
      <c r="M166" s="786">
        <v>329.9</v>
      </c>
      <c r="N166" s="804"/>
      <c r="O166" s="1205">
        <v>45440</v>
      </c>
      <c r="P166" s="1203"/>
      <c r="Q166" s="3" t="s">
        <v>392</v>
      </c>
      <c r="R166" s="1209"/>
      <c r="S166" s="856" t="s">
        <v>62</v>
      </c>
      <c r="T166" s="1212"/>
      <c r="U166" s="3" t="s">
        <v>130</v>
      </c>
      <c r="V166" s="848"/>
      <c r="W166" s="786">
        <v>329.9</v>
      </c>
      <c r="X166" s="1282"/>
      <c r="Y166" s="1205">
        <v>45439</v>
      </c>
      <c r="Z166" s="856" t="s">
        <v>62</v>
      </c>
      <c r="AA166" s="1232"/>
      <c r="AB166" s="1099">
        <v>45446</v>
      </c>
      <c r="AC166" s="1099">
        <v>45447</v>
      </c>
      <c r="AD166" s="1176">
        <f>66+620+89</f>
        <v>775</v>
      </c>
      <c r="AE166" s="1227">
        <f t="shared" si="16"/>
        <v>0.96875</v>
      </c>
      <c r="AF166" s="1283" t="s">
        <v>64</v>
      </c>
      <c r="AG166" s="1286">
        <v>1</v>
      </c>
      <c r="AH166" s="1076" t="s">
        <v>132</v>
      </c>
      <c r="AI166" s="1248">
        <v>45450</v>
      </c>
      <c r="AJ166" s="1248">
        <v>45452</v>
      </c>
      <c r="AK166" s="1293">
        <f>35991+143510+63006</f>
        <v>242507</v>
      </c>
      <c r="AL166" s="1264">
        <f t="shared" si="17"/>
        <v>0.970028</v>
      </c>
      <c r="AM166" s="1265" t="s">
        <v>62</v>
      </c>
      <c r="AN166" s="1261">
        <v>1</v>
      </c>
      <c r="AO166" s="1276"/>
      <c r="AP166" s="1277"/>
      <c r="AQ166" s="1276"/>
      <c r="AR166" s="1278"/>
      <c r="AS166" s="1278"/>
    </row>
    <row r="167" spans="1:45" ht="15.6">
      <c r="A167" s="1097" t="s">
        <v>53</v>
      </c>
      <c r="B167" s="1075" t="s">
        <v>122</v>
      </c>
      <c r="C167" s="851" t="s">
        <v>123</v>
      </c>
      <c r="D167" s="851" t="s">
        <v>124</v>
      </c>
      <c r="E167" s="1432" t="s">
        <v>72</v>
      </c>
      <c r="F167" s="856">
        <v>2024</v>
      </c>
      <c r="G167" s="1099">
        <v>45432</v>
      </c>
      <c r="H167" s="3">
        <v>200106134</v>
      </c>
      <c r="I167" s="1448" t="s">
        <v>393</v>
      </c>
      <c r="J167" s="856">
        <v>11</v>
      </c>
      <c r="K167" s="3" t="s">
        <v>128</v>
      </c>
      <c r="L167" s="1201"/>
      <c r="M167" s="786">
        <v>329.9</v>
      </c>
      <c r="N167" s="804"/>
      <c r="O167" s="1205">
        <v>45443</v>
      </c>
      <c r="P167" s="1203"/>
      <c r="Q167" s="3" t="s">
        <v>394</v>
      </c>
      <c r="R167" s="1209"/>
      <c r="S167" s="856" t="s">
        <v>62</v>
      </c>
      <c r="T167" s="1212"/>
      <c r="U167" s="3" t="s">
        <v>130</v>
      </c>
      <c r="V167" s="848"/>
      <c r="W167" s="786">
        <v>329.9</v>
      </c>
      <c r="X167" s="1282"/>
      <c r="Y167" s="1205">
        <v>45440</v>
      </c>
      <c r="Z167" s="856" t="s">
        <v>62</v>
      </c>
      <c r="AA167" s="1232"/>
      <c r="AB167" s="1099">
        <v>45447</v>
      </c>
      <c r="AC167" s="1099">
        <v>45447</v>
      </c>
      <c r="AD167" s="1176">
        <f>198+314+261</f>
        <v>773</v>
      </c>
      <c r="AE167" s="1227">
        <f t="shared" si="16"/>
        <v>0.96625000000000005</v>
      </c>
      <c r="AF167" s="1283" t="s">
        <v>64</v>
      </c>
      <c r="AG167" s="1286">
        <v>1</v>
      </c>
      <c r="AH167" s="1076" t="s">
        <v>132</v>
      </c>
      <c r="AI167" s="1248">
        <v>45452</v>
      </c>
      <c r="AJ167" s="1248">
        <v>45452</v>
      </c>
      <c r="AK167" s="1293">
        <f>92400+149087</f>
        <v>241487</v>
      </c>
      <c r="AL167" s="1264">
        <f t="shared" si="17"/>
        <v>0.96594800000000003</v>
      </c>
      <c r="AM167" s="1265" t="s">
        <v>62</v>
      </c>
      <c r="AN167" s="1261">
        <v>1</v>
      </c>
      <c r="AO167" s="1276"/>
      <c r="AP167" s="1277"/>
      <c r="AQ167" s="1276"/>
      <c r="AR167" s="1278"/>
      <c r="AS167" s="1278"/>
    </row>
    <row r="168" spans="1:45" ht="15.6">
      <c r="A168" s="1097" t="s">
        <v>53</v>
      </c>
      <c r="B168" s="1075" t="s">
        <v>122</v>
      </c>
      <c r="C168" s="851" t="s">
        <v>123</v>
      </c>
      <c r="D168" s="851" t="s">
        <v>124</v>
      </c>
      <c r="E168" s="1432" t="s">
        <v>72</v>
      </c>
      <c r="F168" s="856">
        <v>2024</v>
      </c>
      <c r="G168" s="1099">
        <v>45432</v>
      </c>
      <c r="H168" s="3">
        <v>200106135</v>
      </c>
      <c r="I168" s="1448" t="s">
        <v>395</v>
      </c>
      <c r="J168" s="856">
        <v>12</v>
      </c>
      <c r="K168" s="3" t="s">
        <v>128</v>
      </c>
      <c r="L168" s="1201"/>
      <c r="M168" s="786">
        <v>330</v>
      </c>
      <c r="N168" s="804"/>
      <c r="O168" s="1205">
        <v>45443</v>
      </c>
      <c r="P168" s="1203"/>
      <c r="Q168" s="3" t="s">
        <v>396</v>
      </c>
      <c r="R168" s="1209"/>
      <c r="S168" s="856" t="s">
        <v>62</v>
      </c>
      <c r="T168" s="1212"/>
      <c r="U168" s="3" t="s">
        <v>130</v>
      </c>
      <c r="V168" s="848"/>
      <c r="W168" s="786">
        <v>330</v>
      </c>
      <c r="X168" s="1282"/>
      <c r="Y168" s="1205">
        <v>45440</v>
      </c>
      <c r="Z168" s="856" t="s">
        <v>62</v>
      </c>
      <c r="AA168" s="1232"/>
      <c r="AB168" s="1099">
        <v>45447</v>
      </c>
      <c r="AC168" s="1099">
        <v>45448</v>
      </c>
      <c r="AD168" s="1176">
        <f>396+386</f>
        <v>782</v>
      </c>
      <c r="AE168" s="1227">
        <f t="shared" si="16"/>
        <v>0.97750000000000004</v>
      </c>
      <c r="AF168" s="1283" t="s">
        <v>64</v>
      </c>
      <c r="AG168" s="1286">
        <v>1</v>
      </c>
      <c r="AH168" s="1076" t="s">
        <v>132</v>
      </c>
      <c r="AI168" s="1248">
        <v>45453</v>
      </c>
      <c r="AJ168" s="1248">
        <v>45453</v>
      </c>
      <c r="AK168" s="1293">
        <f>161900+82312</f>
        <v>244212</v>
      </c>
      <c r="AL168" s="1264">
        <f t="shared" si="17"/>
        <v>0.97684800000000005</v>
      </c>
      <c r="AM168" s="1265" t="s">
        <v>62</v>
      </c>
      <c r="AN168" s="1261">
        <v>1</v>
      </c>
      <c r="AO168" s="1276"/>
      <c r="AP168" s="1277"/>
      <c r="AQ168" s="1276"/>
      <c r="AR168" s="1278"/>
      <c r="AS168" s="1278"/>
    </row>
    <row r="169" spans="1:45" ht="15.6">
      <c r="A169" s="1097" t="s">
        <v>53</v>
      </c>
      <c r="B169" s="1075" t="s">
        <v>122</v>
      </c>
      <c r="C169" s="851" t="s">
        <v>123</v>
      </c>
      <c r="D169" s="851" t="s">
        <v>124</v>
      </c>
      <c r="E169" s="1432" t="s">
        <v>72</v>
      </c>
      <c r="F169" s="856">
        <v>2024</v>
      </c>
      <c r="G169" s="1099">
        <v>45432</v>
      </c>
      <c r="H169" s="3">
        <v>200106136</v>
      </c>
      <c r="I169" s="1448" t="s">
        <v>397</v>
      </c>
      <c r="J169" s="856">
        <v>13</v>
      </c>
      <c r="K169" s="3" t="s">
        <v>128</v>
      </c>
      <c r="L169" s="1201"/>
      <c r="M169" s="858">
        <v>330.2</v>
      </c>
      <c r="N169" s="804"/>
      <c r="O169" s="1205">
        <v>45443</v>
      </c>
      <c r="P169" s="1203"/>
      <c r="Q169" s="3" t="s">
        <v>398</v>
      </c>
      <c r="R169" s="1209"/>
      <c r="S169" s="856" t="s">
        <v>62</v>
      </c>
      <c r="T169" s="1212"/>
      <c r="U169" s="3" t="s">
        <v>130</v>
      </c>
      <c r="V169" s="848"/>
      <c r="W169" s="858">
        <v>330.2</v>
      </c>
      <c r="X169" s="1282"/>
      <c r="Y169" s="1205">
        <v>45441</v>
      </c>
      <c r="Z169" s="856" t="s">
        <v>62</v>
      </c>
      <c r="AA169" s="1232"/>
      <c r="AB169" s="1099">
        <v>45448</v>
      </c>
      <c r="AC169" s="1099">
        <v>45448</v>
      </c>
      <c r="AD169" s="1176">
        <f>248+534</f>
        <v>782</v>
      </c>
      <c r="AE169" s="1227">
        <f t="shared" si="16"/>
        <v>0.97750000000000004</v>
      </c>
      <c r="AF169" s="1283" t="s">
        <v>64</v>
      </c>
      <c r="AG169" s="1286">
        <v>1</v>
      </c>
      <c r="AH169" s="1076" t="s">
        <v>132</v>
      </c>
      <c r="AI169" s="1248">
        <v>45453</v>
      </c>
      <c r="AJ169" s="1248">
        <v>45455</v>
      </c>
      <c r="AK169" s="1293">
        <f>51400+67610+10900+14800+99360</f>
        <v>244070</v>
      </c>
      <c r="AL169" s="1264">
        <f t="shared" si="17"/>
        <v>0.97628000000000004</v>
      </c>
      <c r="AM169" s="1265" t="s">
        <v>62</v>
      </c>
      <c r="AN169" s="1261">
        <v>1</v>
      </c>
      <c r="AO169" s="1276"/>
      <c r="AP169" s="1277"/>
      <c r="AQ169" s="1276"/>
      <c r="AR169" s="1278"/>
      <c r="AS169" s="1278"/>
    </row>
    <row r="170" spans="1:45" ht="15.6">
      <c r="A170" s="1097" t="s">
        <v>53</v>
      </c>
      <c r="B170" s="1075" t="s">
        <v>122</v>
      </c>
      <c r="C170" s="851" t="s">
        <v>123</v>
      </c>
      <c r="D170" s="851" t="s">
        <v>124</v>
      </c>
      <c r="E170" s="1432" t="s">
        <v>72</v>
      </c>
      <c r="F170" s="856">
        <v>2024</v>
      </c>
      <c r="G170" s="1099">
        <v>45436</v>
      </c>
      <c r="H170" s="3">
        <v>200106255</v>
      </c>
      <c r="I170" s="1438" t="s">
        <v>399</v>
      </c>
      <c r="J170" s="856">
        <v>14</v>
      </c>
      <c r="K170" s="3" t="s">
        <v>128</v>
      </c>
      <c r="L170" s="1201"/>
      <c r="M170" s="865">
        <v>330</v>
      </c>
      <c r="N170" s="804"/>
      <c r="O170" s="1205">
        <v>45443</v>
      </c>
      <c r="P170" s="1203"/>
      <c r="Q170" s="3" t="s">
        <v>400</v>
      </c>
      <c r="R170" s="1209"/>
      <c r="S170" s="856" t="s">
        <v>62</v>
      </c>
      <c r="T170" s="1212"/>
      <c r="U170" s="3" t="s">
        <v>130</v>
      </c>
      <c r="V170" s="848"/>
      <c r="W170" s="865">
        <v>330</v>
      </c>
      <c r="X170" s="1282"/>
      <c r="Y170" s="1205">
        <v>45441</v>
      </c>
      <c r="Z170" s="856" t="s">
        <v>62</v>
      </c>
      <c r="AA170" s="1232"/>
      <c r="AB170" s="1099">
        <v>45448</v>
      </c>
      <c r="AC170" s="1099">
        <v>45449</v>
      </c>
      <c r="AD170" s="1176">
        <f>50+676+58</f>
        <v>784</v>
      </c>
      <c r="AE170" s="1227">
        <f t="shared" si="16"/>
        <v>0.98</v>
      </c>
      <c r="AF170" s="1283" t="s">
        <v>64</v>
      </c>
      <c r="AG170" s="1286">
        <v>1</v>
      </c>
      <c r="AH170" s="1076" t="s">
        <v>132</v>
      </c>
      <c r="AI170" s="1248">
        <v>45455</v>
      </c>
      <c r="AJ170" s="1248">
        <v>45455</v>
      </c>
      <c r="AK170" s="1293">
        <f>66000+140308+38474</f>
        <v>244782</v>
      </c>
      <c r="AL170" s="1264">
        <f t="shared" si="17"/>
        <v>0.979128</v>
      </c>
      <c r="AM170" s="1265" t="s">
        <v>62</v>
      </c>
      <c r="AN170" s="1261">
        <v>1</v>
      </c>
      <c r="AO170" s="1276"/>
      <c r="AP170" s="1277"/>
      <c r="AQ170" s="1276"/>
      <c r="AR170" s="1278"/>
      <c r="AS170" s="1278"/>
    </row>
    <row r="171" spans="1:45" ht="15.6">
      <c r="A171" s="1097" t="s">
        <v>53</v>
      </c>
      <c r="B171" s="1075" t="s">
        <v>122</v>
      </c>
      <c r="C171" s="851" t="s">
        <v>123</v>
      </c>
      <c r="D171" s="851" t="s">
        <v>124</v>
      </c>
      <c r="E171" s="1432" t="s">
        <v>72</v>
      </c>
      <c r="F171" s="856">
        <v>2024</v>
      </c>
      <c r="G171" s="1099">
        <v>45436</v>
      </c>
      <c r="H171" s="3">
        <v>200106256</v>
      </c>
      <c r="I171" s="1438" t="s">
        <v>401</v>
      </c>
      <c r="J171" s="856">
        <v>15</v>
      </c>
      <c r="K171" s="3" t="s">
        <v>128</v>
      </c>
      <c r="L171" s="1201"/>
      <c r="M171" s="865">
        <v>330</v>
      </c>
      <c r="N171" s="804"/>
      <c r="O171" s="1205">
        <v>45443</v>
      </c>
      <c r="P171" s="1203"/>
      <c r="Q171" s="3" t="s">
        <v>402</v>
      </c>
      <c r="R171" s="1209"/>
      <c r="S171" s="856" t="s">
        <v>62</v>
      </c>
      <c r="T171" s="1212"/>
      <c r="U171" s="3" t="s">
        <v>130</v>
      </c>
      <c r="V171" s="848"/>
      <c r="W171" s="865">
        <v>330</v>
      </c>
      <c r="X171" s="1282"/>
      <c r="Y171" s="1205">
        <v>45441</v>
      </c>
      <c r="Z171" s="856" t="s">
        <v>62</v>
      </c>
      <c r="AA171" s="1232"/>
      <c r="AB171" s="1099">
        <v>45449</v>
      </c>
      <c r="AC171" s="1099">
        <v>45449</v>
      </c>
      <c r="AD171" s="1176">
        <f>624+160</f>
        <v>784</v>
      </c>
      <c r="AE171" s="1227">
        <f t="shared" si="16"/>
        <v>0.98</v>
      </c>
      <c r="AF171" s="1283" t="s">
        <v>64</v>
      </c>
      <c r="AG171" s="1286">
        <v>1</v>
      </c>
      <c r="AH171" s="1076" t="s">
        <v>132</v>
      </c>
      <c r="AI171" s="1248">
        <v>45455</v>
      </c>
      <c r="AJ171" s="1248">
        <v>45456</v>
      </c>
      <c r="AK171" s="1293">
        <f>100000+125000+19463</f>
        <v>244463</v>
      </c>
      <c r="AL171" s="1264">
        <f t="shared" si="17"/>
        <v>0.97785200000000005</v>
      </c>
      <c r="AM171" s="1265" t="s">
        <v>62</v>
      </c>
      <c r="AN171" s="1261">
        <v>1</v>
      </c>
      <c r="AO171" s="1276"/>
      <c r="AP171" s="1277"/>
      <c r="AQ171" s="1276"/>
      <c r="AR171" s="1278"/>
      <c r="AS171" s="1278"/>
    </row>
    <row r="172" spans="1:45" ht="15.6">
      <c r="A172" s="1097" t="s">
        <v>53</v>
      </c>
      <c r="B172" s="1075" t="s">
        <v>122</v>
      </c>
      <c r="C172" s="851" t="s">
        <v>123</v>
      </c>
      <c r="D172" s="851" t="s">
        <v>124</v>
      </c>
      <c r="E172" s="1432" t="s">
        <v>72</v>
      </c>
      <c r="F172" s="856">
        <v>2024</v>
      </c>
      <c r="G172" s="1099">
        <v>45436</v>
      </c>
      <c r="H172" s="3">
        <v>200106257</v>
      </c>
      <c r="I172" s="1438" t="s">
        <v>403</v>
      </c>
      <c r="J172" s="856">
        <v>16</v>
      </c>
      <c r="K172" s="3" t="s">
        <v>128</v>
      </c>
      <c r="L172" s="1201"/>
      <c r="M172" s="858">
        <v>330.1</v>
      </c>
      <c r="N172" s="804"/>
      <c r="O172" s="1205">
        <v>45448</v>
      </c>
      <c r="P172" s="1203"/>
      <c r="Q172" s="3" t="s">
        <v>404</v>
      </c>
      <c r="R172" s="1209"/>
      <c r="S172" s="856" t="s">
        <v>62</v>
      </c>
      <c r="T172" s="1212"/>
      <c r="U172" s="3" t="s">
        <v>130</v>
      </c>
      <c r="V172" s="848"/>
      <c r="W172" s="858">
        <v>330.1</v>
      </c>
      <c r="X172" s="1282"/>
      <c r="Y172" s="1205">
        <v>45447</v>
      </c>
      <c r="Z172" s="856" t="s">
        <v>62</v>
      </c>
      <c r="AA172" s="1232"/>
      <c r="AB172" s="1099">
        <v>45449</v>
      </c>
      <c r="AC172" s="1099">
        <v>45449</v>
      </c>
      <c r="AD172" s="1176">
        <f>462+313</f>
        <v>775</v>
      </c>
      <c r="AE172" s="1227">
        <f t="shared" si="16"/>
        <v>0.96875</v>
      </c>
      <c r="AF172" s="1283" t="s">
        <v>64</v>
      </c>
      <c r="AG172" s="1286">
        <v>1</v>
      </c>
      <c r="AH172" s="1076" t="s">
        <v>132</v>
      </c>
      <c r="AI172" s="1248">
        <v>45456</v>
      </c>
      <c r="AJ172" s="1248">
        <v>45457</v>
      </c>
      <c r="AK172" s="1293">
        <f>55900+99500+86559</f>
        <v>241959</v>
      </c>
      <c r="AL172" s="1264">
        <f t="shared" si="17"/>
        <v>0.96783600000000003</v>
      </c>
      <c r="AM172" s="1265" t="s">
        <v>62</v>
      </c>
      <c r="AN172" s="1261">
        <v>1</v>
      </c>
      <c r="AO172" s="1276"/>
      <c r="AP172" s="1277"/>
      <c r="AQ172" s="1276"/>
      <c r="AR172" s="1278"/>
      <c r="AS172" s="1278"/>
    </row>
    <row r="173" spans="1:45" ht="15.6">
      <c r="A173" s="1097" t="s">
        <v>53</v>
      </c>
      <c r="B173" s="1075" t="s">
        <v>122</v>
      </c>
      <c r="C173" s="851" t="s">
        <v>123</v>
      </c>
      <c r="D173" s="851" t="s">
        <v>124</v>
      </c>
      <c r="E173" s="1432" t="s">
        <v>72</v>
      </c>
      <c r="F173" s="856">
        <v>2024</v>
      </c>
      <c r="G173" s="1099">
        <v>45436</v>
      </c>
      <c r="H173" s="3">
        <v>200106258</v>
      </c>
      <c r="I173" s="1438" t="s">
        <v>405</v>
      </c>
      <c r="J173" s="856">
        <v>17</v>
      </c>
      <c r="K173" s="3" t="s">
        <v>128</v>
      </c>
      <c r="L173" s="1201"/>
      <c r="M173" s="858">
        <v>330</v>
      </c>
      <c r="N173" s="804"/>
      <c r="O173" s="1205">
        <v>45448</v>
      </c>
      <c r="P173" s="1203"/>
      <c r="Q173" s="3" t="s">
        <v>406</v>
      </c>
      <c r="R173" s="1209"/>
      <c r="S173" s="856" t="s">
        <v>62</v>
      </c>
      <c r="T173" s="1212"/>
      <c r="U173" s="3" t="s">
        <v>130</v>
      </c>
      <c r="V173" s="848"/>
      <c r="W173" s="858">
        <v>330</v>
      </c>
      <c r="X173" s="1282"/>
      <c r="Y173" s="1205">
        <v>45447</v>
      </c>
      <c r="Z173" s="856" t="s">
        <v>62</v>
      </c>
      <c r="AA173" s="1232"/>
      <c r="AB173" s="1099">
        <v>45449</v>
      </c>
      <c r="AC173" s="1099">
        <v>45450</v>
      </c>
      <c r="AD173" s="1176">
        <f>350+436</f>
        <v>786</v>
      </c>
      <c r="AE173" s="1227">
        <f t="shared" si="16"/>
        <v>0.98250000000000004</v>
      </c>
      <c r="AF173" s="1283" t="s">
        <v>64</v>
      </c>
      <c r="AG173" s="1286">
        <v>1</v>
      </c>
      <c r="AH173" s="1076" t="s">
        <v>132</v>
      </c>
      <c r="AI173" s="1248">
        <v>45457</v>
      </c>
      <c r="AJ173" s="1248">
        <v>45457</v>
      </c>
      <c r="AK173" s="1293">
        <f>77500+167654</f>
        <v>245154</v>
      </c>
      <c r="AL173" s="1264">
        <f t="shared" si="17"/>
        <v>0.98061600000000004</v>
      </c>
      <c r="AM173" s="1265" t="s">
        <v>62</v>
      </c>
      <c r="AN173" s="1261">
        <v>1</v>
      </c>
      <c r="AO173" s="1276"/>
      <c r="AP173" s="1277"/>
      <c r="AQ173" s="1276"/>
      <c r="AR173" s="1278"/>
      <c r="AS173" s="1278"/>
    </row>
    <row r="174" spans="1:45" ht="15.6">
      <c r="A174" s="1097" t="s">
        <v>53</v>
      </c>
      <c r="B174" s="1075" t="s">
        <v>122</v>
      </c>
      <c r="C174" s="851" t="s">
        <v>123</v>
      </c>
      <c r="D174" s="851" t="s">
        <v>124</v>
      </c>
      <c r="E174" s="1432" t="s">
        <v>72</v>
      </c>
      <c r="F174" s="856">
        <v>2024</v>
      </c>
      <c r="G174" s="1099">
        <v>45436</v>
      </c>
      <c r="H174" s="3">
        <v>200106259</v>
      </c>
      <c r="I174" s="1438" t="s">
        <v>407</v>
      </c>
      <c r="J174" s="856">
        <v>18</v>
      </c>
      <c r="K174" s="3" t="s">
        <v>128</v>
      </c>
      <c r="L174" s="1201"/>
      <c r="M174" s="858">
        <v>330.1</v>
      </c>
      <c r="N174" s="804"/>
      <c r="O174" s="1205">
        <v>45450</v>
      </c>
      <c r="P174" s="1203"/>
      <c r="Q174" s="3" t="s">
        <v>408</v>
      </c>
      <c r="R174" s="1209"/>
      <c r="S174" s="856" t="s">
        <v>62</v>
      </c>
      <c r="T174" s="1212"/>
      <c r="U174" s="3" t="s">
        <v>130</v>
      </c>
      <c r="V174" s="848"/>
      <c r="W174" s="858">
        <v>330.1</v>
      </c>
      <c r="X174" s="1282"/>
      <c r="Y174" s="1205">
        <v>45447</v>
      </c>
      <c r="Z174" s="856" t="s">
        <v>62</v>
      </c>
      <c r="AA174" s="1232"/>
      <c r="AB174" s="1099">
        <v>45450</v>
      </c>
      <c r="AC174" s="1099">
        <v>45450</v>
      </c>
      <c r="AD174" s="1176">
        <f>350+436</f>
        <v>786</v>
      </c>
      <c r="AE174" s="1227">
        <f t="shared" si="16"/>
        <v>0.98250000000000004</v>
      </c>
      <c r="AF174" s="1283" t="s">
        <v>64</v>
      </c>
      <c r="AG174" s="1286">
        <v>1</v>
      </c>
      <c r="AH174" s="1076" t="s">
        <v>132</v>
      </c>
      <c r="AI174" s="1248">
        <v>45462</v>
      </c>
      <c r="AJ174" s="1248">
        <v>45463</v>
      </c>
      <c r="AK174" s="1293">
        <f>43800+140003+63039</f>
        <v>246842</v>
      </c>
      <c r="AL174" s="1264">
        <f t="shared" si="17"/>
        <v>0.98736800000000002</v>
      </c>
      <c r="AM174" s="1265" t="s">
        <v>62</v>
      </c>
      <c r="AN174" s="1261">
        <v>1</v>
      </c>
      <c r="AO174" s="1276"/>
      <c r="AP174" s="1277"/>
      <c r="AQ174" s="1276"/>
      <c r="AR174" s="1278"/>
      <c r="AS174" s="1278"/>
    </row>
    <row r="175" spans="1:45" ht="15.6">
      <c r="A175" s="1097" t="s">
        <v>53</v>
      </c>
      <c r="B175" s="1075" t="s">
        <v>122</v>
      </c>
      <c r="C175" s="851" t="s">
        <v>123</v>
      </c>
      <c r="D175" s="851" t="s">
        <v>124</v>
      </c>
      <c r="E175" s="1432" t="s">
        <v>72</v>
      </c>
      <c r="F175" s="856">
        <v>2024</v>
      </c>
      <c r="G175" s="1099">
        <v>45448</v>
      </c>
      <c r="H175" s="3">
        <v>200106178</v>
      </c>
      <c r="I175" s="1455" t="s">
        <v>409</v>
      </c>
      <c r="J175" s="856">
        <v>19</v>
      </c>
      <c r="K175" s="3" t="s">
        <v>128</v>
      </c>
      <c r="L175" s="1201"/>
      <c r="M175" s="762">
        <v>329.8</v>
      </c>
      <c r="N175" s="804"/>
      <c r="O175" s="1205">
        <v>45450</v>
      </c>
      <c r="P175" s="1203"/>
      <c r="Q175" s="3" t="s">
        <v>410</v>
      </c>
      <c r="R175" s="1209"/>
      <c r="S175" s="856" t="s">
        <v>62</v>
      </c>
      <c r="T175" s="1212"/>
      <c r="U175" s="3" t="s">
        <v>130</v>
      </c>
      <c r="V175" s="848"/>
      <c r="W175" s="762">
        <v>329.8</v>
      </c>
      <c r="X175" s="1282"/>
      <c r="Y175" s="1205">
        <v>45449</v>
      </c>
      <c r="Z175" s="856" t="s">
        <v>62</v>
      </c>
      <c r="AA175" s="1232"/>
      <c r="AB175" s="1099">
        <v>45450</v>
      </c>
      <c r="AC175" s="1099">
        <v>45453</v>
      </c>
      <c r="AD175" s="1176">
        <f>360+424</f>
        <v>784</v>
      </c>
      <c r="AE175" s="1227">
        <f t="shared" si="16"/>
        <v>0.98</v>
      </c>
      <c r="AF175" s="1283" t="s">
        <v>64</v>
      </c>
      <c r="AG175" s="1286">
        <v>1</v>
      </c>
      <c r="AH175" s="1076" t="s">
        <v>132</v>
      </c>
      <c r="AI175" s="1248">
        <v>45463</v>
      </c>
      <c r="AJ175" s="1248">
        <v>45464</v>
      </c>
      <c r="AK175" s="1293">
        <f>74200+81000+89798</f>
        <v>244998</v>
      </c>
      <c r="AL175" s="1264">
        <f t="shared" si="17"/>
        <v>0.97999199999999997</v>
      </c>
      <c r="AM175" s="1265" t="s">
        <v>62</v>
      </c>
      <c r="AN175" s="1261">
        <v>1</v>
      </c>
      <c r="AO175" s="1276"/>
      <c r="AP175" s="1277"/>
      <c r="AQ175" s="1276"/>
      <c r="AR175" s="1278"/>
      <c r="AS175" s="1278"/>
    </row>
    <row r="176" spans="1:45" ht="15.6">
      <c r="A176" s="1097" t="s">
        <v>53</v>
      </c>
      <c r="B176" s="1075" t="s">
        <v>122</v>
      </c>
      <c r="C176" s="851" t="s">
        <v>123</v>
      </c>
      <c r="D176" s="851" t="s">
        <v>124</v>
      </c>
      <c r="E176" s="1432" t="s">
        <v>72</v>
      </c>
      <c r="F176" s="856">
        <v>2024</v>
      </c>
      <c r="G176" s="1099">
        <v>45448</v>
      </c>
      <c r="H176" s="3">
        <v>200106179</v>
      </c>
      <c r="I176" s="1455" t="s">
        <v>411</v>
      </c>
      <c r="J176" s="856">
        <v>20</v>
      </c>
      <c r="K176" s="3" t="s">
        <v>128</v>
      </c>
      <c r="L176" s="1201"/>
      <c r="M176" s="762">
        <v>330</v>
      </c>
      <c r="N176" s="804"/>
      <c r="O176" s="1205">
        <v>45450</v>
      </c>
      <c r="P176" s="1203"/>
      <c r="Q176" s="3" t="s">
        <v>412</v>
      </c>
      <c r="R176" s="1209"/>
      <c r="S176" s="856" t="s">
        <v>62</v>
      </c>
      <c r="T176" s="1212"/>
      <c r="U176" s="3" t="s">
        <v>130</v>
      </c>
      <c r="V176" s="848"/>
      <c r="W176" s="762">
        <v>330</v>
      </c>
      <c r="X176" s="1282"/>
      <c r="Y176" s="1205">
        <v>45449</v>
      </c>
      <c r="Z176" s="856" t="s">
        <v>62</v>
      </c>
      <c r="AA176" s="1232"/>
      <c r="AB176" s="1099">
        <v>45453</v>
      </c>
      <c r="AC176" s="1099">
        <v>45453</v>
      </c>
      <c r="AD176" s="1176">
        <f>624+157</f>
        <v>781</v>
      </c>
      <c r="AE176" s="1227">
        <f t="shared" si="16"/>
        <v>0.97624999999999995</v>
      </c>
      <c r="AF176" s="1283" t="s">
        <v>64</v>
      </c>
      <c r="AG176" s="1286">
        <v>1</v>
      </c>
      <c r="AH176" s="1076" t="s">
        <v>132</v>
      </c>
      <c r="AI176" s="1248">
        <v>45464</v>
      </c>
      <c r="AJ176" s="1248">
        <v>45465</v>
      </c>
      <c r="AK176" s="1293">
        <f>25100+151900+66562</f>
        <v>243562</v>
      </c>
      <c r="AL176" s="1264">
        <f t="shared" si="17"/>
        <v>0.974248</v>
      </c>
      <c r="AM176" s="1265" t="s">
        <v>62</v>
      </c>
      <c r="AN176" s="1261">
        <v>1</v>
      </c>
      <c r="AO176" s="1276"/>
      <c r="AP176" s="1277"/>
      <c r="AQ176" s="1276"/>
      <c r="AR176" s="1278"/>
      <c r="AS176" s="1278"/>
    </row>
    <row r="177" spans="1:45" ht="15.6">
      <c r="A177" s="1097" t="s">
        <v>53</v>
      </c>
      <c r="B177" s="1075" t="s">
        <v>122</v>
      </c>
      <c r="C177" s="851" t="s">
        <v>123</v>
      </c>
      <c r="D177" s="851" t="s">
        <v>124</v>
      </c>
      <c r="E177" s="1432" t="s">
        <v>72</v>
      </c>
      <c r="F177" s="856">
        <v>2024</v>
      </c>
      <c r="G177" s="1099">
        <v>45448</v>
      </c>
      <c r="H177" s="3">
        <v>200106380</v>
      </c>
      <c r="I177" s="1455" t="s">
        <v>413</v>
      </c>
      <c r="J177" s="856">
        <v>21</v>
      </c>
      <c r="K177" s="3" t="s">
        <v>128</v>
      </c>
      <c r="L177" s="1201"/>
      <c r="M177" s="865">
        <v>330</v>
      </c>
      <c r="N177" s="804"/>
      <c r="O177" s="1205">
        <v>45453</v>
      </c>
      <c r="P177" s="1203"/>
      <c r="Q177" s="3" t="s">
        <v>414</v>
      </c>
      <c r="R177" s="1209"/>
      <c r="S177" s="856" t="s">
        <v>62</v>
      </c>
      <c r="T177" s="1212"/>
      <c r="U177" s="3" t="s">
        <v>130</v>
      </c>
      <c r="V177" s="848"/>
      <c r="W177" s="865">
        <v>330</v>
      </c>
      <c r="X177" s="1282"/>
      <c r="Y177" s="1205">
        <v>45450</v>
      </c>
      <c r="Z177" s="856" t="s">
        <v>62</v>
      </c>
      <c r="AA177" s="1232"/>
      <c r="AB177" s="1099">
        <v>45453</v>
      </c>
      <c r="AC177" s="1099">
        <v>45454</v>
      </c>
      <c r="AD177" s="1176">
        <f>512+269</f>
        <v>781</v>
      </c>
      <c r="AE177" s="1227">
        <f t="shared" si="16"/>
        <v>0.97624999999999995</v>
      </c>
      <c r="AF177" s="1283" t="s">
        <v>64</v>
      </c>
      <c r="AG177" s="1286">
        <v>1</v>
      </c>
      <c r="AH177" s="1076" t="s">
        <v>132</v>
      </c>
      <c r="AI177" s="1248">
        <v>45465</v>
      </c>
      <c r="AJ177" s="1248">
        <v>45465</v>
      </c>
      <c r="AK177" s="1293">
        <f>70800+156000+17588</f>
        <v>244388</v>
      </c>
      <c r="AL177" s="1264">
        <f t="shared" si="17"/>
        <v>0.97755199999999998</v>
      </c>
      <c r="AM177" s="1265" t="s">
        <v>62</v>
      </c>
      <c r="AN177" s="1261">
        <v>1</v>
      </c>
      <c r="AO177" s="1276"/>
      <c r="AP177" s="1277"/>
      <c r="AQ177" s="1276"/>
      <c r="AR177" s="1278"/>
      <c r="AS177" s="1278"/>
    </row>
    <row r="178" spans="1:45" ht="15.6">
      <c r="A178" s="1097" t="s">
        <v>53</v>
      </c>
      <c r="B178" s="1075" t="s">
        <v>122</v>
      </c>
      <c r="C178" s="851" t="s">
        <v>123</v>
      </c>
      <c r="D178" s="851" t="s">
        <v>124</v>
      </c>
      <c r="E178" s="1432" t="s">
        <v>72</v>
      </c>
      <c r="F178" s="856">
        <v>2024</v>
      </c>
      <c r="G178" s="1099">
        <v>45448</v>
      </c>
      <c r="H178" s="3">
        <v>200106381</v>
      </c>
      <c r="I178" s="1455" t="s">
        <v>415</v>
      </c>
      <c r="J178" s="856">
        <v>22</v>
      </c>
      <c r="K178" s="3" t="s">
        <v>128</v>
      </c>
      <c r="L178" s="1201"/>
      <c r="M178" s="865">
        <v>329.9</v>
      </c>
      <c r="N178" s="804"/>
      <c r="O178" s="1205">
        <v>45453</v>
      </c>
      <c r="P178" s="1203"/>
      <c r="Q178" s="3" t="s">
        <v>416</v>
      </c>
      <c r="R178" s="1209"/>
      <c r="S178" s="856" t="s">
        <v>62</v>
      </c>
      <c r="T178" s="1212"/>
      <c r="U178" s="3" t="s">
        <v>130</v>
      </c>
      <c r="V178" s="848"/>
      <c r="W178" s="865">
        <v>329.9</v>
      </c>
      <c r="X178" s="1282"/>
      <c r="Y178" s="1205">
        <v>45450</v>
      </c>
      <c r="Z178" s="856" t="s">
        <v>62</v>
      </c>
      <c r="AA178" s="1232"/>
      <c r="AB178" s="1099">
        <v>45454</v>
      </c>
      <c r="AC178" s="1099">
        <v>45454</v>
      </c>
      <c r="AD178" s="1176">
        <f>218+561</f>
        <v>779</v>
      </c>
      <c r="AE178" s="1227">
        <f t="shared" si="16"/>
        <v>0.97375</v>
      </c>
      <c r="AF178" s="1283" t="s">
        <v>64</v>
      </c>
      <c r="AG178" s="1286">
        <v>1</v>
      </c>
      <c r="AH178" s="1076" t="s">
        <v>162</v>
      </c>
      <c r="AI178" s="1248">
        <v>45464</v>
      </c>
      <c r="AJ178" s="1248">
        <v>45464</v>
      </c>
      <c r="AK178" s="1249">
        <f>64462+91169+67471</f>
        <v>223102</v>
      </c>
      <c r="AL178" s="1264">
        <f t="shared" si="17"/>
        <v>0.89240799999999998</v>
      </c>
      <c r="AM178" s="1265" t="s">
        <v>62</v>
      </c>
      <c r="AN178" s="1261">
        <v>1</v>
      </c>
      <c r="AO178" s="1276"/>
      <c r="AP178" s="1277"/>
      <c r="AQ178" s="1276"/>
      <c r="AR178" s="1278"/>
      <c r="AS178" s="1278"/>
    </row>
    <row r="179" spans="1:45" ht="15.6">
      <c r="A179" s="1097" t="s">
        <v>53</v>
      </c>
      <c r="B179" s="1075" t="s">
        <v>122</v>
      </c>
      <c r="C179" s="851" t="s">
        <v>123</v>
      </c>
      <c r="D179" s="851" t="s">
        <v>124</v>
      </c>
      <c r="E179" s="1432" t="s">
        <v>72</v>
      </c>
      <c r="F179" s="856">
        <v>2024</v>
      </c>
      <c r="G179" s="1099">
        <v>45448</v>
      </c>
      <c r="H179" s="3">
        <v>200106382</v>
      </c>
      <c r="I179" s="1455" t="s">
        <v>417</v>
      </c>
      <c r="J179" s="856">
        <v>23</v>
      </c>
      <c r="K179" s="3" t="s">
        <v>128</v>
      </c>
      <c r="L179" s="1201"/>
      <c r="M179" s="865">
        <v>330</v>
      </c>
      <c r="N179" s="804"/>
      <c r="O179" s="1205">
        <v>45454</v>
      </c>
      <c r="P179" s="1203"/>
      <c r="Q179" s="3" t="s">
        <v>418</v>
      </c>
      <c r="R179" s="1209"/>
      <c r="S179" s="856" t="s">
        <v>62</v>
      </c>
      <c r="T179" s="1212"/>
      <c r="U179" s="3" t="s">
        <v>130</v>
      </c>
      <c r="V179" s="848"/>
      <c r="W179" s="865">
        <v>330</v>
      </c>
      <c r="X179" s="1282"/>
      <c r="Y179" s="1205">
        <v>45450</v>
      </c>
      <c r="Z179" s="856" t="s">
        <v>62</v>
      </c>
      <c r="AA179" s="1232"/>
      <c r="AB179" s="1099">
        <v>45454</v>
      </c>
      <c r="AC179" s="1099">
        <v>45454</v>
      </c>
      <c r="AD179" s="1176">
        <f>66+708</f>
        <v>774</v>
      </c>
      <c r="AE179" s="1227">
        <f t="shared" si="16"/>
        <v>0.96750000000000003</v>
      </c>
      <c r="AF179" s="1283" t="s">
        <v>64</v>
      </c>
      <c r="AG179" s="1286">
        <v>1</v>
      </c>
      <c r="AH179" s="1076" t="s">
        <v>132</v>
      </c>
      <c r="AI179" s="1248">
        <v>45465</v>
      </c>
      <c r="AJ179" s="1248">
        <v>45467</v>
      </c>
      <c r="AK179" s="1293">
        <f>118000+13680+109867</f>
        <v>241547</v>
      </c>
      <c r="AL179" s="1264">
        <f t="shared" si="17"/>
        <v>0.96618800000000005</v>
      </c>
      <c r="AM179" s="1265" t="s">
        <v>62</v>
      </c>
      <c r="AN179" s="1261">
        <v>1</v>
      </c>
      <c r="AO179" s="1276">
        <v>3018</v>
      </c>
      <c r="AP179" s="1277">
        <v>45491</v>
      </c>
      <c r="AQ179" s="1276" t="s">
        <v>132</v>
      </c>
      <c r="AR179" s="1278"/>
      <c r="AS179" s="1278"/>
    </row>
    <row r="180" spans="1:45" ht="15.6">
      <c r="A180" s="1097" t="s">
        <v>53</v>
      </c>
      <c r="B180" s="1075" t="s">
        <v>122</v>
      </c>
      <c r="C180" s="851" t="s">
        <v>123</v>
      </c>
      <c r="D180" s="851" t="s">
        <v>124</v>
      </c>
      <c r="E180" s="1432" t="s">
        <v>72</v>
      </c>
      <c r="F180" s="856">
        <v>2024</v>
      </c>
      <c r="G180" s="1099">
        <v>45448</v>
      </c>
      <c r="H180" s="3">
        <v>200106383</v>
      </c>
      <c r="I180" s="1455" t="s">
        <v>419</v>
      </c>
      <c r="J180" s="856">
        <v>24</v>
      </c>
      <c r="K180" s="3" t="s">
        <v>128</v>
      </c>
      <c r="L180" s="1201"/>
      <c r="M180" s="865">
        <v>330</v>
      </c>
      <c r="N180" s="804"/>
      <c r="O180" s="1205">
        <v>45454</v>
      </c>
      <c r="P180" s="1203"/>
      <c r="Q180" s="3" t="s">
        <v>420</v>
      </c>
      <c r="R180" s="1209"/>
      <c r="S180" s="856" t="s">
        <v>62</v>
      </c>
      <c r="T180" s="1212"/>
      <c r="U180" s="3" t="s">
        <v>130</v>
      </c>
      <c r="V180" s="848"/>
      <c r="W180" s="865">
        <v>330</v>
      </c>
      <c r="X180" s="1282"/>
      <c r="Y180" s="1205">
        <v>45453</v>
      </c>
      <c r="Z180" s="856" t="s">
        <v>62</v>
      </c>
      <c r="AA180" s="1232"/>
      <c r="AB180" s="1099">
        <v>45455</v>
      </c>
      <c r="AC180" s="1099">
        <v>45455</v>
      </c>
      <c r="AD180" s="1176">
        <f>634+142</f>
        <v>776</v>
      </c>
      <c r="AE180" s="1227">
        <f t="shared" si="16"/>
        <v>0.97</v>
      </c>
      <c r="AF180" s="1283" t="s">
        <v>64</v>
      </c>
      <c r="AG180" s="1286">
        <v>1</v>
      </c>
      <c r="AH180" s="1076" t="s">
        <v>132</v>
      </c>
      <c r="AI180" s="1248">
        <v>45467</v>
      </c>
      <c r="AJ180" s="1248">
        <v>45468</v>
      </c>
      <c r="AK180" s="1293">
        <f>20600+138700+82853</f>
        <v>242153</v>
      </c>
      <c r="AL180" s="1264">
        <f t="shared" si="17"/>
        <v>0.96861200000000003</v>
      </c>
      <c r="AM180" s="1265" t="s">
        <v>62</v>
      </c>
      <c r="AN180" s="1261">
        <v>1</v>
      </c>
      <c r="AO180" s="1276"/>
      <c r="AP180" s="1277"/>
      <c r="AQ180" s="1276"/>
      <c r="AR180" s="1278"/>
      <c r="AS180" s="1278"/>
    </row>
    <row r="181" spans="1:45" ht="15.6">
      <c r="A181" s="1097" t="s">
        <v>53</v>
      </c>
      <c r="B181" s="1075" t="s">
        <v>122</v>
      </c>
      <c r="C181" s="851" t="s">
        <v>123</v>
      </c>
      <c r="D181" s="851" t="s">
        <v>124</v>
      </c>
      <c r="E181" s="1432" t="s">
        <v>72</v>
      </c>
      <c r="F181" s="856">
        <v>2024</v>
      </c>
      <c r="G181" s="1099">
        <v>45448</v>
      </c>
      <c r="H181" s="3">
        <v>200106384</v>
      </c>
      <c r="I181" s="1455" t="s">
        <v>421</v>
      </c>
      <c r="J181" s="856">
        <v>25</v>
      </c>
      <c r="K181" s="3" t="s">
        <v>128</v>
      </c>
      <c r="L181" s="1201"/>
      <c r="M181" s="865">
        <v>330</v>
      </c>
      <c r="N181" s="804"/>
      <c r="O181" s="1205">
        <v>45454</v>
      </c>
      <c r="P181" s="1203"/>
      <c r="Q181" s="3" t="s">
        <v>422</v>
      </c>
      <c r="R181" s="1209"/>
      <c r="S181" s="856" t="s">
        <v>62</v>
      </c>
      <c r="T181" s="1212"/>
      <c r="U181" s="3" t="s">
        <v>130</v>
      </c>
      <c r="V181" s="848"/>
      <c r="W181" s="865">
        <v>330</v>
      </c>
      <c r="X181" s="1282"/>
      <c r="Y181" s="1205">
        <v>45453</v>
      </c>
      <c r="Z181" s="856" t="s">
        <v>62</v>
      </c>
      <c r="AA181" s="1232"/>
      <c r="AB181" s="1099">
        <v>45455</v>
      </c>
      <c r="AC181" s="1099">
        <v>45455</v>
      </c>
      <c r="AD181" s="1176">
        <f>304+473</f>
        <v>777</v>
      </c>
      <c r="AE181" s="1227">
        <f t="shared" si="16"/>
        <v>0.97124999999999995</v>
      </c>
      <c r="AF181" s="1283" t="s">
        <v>64</v>
      </c>
      <c r="AG181" s="1286">
        <v>1</v>
      </c>
      <c r="AH181" s="1076" t="s">
        <v>162</v>
      </c>
      <c r="AI181" s="1248">
        <v>45465</v>
      </c>
      <c r="AJ181" s="1248">
        <v>45468</v>
      </c>
      <c r="AK181" s="1249">
        <f>28418+32200+93360+60018+26954</f>
        <v>240950</v>
      </c>
      <c r="AL181" s="1264">
        <f t="shared" si="17"/>
        <v>0.96379999999999999</v>
      </c>
      <c r="AM181" s="1265" t="s">
        <v>62</v>
      </c>
      <c r="AN181" s="1261">
        <v>1</v>
      </c>
      <c r="AO181" s="1276"/>
      <c r="AP181" s="1277"/>
      <c r="AQ181" s="1276"/>
      <c r="AR181" s="1278"/>
      <c r="AS181" s="1278"/>
    </row>
    <row r="182" spans="1:45" ht="15.6">
      <c r="A182" s="1097" t="s">
        <v>53</v>
      </c>
      <c r="B182" s="1075" t="s">
        <v>122</v>
      </c>
      <c r="C182" s="851" t="s">
        <v>123</v>
      </c>
      <c r="D182" s="851" t="s">
        <v>124</v>
      </c>
      <c r="E182" s="1432" t="s">
        <v>72</v>
      </c>
      <c r="F182" s="856">
        <v>2024</v>
      </c>
      <c r="G182" s="1099">
        <v>45448</v>
      </c>
      <c r="H182" s="3">
        <v>200106385</v>
      </c>
      <c r="I182" s="1455" t="s">
        <v>423</v>
      </c>
      <c r="J182" s="856">
        <v>26</v>
      </c>
      <c r="K182" s="3" t="s">
        <v>128</v>
      </c>
      <c r="L182" s="1201"/>
      <c r="M182" s="858">
        <v>330.1</v>
      </c>
      <c r="N182" s="804"/>
      <c r="O182" s="1205">
        <v>45454</v>
      </c>
      <c r="P182" s="1203"/>
      <c r="Q182" s="3" t="s">
        <v>424</v>
      </c>
      <c r="R182" s="1209"/>
      <c r="S182" s="856" t="s">
        <v>62</v>
      </c>
      <c r="T182" s="1212"/>
      <c r="U182" s="3" t="s">
        <v>130</v>
      </c>
      <c r="V182" s="848"/>
      <c r="W182" s="858">
        <v>330.1</v>
      </c>
      <c r="X182" s="1282"/>
      <c r="Y182" s="1205">
        <v>45454</v>
      </c>
      <c r="Z182" s="856" t="s">
        <v>62</v>
      </c>
      <c r="AA182" s="1232"/>
      <c r="AB182" s="1099">
        <v>45456</v>
      </c>
      <c r="AC182" s="1099">
        <v>45456</v>
      </c>
      <c r="AD182" s="1176">
        <f>314+470</f>
        <v>784</v>
      </c>
      <c r="AE182" s="1227">
        <f t="shared" si="16"/>
        <v>0.98</v>
      </c>
      <c r="AF182" s="1283" t="s">
        <v>64</v>
      </c>
      <c r="AG182" s="1286">
        <v>1</v>
      </c>
      <c r="AH182" s="1076" t="s">
        <v>162</v>
      </c>
      <c r="AI182" s="1248">
        <v>45468</v>
      </c>
      <c r="AJ182" s="1248">
        <v>45469</v>
      </c>
      <c r="AK182" s="1249">
        <f>3834+70500+80570+86503+1515</f>
        <v>242922</v>
      </c>
      <c r="AL182" s="1264">
        <f t="shared" si="17"/>
        <v>0.971688</v>
      </c>
      <c r="AM182" s="1265" t="s">
        <v>62</v>
      </c>
      <c r="AN182" s="1261">
        <v>1</v>
      </c>
      <c r="AO182" s="1276"/>
      <c r="AP182" s="1277"/>
      <c r="AQ182" s="1276"/>
      <c r="AR182" s="1278"/>
      <c r="AS182" s="1278"/>
    </row>
    <row r="183" spans="1:45" ht="15.6">
      <c r="A183" s="1097" t="s">
        <v>53</v>
      </c>
      <c r="B183" s="1075" t="s">
        <v>122</v>
      </c>
      <c r="C183" s="851" t="s">
        <v>123</v>
      </c>
      <c r="D183" s="851" t="s">
        <v>124</v>
      </c>
      <c r="E183" s="1432" t="s">
        <v>72</v>
      </c>
      <c r="F183" s="856">
        <v>2024</v>
      </c>
      <c r="G183" s="1099">
        <v>45448</v>
      </c>
      <c r="H183" s="3">
        <v>200106386</v>
      </c>
      <c r="I183" s="1455" t="s">
        <v>425</v>
      </c>
      <c r="J183" s="856">
        <v>27</v>
      </c>
      <c r="K183" s="3" t="s">
        <v>128</v>
      </c>
      <c r="L183" s="1201"/>
      <c r="M183" s="786">
        <v>330.3</v>
      </c>
      <c r="N183" s="804"/>
      <c r="O183" s="1205">
        <v>45456</v>
      </c>
      <c r="P183" s="1203"/>
      <c r="Q183" s="3" t="s">
        <v>426</v>
      </c>
      <c r="R183" s="1209"/>
      <c r="S183" s="856" t="s">
        <v>62</v>
      </c>
      <c r="T183" s="1212"/>
      <c r="U183" s="3" t="s">
        <v>130</v>
      </c>
      <c r="V183" s="848"/>
      <c r="W183" s="786">
        <v>330.3</v>
      </c>
      <c r="X183" s="1282"/>
      <c r="Y183" s="1205">
        <v>45456</v>
      </c>
      <c r="Z183" s="856" t="s">
        <v>62</v>
      </c>
      <c r="AA183" s="1232"/>
      <c r="AB183" s="1099">
        <v>45456</v>
      </c>
      <c r="AC183" s="1099">
        <v>45457</v>
      </c>
      <c r="AD183" s="1176">
        <f>112+416+162+84</f>
        <v>774</v>
      </c>
      <c r="AE183" s="1227">
        <f t="shared" si="16"/>
        <v>0.96750000000000003</v>
      </c>
      <c r="AF183" s="1283" t="s">
        <v>64</v>
      </c>
      <c r="AG183" s="1286">
        <v>1</v>
      </c>
      <c r="AH183" s="1076" t="s">
        <v>132</v>
      </c>
      <c r="AI183" s="1248">
        <v>45468</v>
      </c>
      <c r="AJ183" s="1248">
        <v>45468</v>
      </c>
      <c r="AK183" s="1293">
        <f>66900+152400+22451</f>
        <v>241751</v>
      </c>
      <c r="AL183" s="1264">
        <f t="shared" si="17"/>
        <v>0.96700399999999997</v>
      </c>
      <c r="AM183" s="1265" t="s">
        <v>62</v>
      </c>
      <c r="AN183" s="1261">
        <v>1</v>
      </c>
      <c r="AO183" s="1276"/>
      <c r="AP183" s="1277"/>
      <c r="AQ183" s="1276"/>
      <c r="AR183" s="1278"/>
      <c r="AS183" s="1278"/>
    </row>
    <row r="184" spans="1:45" ht="15.6">
      <c r="A184" s="1097" t="s">
        <v>53</v>
      </c>
      <c r="B184" s="1075" t="s">
        <v>122</v>
      </c>
      <c r="C184" s="851" t="s">
        <v>123</v>
      </c>
      <c r="D184" s="851" t="s">
        <v>124</v>
      </c>
      <c r="E184" s="1432" t="s">
        <v>72</v>
      </c>
      <c r="F184" s="856">
        <v>2024</v>
      </c>
      <c r="G184" s="1099">
        <v>45448</v>
      </c>
      <c r="H184" s="3">
        <v>200106387</v>
      </c>
      <c r="I184" s="1455" t="s">
        <v>427</v>
      </c>
      <c r="J184" s="856">
        <v>28</v>
      </c>
      <c r="K184" s="3" t="s">
        <v>128</v>
      </c>
      <c r="L184" s="1201"/>
      <c r="M184" s="786">
        <v>330.3</v>
      </c>
      <c r="N184" s="804"/>
      <c r="O184" s="1205">
        <v>45456</v>
      </c>
      <c r="P184" s="1203"/>
      <c r="Q184" s="3" t="s">
        <v>428</v>
      </c>
      <c r="R184" s="1209"/>
      <c r="S184" s="856" t="s">
        <v>62</v>
      </c>
      <c r="T184" s="1212"/>
      <c r="U184" s="3" t="s">
        <v>130</v>
      </c>
      <c r="V184" s="848"/>
      <c r="W184" s="786">
        <v>330.3</v>
      </c>
      <c r="X184" s="1282"/>
      <c r="Y184" s="1205">
        <v>45456</v>
      </c>
      <c r="Z184" s="856" t="s">
        <v>62</v>
      </c>
      <c r="AA184" s="1232"/>
      <c r="AB184" s="1099">
        <v>45457</v>
      </c>
      <c r="AC184" s="1099">
        <v>45457</v>
      </c>
      <c r="AD184" s="1176">
        <f>594+182</f>
        <v>776</v>
      </c>
      <c r="AE184" s="1227">
        <f t="shared" si="16"/>
        <v>0.97</v>
      </c>
      <c r="AF184" s="1283" t="s">
        <v>64</v>
      </c>
      <c r="AG184" s="1286">
        <v>1</v>
      </c>
      <c r="AH184" s="1076" t="s">
        <v>132</v>
      </c>
      <c r="AI184" s="1248">
        <v>45468</v>
      </c>
      <c r="AJ184" s="1248">
        <v>45469</v>
      </c>
      <c r="AK184" s="1293">
        <f>96000+146285</f>
        <v>242285</v>
      </c>
      <c r="AL184" s="1264">
        <f t="shared" si="17"/>
        <v>0.96914</v>
      </c>
      <c r="AM184" s="1265" t="s">
        <v>62</v>
      </c>
      <c r="AN184" s="1261">
        <v>1</v>
      </c>
      <c r="AO184" s="1276"/>
      <c r="AP184" s="1277"/>
      <c r="AQ184" s="1276"/>
      <c r="AR184" s="1278"/>
      <c r="AS184" s="1278"/>
    </row>
    <row r="185" spans="1:45" ht="15.6">
      <c r="A185" s="1097" t="s">
        <v>53</v>
      </c>
      <c r="B185" s="1075" t="s">
        <v>122</v>
      </c>
      <c r="C185" s="851" t="s">
        <v>123</v>
      </c>
      <c r="D185" s="851" t="s">
        <v>124</v>
      </c>
      <c r="E185" s="1432" t="s">
        <v>72</v>
      </c>
      <c r="F185" s="856">
        <v>2024</v>
      </c>
      <c r="G185" s="1099">
        <v>45448</v>
      </c>
      <c r="H185" s="3">
        <v>200106388</v>
      </c>
      <c r="I185" s="1455" t="s">
        <v>429</v>
      </c>
      <c r="J185" s="856">
        <v>29</v>
      </c>
      <c r="K185" s="3" t="s">
        <v>128</v>
      </c>
      <c r="L185" s="1201"/>
      <c r="M185" s="786">
        <v>330</v>
      </c>
      <c r="N185" s="804"/>
      <c r="O185" s="1205">
        <v>45456</v>
      </c>
      <c r="P185" s="1203"/>
      <c r="Q185" s="3" t="s">
        <v>430</v>
      </c>
      <c r="R185" s="1209"/>
      <c r="S185" s="856" t="s">
        <v>62</v>
      </c>
      <c r="T185" s="1212"/>
      <c r="U185" s="3" t="s">
        <v>130</v>
      </c>
      <c r="V185" s="848"/>
      <c r="W185" s="786">
        <v>330</v>
      </c>
      <c r="X185" s="1282"/>
      <c r="Y185" s="1205">
        <v>45456</v>
      </c>
      <c r="Z185" s="856" t="s">
        <v>62</v>
      </c>
      <c r="AA185" s="1232"/>
      <c r="AB185" s="1099">
        <v>45457</v>
      </c>
      <c r="AC185" s="1099">
        <v>45457</v>
      </c>
      <c r="AD185" s="1176">
        <v>777</v>
      </c>
      <c r="AE185" s="1227">
        <f t="shared" si="16"/>
        <v>0.97124999999999995</v>
      </c>
      <c r="AF185" s="1283" t="s">
        <v>64</v>
      </c>
      <c r="AG185" s="1286">
        <v>1</v>
      </c>
      <c r="AH185" s="1076" t="s">
        <v>132</v>
      </c>
      <c r="AI185" s="1248">
        <v>45469</v>
      </c>
      <c r="AJ185" s="1248">
        <v>45469</v>
      </c>
      <c r="AK185" s="1293">
        <f>154700+88148</f>
        <v>242848</v>
      </c>
      <c r="AL185" s="1264">
        <f t="shared" si="17"/>
        <v>0.97139200000000003</v>
      </c>
      <c r="AM185" s="1265" t="s">
        <v>62</v>
      </c>
      <c r="AN185" s="1261">
        <v>1</v>
      </c>
      <c r="AO185" s="1276"/>
      <c r="AP185" s="1277"/>
      <c r="AQ185" s="1276"/>
      <c r="AR185" s="1278"/>
      <c r="AS185" s="1278"/>
    </row>
    <row r="186" spans="1:45" ht="15.6">
      <c r="A186" s="1097" t="s">
        <v>53</v>
      </c>
      <c r="B186" s="1075" t="s">
        <v>122</v>
      </c>
      <c r="C186" s="851" t="s">
        <v>123</v>
      </c>
      <c r="D186" s="851" t="s">
        <v>124</v>
      </c>
      <c r="E186" s="1432" t="s">
        <v>72</v>
      </c>
      <c r="F186" s="856">
        <v>2024</v>
      </c>
      <c r="G186" s="1099">
        <v>45448</v>
      </c>
      <c r="H186" s="3">
        <v>200106389</v>
      </c>
      <c r="I186" s="1455" t="s">
        <v>431</v>
      </c>
      <c r="J186" s="856">
        <v>30</v>
      </c>
      <c r="K186" s="3" t="s">
        <v>128</v>
      </c>
      <c r="L186" s="1201"/>
      <c r="M186" s="786">
        <v>330.1</v>
      </c>
      <c r="N186" s="804"/>
      <c r="O186" s="1205">
        <v>45456</v>
      </c>
      <c r="P186" s="1203"/>
      <c r="Q186" s="3" t="s">
        <v>432</v>
      </c>
      <c r="R186" s="1209"/>
      <c r="S186" s="856" t="s">
        <v>62</v>
      </c>
      <c r="T186" s="1212"/>
      <c r="U186" s="3" t="s">
        <v>130</v>
      </c>
      <c r="V186" s="848"/>
      <c r="W186" s="786">
        <v>330.1</v>
      </c>
      <c r="X186" s="1282"/>
      <c r="Y186" s="1205">
        <v>45456</v>
      </c>
      <c r="Z186" s="856" t="s">
        <v>62</v>
      </c>
      <c r="AA186" s="1232"/>
      <c r="AB186" s="1099">
        <v>45467</v>
      </c>
      <c r="AC186" s="1099">
        <v>45467</v>
      </c>
      <c r="AD186" s="1176">
        <f>498+286</f>
        <v>784</v>
      </c>
      <c r="AE186" s="1227">
        <f t="shared" si="16"/>
        <v>0.98</v>
      </c>
      <c r="AF186" s="1283" t="s">
        <v>64</v>
      </c>
      <c r="AG186" s="1286">
        <v>1</v>
      </c>
      <c r="AH186" s="1076" t="s">
        <v>162</v>
      </c>
      <c r="AI186" s="1248">
        <v>45469</v>
      </c>
      <c r="AJ186" s="1248">
        <v>45470</v>
      </c>
      <c r="AK186" s="1249">
        <f>61500+73020+80070+29032</f>
        <v>243622</v>
      </c>
      <c r="AL186" s="1264">
        <f t="shared" si="17"/>
        <v>0.97448800000000002</v>
      </c>
      <c r="AM186" s="1265" t="s">
        <v>62</v>
      </c>
      <c r="AN186" s="1261">
        <v>1</v>
      </c>
      <c r="AO186" s="1276"/>
      <c r="AP186" s="1277"/>
      <c r="AQ186" s="1276"/>
      <c r="AR186" s="1278"/>
      <c r="AS186" s="1278"/>
    </row>
    <row r="187" spans="1:45" ht="15.6">
      <c r="A187" s="1097" t="s">
        <v>53</v>
      </c>
      <c r="B187" s="1075"/>
      <c r="C187" s="851"/>
      <c r="D187" s="851"/>
      <c r="E187" s="856"/>
      <c r="F187" s="856"/>
      <c r="G187" s="1099"/>
      <c r="H187" s="3"/>
      <c r="I187" s="3"/>
      <c r="J187" s="856"/>
      <c r="K187" s="851"/>
      <c r="L187" s="851"/>
      <c r="M187" s="851"/>
      <c r="N187" s="851"/>
      <c r="O187" s="1205"/>
      <c r="P187" s="1205"/>
      <c r="Q187" s="3"/>
      <c r="R187" s="1209"/>
      <c r="S187" s="856"/>
      <c r="T187" s="856"/>
      <c r="U187" s="851"/>
      <c r="V187" s="851"/>
      <c r="W187" s="851"/>
      <c r="X187" s="1179"/>
      <c r="Y187" s="1205"/>
      <c r="Z187" s="851"/>
      <c r="AA187" s="1232"/>
      <c r="AB187" s="1099"/>
      <c r="AC187" s="1099"/>
      <c r="AD187" s="1176"/>
      <c r="AE187" s="1227"/>
      <c r="AF187" s="1283"/>
      <c r="AG187" s="1286"/>
      <c r="AH187" s="1076"/>
      <c r="AI187" s="1248"/>
      <c r="AJ187" s="1248"/>
      <c r="AK187" s="1285"/>
      <c r="AL187" s="1264"/>
      <c r="AM187" s="1269"/>
      <c r="AN187" s="1261"/>
      <c r="AO187" s="1276"/>
      <c r="AP187" s="1277"/>
      <c r="AQ187" s="1276"/>
      <c r="AR187" s="1278"/>
      <c r="AS187" s="1278"/>
    </row>
    <row r="188" spans="1:45" ht="15.6">
      <c r="A188" s="1097" t="s">
        <v>53</v>
      </c>
      <c r="B188" s="1075" t="s">
        <v>122</v>
      </c>
      <c r="C188" s="851" t="s">
        <v>123</v>
      </c>
      <c r="D188" s="851" t="s">
        <v>124</v>
      </c>
      <c r="E188" s="1432" t="s">
        <v>433</v>
      </c>
      <c r="F188" s="856">
        <v>2024</v>
      </c>
      <c r="G188" s="1099">
        <v>45462</v>
      </c>
      <c r="H188" s="3">
        <v>200106574</v>
      </c>
      <c r="I188" s="1456" t="s">
        <v>434</v>
      </c>
      <c r="J188" s="856">
        <v>1</v>
      </c>
      <c r="K188" s="3" t="s">
        <v>128</v>
      </c>
      <c r="L188" s="804"/>
      <c r="M188" s="786">
        <v>463.2</v>
      </c>
      <c r="N188" s="804"/>
      <c r="O188" s="1205">
        <v>45464</v>
      </c>
      <c r="P188" s="1203"/>
      <c r="Q188" s="3" t="s">
        <v>435</v>
      </c>
      <c r="R188" s="1209"/>
      <c r="S188" s="856" t="s">
        <v>62</v>
      </c>
      <c r="T188" s="1212"/>
      <c r="U188" s="3" t="s">
        <v>130</v>
      </c>
      <c r="V188" s="848"/>
      <c r="W188" s="762">
        <v>330</v>
      </c>
      <c r="X188" s="1282"/>
      <c r="Y188" s="1205">
        <v>45464</v>
      </c>
      <c r="Z188" s="856" t="s">
        <v>62</v>
      </c>
      <c r="AA188" s="1232"/>
      <c r="AB188" s="1099">
        <v>45467</v>
      </c>
      <c r="AC188" s="1099">
        <v>45467</v>
      </c>
      <c r="AD188" s="1176">
        <f>330+448</f>
        <v>778</v>
      </c>
      <c r="AE188" s="1227">
        <f t="shared" ref="AE188:AE216" si="18">AD188/800</f>
        <v>0.97250000000000003</v>
      </c>
      <c r="AF188" s="1283" t="s">
        <v>64</v>
      </c>
      <c r="AG188" s="1286">
        <v>1</v>
      </c>
      <c r="AH188" s="1076" t="s">
        <v>132</v>
      </c>
      <c r="AI188" s="1248">
        <v>45469</v>
      </c>
      <c r="AJ188" s="1248">
        <v>45470</v>
      </c>
      <c r="AK188" s="1293">
        <f>33900+155000+54227</f>
        <v>243127</v>
      </c>
      <c r="AL188" s="1264">
        <f t="shared" ref="AL188:AL216" si="19">AK188/250000</f>
        <v>0.97250800000000004</v>
      </c>
      <c r="AM188" s="1265" t="s">
        <v>62</v>
      </c>
      <c r="AN188" s="1261">
        <v>1</v>
      </c>
      <c r="AO188" s="1276"/>
      <c r="AP188" s="1277"/>
      <c r="AQ188" s="1276"/>
      <c r="AR188" s="1278"/>
      <c r="AS188" s="1278"/>
    </row>
    <row r="189" spans="1:45" ht="15.6">
      <c r="A189" s="1097" t="s">
        <v>53</v>
      </c>
      <c r="B189" s="1075" t="s">
        <v>122</v>
      </c>
      <c r="C189" s="851" t="s">
        <v>123</v>
      </c>
      <c r="D189" s="851" t="s">
        <v>124</v>
      </c>
      <c r="E189" s="1432" t="s">
        <v>433</v>
      </c>
      <c r="F189" s="856">
        <v>2024</v>
      </c>
      <c r="G189" s="1099">
        <v>45462</v>
      </c>
      <c r="H189" s="3">
        <v>200106575</v>
      </c>
      <c r="I189" s="1456" t="s">
        <v>436</v>
      </c>
      <c r="J189" s="856">
        <v>2</v>
      </c>
      <c r="K189" s="3" t="s">
        <v>128</v>
      </c>
      <c r="L189" s="804"/>
      <c r="M189" s="786">
        <v>466.9</v>
      </c>
      <c r="N189" s="804"/>
      <c r="O189" s="1205">
        <v>45464</v>
      </c>
      <c r="P189" s="1203"/>
      <c r="Q189" s="3" t="s">
        <v>437</v>
      </c>
      <c r="R189" s="1209"/>
      <c r="S189" s="856" t="s">
        <v>62</v>
      </c>
      <c r="T189" s="1212"/>
      <c r="U189" s="3" t="s">
        <v>130</v>
      </c>
      <c r="V189" s="848"/>
      <c r="W189" s="762">
        <v>330</v>
      </c>
      <c r="X189" s="1282"/>
      <c r="Y189" s="1205">
        <v>45467</v>
      </c>
      <c r="Z189" s="856" t="s">
        <v>62</v>
      </c>
      <c r="AA189" s="1232"/>
      <c r="AB189" s="1099">
        <v>45467</v>
      </c>
      <c r="AC189" s="1099">
        <v>45468</v>
      </c>
      <c r="AD189" s="1176">
        <f>158+626</f>
        <v>784</v>
      </c>
      <c r="AE189" s="1227">
        <f t="shared" si="18"/>
        <v>0.98</v>
      </c>
      <c r="AF189" s="1283" t="s">
        <v>64</v>
      </c>
      <c r="AG189" s="1286">
        <v>1</v>
      </c>
      <c r="AH189" s="1076" t="s">
        <v>132</v>
      </c>
      <c r="AI189" s="1248">
        <v>45470</v>
      </c>
      <c r="AJ189" s="1248">
        <v>45471</v>
      </c>
      <c r="AK189" s="1293">
        <f>87700+141000+15514</f>
        <v>244214</v>
      </c>
      <c r="AL189" s="1264">
        <f t="shared" si="19"/>
        <v>0.97685599999999995</v>
      </c>
      <c r="AM189" s="1265" t="s">
        <v>62</v>
      </c>
      <c r="AN189" s="1261">
        <v>1</v>
      </c>
      <c r="AO189" s="1276"/>
      <c r="AP189" s="1277"/>
      <c r="AQ189" s="1276"/>
      <c r="AR189" s="1278"/>
      <c r="AS189" s="1278"/>
    </row>
    <row r="190" spans="1:45" ht="15.6">
      <c r="A190" s="1097" t="s">
        <v>53</v>
      </c>
      <c r="B190" s="1075" t="s">
        <v>122</v>
      </c>
      <c r="C190" s="851" t="s">
        <v>123</v>
      </c>
      <c r="D190" s="851" t="s">
        <v>124</v>
      </c>
      <c r="E190" s="1432" t="s">
        <v>433</v>
      </c>
      <c r="F190" s="856">
        <v>2024</v>
      </c>
      <c r="G190" s="1099">
        <v>45462</v>
      </c>
      <c r="H190" s="3">
        <v>200106576</v>
      </c>
      <c r="I190" s="1456" t="s">
        <v>438</v>
      </c>
      <c r="J190" s="856">
        <v>3</v>
      </c>
      <c r="K190" s="3" t="s">
        <v>128</v>
      </c>
      <c r="L190" s="804"/>
      <c r="M190" s="786">
        <v>468.4</v>
      </c>
      <c r="N190" s="804"/>
      <c r="O190" s="1205">
        <v>45467</v>
      </c>
      <c r="P190" s="1203"/>
      <c r="Q190" s="785" t="s">
        <v>439</v>
      </c>
      <c r="R190" s="1209"/>
      <c r="S190" s="856" t="s">
        <v>62</v>
      </c>
      <c r="T190" s="1212"/>
      <c r="U190" s="3" t="s">
        <v>130</v>
      </c>
      <c r="V190" s="848"/>
      <c r="W190" s="762">
        <v>329.9</v>
      </c>
      <c r="X190" s="1282"/>
      <c r="Y190" s="1205">
        <v>45467</v>
      </c>
      <c r="Z190" s="856" t="s">
        <v>62</v>
      </c>
      <c r="AA190" s="1232"/>
      <c r="AB190" s="1099">
        <v>45468</v>
      </c>
      <c r="AC190" s="1099">
        <v>45468</v>
      </c>
      <c r="AD190" s="1176">
        <f>660+118</f>
        <v>778</v>
      </c>
      <c r="AE190" s="1227">
        <f t="shared" si="18"/>
        <v>0.97250000000000003</v>
      </c>
      <c r="AF190" s="1283" t="s">
        <v>64</v>
      </c>
      <c r="AG190" s="1286">
        <v>1</v>
      </c>
      <c r="AH190" s="1076" t="s">
        <v>162</v>
      </c>
      <c r="AI190" s="1248">
        <v>45470</v>
      </c>
      <c r="AJ190" s="1248">
        <v>45471</v>
      </c>
      <c r="AK190" s="1249">
        <f>31500+75188+74286+59934</f>
        <v>240908</v>
      </c>
      <c r="AL190" s="1264">
        <f t="shared" si="19"/>
        <v>0.96363200000000004</v>
      </c>
      <c r="AM190" s="1265" t="s">
        <v>62</v>
      </c>
      <c r="AN190" s="1261">
        <v>1</v>
      </c>
      <c r="AO190" s="1276"/>
      <c r="AP190" s="1277"/>
      <c r="AQ190" s="1276"/>
      <c r="AR190" s="1278"/>
      <c r="AS190" s="1278"/>
    </row>
    <row r="191" spans="1:45" ht="15.6">
      <c r="A191" s="1097" t="s">
        <v>53</v>
      </c>
      <c r="B191" s="1075" t="s">
        <v>122</v>
      </c>
      <c r="C191" s="851" t="s">
        <v>123</v>
      </c>
      <c r="D191" s="851" t="s">
        <v>124</v>
      </c>
      <c r="E191" s="1432" t="s">
        <v>433</v>
      </c>
      <c r="F191" s="856">
        <v>2024</v>
      </c>
      <c r="G191" s="1099">
        <v>45462</v>
      </c>
      <c r="H191" s="3">
        <v>200106577</v>
      </c>
      <c r="I191" s="1456" t="s">
        <v>440</v>
      </c>
      <c r="J191" s="856">
        <v>4</v>
      </c>
      <c r="K191" s="3" t="s">
        <v>128</v>
      </c>
      <c r="L191" s="804"/>
      <c r="M191" s="786">
        <v>468.5</v>
      </c>
      <c r="N191" s="804"/>
      <c r="O191" s="1205">
        <v>45467</v>
      </c>
      <c r="P191" s="1203"/>
      <c r="Q191" s="785" t="s">
        <v>441</v>
      </c>
      <c r="R191" s="1209"/>
      <c r="S191" s="856" t="s">
        <v>62</v>
      </c>
      <c r="T191" s="1212"/>
      <c r="U191" s="3" t="s">
        <v>130</v>
      </c>
      <c r="V191" s="848"/>
      <c r="W191" s="762">
        <v>329.8</v>
      </c>
      <c r="X191" s="1282"/>
      <c r="Y191" s="1205">
        <v>45467</v>
      </c>
      <c r="Z191" s="856" t="s">
        <v>62</v>
      </c>
      <c r="AA191" s="1232"/>
      <c r="AB191" s="1099">
        <v>45468</v>
      </c>
      <c r="AC191" s="1099">
        <v>45469</v>
      </c>
      <c r="AD191" s="1176">
        <f>132+653</f>
        <v>785</v>
      </c>
      <c r="AE191" s="1227">
        <f t="shared" si="18"/>
        <v>0.98124999999999996</v>
      </c>
      <c r="AF191" s="1283" t="s">
        <v>64</v>
      </c>
      <c r="AG191" s="1286">
        <v>1</v>
      </c>
      <c r="AH191" s="1076" t="s">
        <v>132</v>
      </c>
      <c r="AI191" s="1248">
        <v>45471</v>
      </c>
      <c r="AJ191" s="1248">
        <v>45471</v>
      </c>
      <c r="AK191" s="1293">
        <f>68500+135500+41219</f>
        <v>245219</v>
      </c>
      <c r="AL191" s="1264">
        <f t="shared" si="19"/>
        <v>0.98087599999999997</v>
      </c>
      <c r="AM191" s="1265" t="s">
        <v>62</v>
      </c>
      <c r="AN191" s="1261">
        <v>1</v>
      </c>
      <c r="AO191" s="1276">
        <v>2549</v>
      </c>
      <c r="AP191" s="1277">
        <v>45491</v>
      </c>
      <c r="AQ191" s="1276" t="s">
        <v>132</v>
      </c>
      <c r="AR191" s="1278"/>
      <c r="AS191" s="1278"/>
    </row>
    <row r="192" spans="1:45" ht="15.6">
      <c r="A192" s="1097" t="s">
        <v>53</v>
      </c>
      <c r="B192" s="1075" t="s">
        <v>122</v>
      </c>
      <c r="C192" s="851" t="s">
        <v>123</v>
      </c>
      <c r="D192" s="851" t="s">
        <v>124</v>
      </c>
      <c r="E192" s="1432" t="s">
        <v>433</v>
      </c>
      <c r="F192" s="856">
        <v>2024</v>
      </c>
      <c r="G192" s="1099">
        <v>45462</v>
      </c>
      <c r="H192" s="3">
        <v>200106578</v>
      </c>
      <c r="I192" s="1456" t="s">
        <v>442</v>
      </c>
      <c r="J192" s="856">
        <v>5</v>
      </c>
      <c r="K192" s="3" t="s">
        <v>128</v>
      </c>
      <c r="L192" s="804"/>
      <c r="M192" s="762">
        <v>467.9</v>
      </c>
      <c r="N192" s="804"/>
      <c r="O192" s="1205">
        <v>45467</v>
      </c>
      <c r="P192" s="1203"/>
      <c r="Q192" s="3" t="s">
        <v>443</v>
      </c>
      <c r="R192" s="1209"/>
      <c r="S192" s="856" t="s">
        <v>62</v>
      </c>
      <c r="T192" s="1212"/>
      <c r="U192" s="3" t="s">
        <v>130</v>
      </c>
      <c r="V192" s="848"/>
      <c r="W192" s="786">
        <v>329.9</v>
      </c>
      <c r="X192" s="1282"/>
      <c r="Y192" s="1205">
        <v>45468</v>
      </c>
      <c r="Z192" s="856" t="s">
        <v>62</v>
      </c>
      <c r="AA192" s="1232"/>
      <c r="AB192" s="1099">
        <v>45469</v>
      </c>
      <c r="AC192" s="1099">
        <v>45470</v>
      </c>
      <c r="AD192" s="1176">
        <f>660+123</f>
        <v>783</v>
      </c>
      <c r="AE192" s="1227">
        <f t="shared" si="18"/>
        <v>0.97875000000000001</v>
      </c>
      <c r="AF192" s="1283" t="s">
        <v>64</v>
      </c>
      <c r="AG192" s="1286">
        <v>1</v>
      </c>
      <c r="AH192" s="1076" t="s">
        <v>132</v>
      </c>
      <c r="AI192" s="1248">
        <v>45471</v>
      </c>
      <c r="AJ192" s="1248">
        <v>45474</v>
      </c>
      <c r="AK192" s="1293">
        <f>69000+140000+35232</f>
        <v>244232</v>
      </c>
      <c r="AL192" s="1264">
        <f t="shared" si="19"/>
        <v>0.97692800000000002</v>
      </c>
      <c r="AM192" s="1265" t="s">
        <v>62</v>
      </c>
      <c r="AN192" s="1261">
        <v>1</v>
      </c>
      <c r="AO192" s="1276"/>
      <c r="AP192" s="1277"/>
      <c r="AQ192" s="1276"/>
      <c r="AR192" s="1278"/>
      <c r="AS192" s="1278"/>
    </row>
    <row r="193" spans="1:45" ht="15.6">
      <c r="A193" s="1097" t="s">
        <v>53</v>
      </c>
      <c r="B193" s="1075" t="s">
        <v>122</v>
      </c>
      <c r="C193" s="851" t="s">
        <v>123</v>
      </c>
      <c r="D193" s="851" t="s">
        <v>124</v>
      </c>
      <c r="E193" s="1432" t="s">
        <v>433</v>
      </c>
      <c r="F193" s="856">
        <v>2024</v>
      </c>
      <c r="G193" s="1099">
        <v>45462</v>
      </c>
      <c r="H193" s="3">
        <v>200106579</v>
      </c>
      <c r="I193" s="1456" t="s">
        <v>444</v>
      </c>
      <c r="J193" s="856">
        <v>6</v>
      </c>
      <c r="K193" s="3" t="s">
        <v>128</v>
      </c>
      <c r="L193" s="804"/>
      <c r="M193" s="762">
        <v>466.6</v>
      </c>
      <c r="N193" s="804"/>
      <c r="O193" s="1205">
        <v>45467</v>
      </c>
      <c r="P193" s="1203"/>
      <c r="Q193" s="3" t="s">
        <v>445</v>
      </c>
      <c r="R193" s="1209"/>
      <c r="S193" s="856" t="s">
        <v>62</v>
      </c>
      <c r="T193" s="1212"/>
      <c r="U193" s="3" t="s">
        <v>130</v>
      </c>
      <c r="V193" s="848"/>
      <c r="W193" s="786">
        <v>330</v>
      </c>
      <c r="X193" s="1282"/>
      <c r="Y193" s="1205">
        <v>45468</v>
      </c>
      <c r="Z193" s="856" t="s">
        <v>62</v>
      </c>
      <c r="AA193" s="1232"/>
      <c r="AB193" s="1099">
        <v>45470</v>
      </c>
      <c r="AC193" s="1099">
        <v>45470</v>
      </c>
      <c r="AD193" s="1176">
        <f>518+265</f>
        <v>783</v>
      </c>
      <c r="AE193" s="1227">
        <f t="shared" si="18"/>
        <v>0.97875000000000001</v>
      </c>
      <c r="AF193" s="1283" t="s">
        <v>64</v>
      </c>
      <c r="AG193" s="1286">
        <v>1</v>
      </c>
      <c r="AH193" s="1076" t="s">
        <v>162</v>
      </c>
      <c r="AI193" s="1248">
        <v>45471</v>
      </c>
      <c r="AJ193" s="1248">
        <v>45474</v>
      </c>
      <c r="AK193" s="1249">
        <f>4110+61642+92528+83874</f>
        <v>242154</v>
      </c>
      <c r="AL193" s="1264">
        <f t="shared" si="19"/>
        <v>0.96861600000000003</v>
      </c>
      <c r="AM193" s="1265" t="s">
        <v>62</v>
      </c>
      <c r="AN193" s="1261">
        <v>1</v>
      </c>
      <c r="AO193" s="1276"/>
      <c r="AP193" s="1277"/>
      <c r="AQ193" s="1276"/>
      <c r="AR193" s="1278"/>
      <c r="AS193" s="1278"/>
    </row>
    <row r="194" spans="1:45" ht="15.6">
      <c r="A194" s="1097" t="s">
        <v>53</v>
      </c>
      <c r="B194" s="1075" t="s">
        <v>122</v>
      </c>
      <c r="C194" s="851" t="s">
        <v>123</v>
      </c>
      <c r="D194" s="851" t="s">
        <v>124</v>
      </c>
      <c r="E194" s="1432" t="s">
        <v>433</v>
      </c>
      <c r="F194" s="856">
        <v>2024</v>
      </c>
      <c r="G194" s="1099">
        <v>45462</v>
      </c>
      <c r="H194" s="3">
        <v>200106580</v>
      </c>
      <c r="I194" s="1456" t="s">
        <v>446</v>
      </c>
      <c r="J194" s="856">
        <v>7</v>
      </c>
      <c r="K194" s="3" t="s">
        <v>128</v>
      </c>
      <c r="L194" s="804"/>
      <c r="M194" s="786">
        <v>463.4</v>
      </c>
      <c r="N194" s="804"/>
      <c r="O194" s="1205">
        <v>45468</v>
      </c>
      <c r="P194" s="1203"/>
      <c r="Q194" s="785" t="s">
        <v>447</v>
      </c>
      <c r="R194" s="1209"/>
      <c r="S194" s="856" t="s">
        <v>62</v>
      </c>
      <c r="T194" s="1212"/>
      <c r="U194" s="3" t="s">
        <v>130</v>
      </c>
      <c r="V194" s="848"/>
      <c r="W194" s="786">
        <v>329.9</v>
      </c>
      <c r="X194" s="1282"/>
      <c r="Y194" s="1205">
        <v>45468</v>
      </c>
      <c r="Z194" s="856" t="s">
        <v>62</v>
      </c>
      <c r="AA194" s="1232"/>
      <c r="AB194" s="1099">
        <v>45470</v>
      </c>
      <c r="AC194" s="1099">
        <v>45471</v>
      </c>
      <c r="AD194" s="1176">
        <f>289+61+425</f>
        <v>775</v>
      </c>
      <c r="AE194" s="1227">
        <f t="shared" si="18"/>
        <v>0.96875</v>
      </c>
      <c r="AF194" s="1283" t="s">
        <v>64</v>
      </c>
      <c r="AG194" s="1286">
        <v>1</v>
      </c>
      <c r="AH194" s="1076" t="s">
        <v>162</v>
      </c>
      <c r="AI194" s="1248">
        <v>45474</v>
      </c>
      <c r="AJ194" s="1248">
        <v>45475</v>
      </c>
      <c r="AK194" s="1249">
        <f>5900+101260+112993+20862</f>
        <v>241015</v>
      </c>
      <c r="AL194" s="1264">
        <f t="shared" si="19"/>
        <v>0.96406000000000003</v>
      </c>
      <c r="AM194" s="1265" t="s">
        <v>62</v>
      </c>
      <c r="AN194" s="1261">
        <v>1</v>
      </c>
      <c r="AO194" s="1276"/>
      <c r="AP194" s="1277"/>
      <c r="AQ194" s="1276"/>
      <c r="AR194" s="1278"/>
      <c r="AS194" s="1278"/>
    </row>
    <row r="195" spans="1:45" ht="15.6">
      <c r="A195" s="1097" t="s">
        <v>53</v>
      </c>
      <c r="B195" s="1075" t="s">
        <v>122</v>
      </c>
      <c r="C195" s="851" t="s">
        <v>123</v>
      </c>
      <c r="D195" s="851" t="s">
        <v>124</v>
      </c>
      <c r="E195" s="1432" t="s">
        <v>433</v>
      </c>
      <c r="F195" s="856">
        <v>2024</v>
      </c>
      <c r="G195" s="1099">
        <v>45462</v>
      </c>
      <c r="H195" s="3">
        <v>200106581</v>
      </c>
      <c r="I195" s="1456" t="s">
        <v>448</v>
      </c>
      <c r="J195" s="856">
        <v>8</v>
      </c>
      <c r="K195" s="3" t="s">
        <v>128</v>
      </c>
      <c r="L195" s="804"/>
      <c r="M195" s="786">
        <v>469.9</v>
      </c>
      <c r="N195" s="804"/>
      <c r="O195" s="1205">
        <v>45468</v>
      </c>
      <c r="P195" s="1203"/>
      <c r="Q195" s="3" t="s">
        <v>449</v>
      </c>
      <c r="R195" s="1209"/>
      <c r="S195" s="856" t="s">
        <v>62</v>
      </c>
      <c r="T195" s="1212"/>
      <c r="U195" s="856" t="s">
        <v>69</v>
      </c>
      <c r="V195" s="848"/>
      <c r="W195" s="851">
        <v>329.22</v>
      </c>
      <c r="X195" s="1282"/>
      <c r="Y195" s="1179">
        <v>45469</v>
      </c>
      <c r="Z195" s="856" t="s">
        <v>62</v>
      </c>
      <c r="AA195" s="1232"/>
      <c r="AB195" s="1099">
        <v>45471</v>
      </c>
      <c r="AC195" s="1099">
        <v>45471</v>
      </c>
      <c r="AD195" s="1176">
        <f>50+731</f>
        <v>781</v>
      </c>
      <c r="AE195" s="1227">
        <f t="shared" si="18"/>
        <v>0.97624999999999995</v>
      </c>
      <c r="AF195" s="1283" t="s">
        <v>64</v>
      </c>
      <c r="AG195" s="1286">
        <v>1</v>
      </c>
      <c r="AH195" s="1076" t="s">
        <v>132</v>
      </c>
      <c r="AI195" s="1248">
        <v>45474</v>
      </c>
      <c r="AJ195" s="1248">
        <v>45474</v>
      </c>
      <c r="AK195" s="1249">
        <f>110000+133716</f>
        <v>243716</v>
      </c>
      <c r="AL195" s="1264">
        <f t="shared" si="19"/>
        <v>0.97486399999999995</v>
      </c>
      <c r="AM195" s="1265" t="s">
        <v>62</v>
      </c>
      <c r="AN195" s="1261">
        <v>1</v>
      </c>
      <c r="AO195" s="1276"/>
      <c r="AP195" s="1277"/>
      <c r="AQ195" s="1276"/>
      <c r="AR195" s="1278"/>
      <c r="AS195" s="1278"/>
    </row>
    <row r="196" spans="1:45" ht="15.6">
      <c r="A196" s="1097" t="s">
        <v>53</v>
      </c>
      <c r="B196" s="1075" t="s">
        <v>122</v>
      </c>
      <c r="C196" s="851" t="s">
        <v>123</v>
      </c>
      <c r="D196" s="851" t="s">
        <v>124</v>
      </c>
      <c r="E196" s="1432" t="s">
        <v>433</v>
      </c>
      <c r="F196" s="856">
        <v>2024</v>
      </c>
      <c r="G196" s="1099">
        <v>45462</v>
      </c>
      <c r="H196" s="3">
        <v>200106582</v>
      </c>
      <c r="I196" s="1456" t="s">
        <v>450</v>
      </c>
      <c r="J196" s="856">
        <v>9</v>
      </c>
      <c r="K196" s="3" t="s">
        <v>128</v>
      </c>
      <c r="L196" s="804"/>
      <c r="M196" s="786">
        <v>468.2</v>
      </c>
      <c r="N196" s="804"/>
      <c r="O196" s="1205">
        <v>45468</v>
      </c>
      <c r="P196" s="1203"/>
      <c r="Q196" s="785" t="s">
        <v>451</v>
      </c>
      <c r="R196" s="1209"/>
      <c r="S196" s="856" t="s">
        <v>62</v>
      </c>
      <c r="T196" s="1212"/>
      <c r="U196" s="856" t="s">
        <v>75</v>
      </c>
      <c r="V196" s="848"/>
      <c r="W196" s="851">
        <v>329.82</v>
      </c>
      <c r="X196" s="1282"/>
      <c r="Y196" s="1179">
        <v>45470</v>
      </c>
      <c r="Z196" s="856" t="s">
        <v>62</v>
      </c>
      <c r="AA196" s="1232"/>
      <c r="AB196" s="1099">
        <v>45474</v>
      </c>
      <c r="AC196" s="1099">
        <v>45474</v>
      </c>
      <c r="AD196" s="1176">
        <f>96+682</f>
        <v>778</v>
      </c>
      <c r="AE196" s="1227">
        <f t="shared" si="18"/>
        <v>0.97250000000000003</v>
      </c>
      <c r="AF196" s="1283" t="s">
        <v>64</v>
      </c>
      <c r="AG196" s="1286">
        <v>1</v>
      </c>
      <c r="AH196" s="1076" t="s">
        <v>162</v>
      </c>
      <c r="AI196" s="1248">
        <v>45475</v>
      </c>
      <c r="AJ196" s="1248">
        <v>45476</v>
      </c>
      <c r="AK196" s="1249">
        <f>73864+114000+54262</f>
        <v>242126</v>
      </c>
      <c r="AL196" s="1264">
        <f t="shared" si="19"/>
        <v>0.96850400000000003</v>
      </c>
      <c r="AM196" s="1265" t="s">
        <v>62</v>
      </c>
      <c r="AN196" s="1261">
        <v>1</v>
      </c>
      <c r="AO196" s="1276"/>
      <c r="AP196" s="1277"/>
      <c r="AQ196" s="1276"/>
      <c r="AR196" s="1278"/>
      <c r="AS196" s="1278"/>
    </row>
    <row r="197" spans="1:45" ht="15.6">
      <c r="A197" s="1097" t="s">
        <v>53</v>
      </c>
      <c r="B197" s="1075" t="s">
        <v>122</v>
      </c>
      <c r="C197" s="851" t="s">
        <v>123</v>
      </c>
      <c r="D197" s="851" t="s">
        <v>124</v>
      </c>
      <c r="E197" s="1432" t="s">
        <v>433</v>
      </c>
      <c r="F197" s="856">
        <v>2024</v>
      </c>
      <c r="G197" s="1099">
        <v>45462</v>
      </c>
      <c r="H197" s="3">
        <v>200106583</v>
      </c>
      <c r="I197" s="1456" t="s">
        <v>452</v>
      </c>
      <c r="J197" s="856">
        <v>10</v>
      </c>
      <c r="K197" s="3" t="s">
        <v>128</v>
      </c>
      <c r="L197" s="804"/>
      <c r="M197" s="786">
        <v>470.4</v>
      </c>
      <c r="N197" s="804"/>
      <c r="O197" s="1205">
        <v>45468</v>
      </c>
      <c r="P197" s="1203"/>
      <c r="Q197" s="3" t="s">
        <v>453</v>
      </c>
      <c r="R197" s="1209"/>
      <c r="S197" s="856" t="s">
        <v>62</v>
      </c>
      <c r="T197" s="1212"/>
      <c r="U197" s="3" t="s">
        <v>130</v>
      </c>
      <c r="V197" s="848"/>
      <c r="W197" s="786">
        <v>330.4</v>
      </c>
      <c r="X197" s="1282"/>
      <c r="Y197" s="1205">
        <v>45469</v>
      </c>
      <c r="Z197" s="856" t="s">
        <v>62</v>
      </c>
      <c r="AA197" s="1232"/>
      <c r="AB197" s="1099">
        <v>45474</v>
      </c>
      <c r="AC197" s="1099">
        <v>45475</v>
      </c>
      <c r="AD197" s="1176">
        <f>660+118</f>
        <v>778</v>
      </c>
      <c r="AE197" s="1227">
        <f t="shared" si="18"/>
        <v>0.97250000000000003</v>
      </c>
      <c r="AF197" s="1283" t="s">
        <v>64</v>
      </c>
      <c r="AG197" s="1286">
        <v>1</v>
      </c>
      <c r="AH197" s="1076" t="s">
        <v>162</v>
      </c>
      <c r="AI197" s="1248">
        <v>45476</v>
      </c>
      <c r="AJ197" s="1248">
        <v>45476</v>
      </c>
      <c r="AK197" s="1249">
        <f>43740+103166+94725</f>
        <v>241631</v>
      </c>
      <c r="AL197" s="1264">
        <f t="shared" si="19"/>
        <v>0.96652400000000005</v>
      </c>
      <c r="AM197" s="1265" t="s">
        <v>62</v>
      </c>
      <c r="AN197" s="1261">
        <v>1</v>
      </c>
      <c r="AO197" s="1276"/>
      <c r="AP197" s="1277"/>
      <c r="AQ197" s="1276"/>
      <c r="AR197" s="1278"/>
      <c r="AS197" s="1278"/>
    </row>
    <row r="198" spans="1:45" ht="15.6">
      <c r="A198" s="1097" t="s">
        <v>53</v>
      </c>
      <c r="B198" s="1075" t="s">
        <v>122</v>
      </c>
      <c r="C198" s="851" t="s">
        <v>123</v>
      </c>
      <c r="D198" s="851" t="s">
        <v>124</v>
      </c>
      <c r="E198" s="1432" t="s">
        <v>433</v>
      </c>
      <c r="F198" s="856">
        <v>2024</v>
      </c>
      <c r="G198" s="1099">
        <v>45469</v>
      </c>
      <c r="H198" s="3">
        <v>200106451</v>
      </c>
      <c r="I198" s="1457" t="s">
        <v>454</v>
      </c>
      <c r="J198" s="856">
        <v>11</v>
      </c>
      <c r="K198" s="3" t="s">
        <v>128</v>
      </c>
      <c r="L198" s="804"/>
      <c r="M198" s="786">
        <v>466.9</v>
      </c>
      <c r="N198" s="804"/>
      <c r="O198" s="1205">
        <v>45471</v>
      </c>
      <c r="P198" s="1203"/>
      <c r="Q198" s="785" t="s">
        <v>455</v>
      </c>
      <c r="R198" s="1209"/>
      <c r="S198" s="856" t="s">
        <v>62</v>
      </c>
      <c r="T198" s="1212"/>
      <c r="U198" s="3" t="s">
        <v>130</v>
      </c>
      <c r="V198" s="848"/>
      <c r="W198" s="786">
        <v>330</v>
      </c>
      <c r="X198" s="1282"/>
      <c r="Y198" s="1205">
        <v>45471</v>
      </c>
      <c r="Z198" s="856" t="s">
        <v>62</v>
      </c>
      <c r="AA198" s="1232"/>
      <c r="AB198" s="1099">
        <v>45475</v>
      </c>
      <c r="AC198" s="1099">
        <v>45475</v>
      </c>
      <c r="AD198" s="1176">
        <f>518+258</f>
        <v>776</v>
      </c>
      <c r="AE198" s="1227">
        <f t="shared" si="18"/>
        <v>0.97</v>
      </c>
      <c r="AF198" s="1283" t="s">
        <v>64</v>
      </c>
      <c r="AG198" s="1286">
        <v>1</v>
      </c>
      <c r="AH198" s="1076" t="s">
        <v>162</v>
      </c>
      <c r="AI198" s="1248">
        <v>45477</v>
      </c>
      <c r="AJ198" s="1248">
        <v>45477</v>
      </c>
      <c r="AK198" s="1249">
        <f>107392+103878+29851</f>
        <v>241121</v>
      </c>
      <c r="AL198" s="1264">
        <f t="shared" si="19"/>
        <v>0.96448400000000001</v>
      </c>
      <c r="AM198" s="1265" t="s">
        <v>62</v>
      </c>
      <c r="AN198" s="1261">
        <v>1</v>
      </c>
      <c r="AO198" s="1276"/>
      <c r="AP198" s="1277"/>
      <c r="AQ198" s="1276"/>
      <c r="AR198" s="1278"/>
      <c r="AS198" s="1278"/>
    </row>
    <row r="199" spans="1:45" ht="15.6">
      <c r="A199" s="1097" t="s">
        <v>53</v>
      </c>
      <c r="B199" s="1075" t="s">
        <v>122</v>
      </c>
      <c r="C199" s="851" t="s">
        <v>123</v>
      </c>
      <c r="D199" s="851" t="s">
        <v>124</v>
      </c>
      <c r="E199" s="1432" t="s">
        <v>433</v>
      </c>
      <c r="F199" s="856">
        <v>2024</v>
      </c>
      <c r="G199" s="1099">
        <v>45469</v>
      </c>
      <c r="H199" s="3">
        <v>200106452</v>
      </c>
      <c r="I199" s="1457" t="s">
        <v>456</v>
      </c>
      <c r="J199" s="856">
        <v>12</v>
      </c>
      <c r="K199" s="3" t="s">
        <v>128</v>
      </c>
      <c r="L199" s="804"/>
      <c r="M199" s="786">
        <v>469.1</v>
      </c>
      <c r="N199" s="804"/>
      <c r="O199" s="1205">
        <v>45471</v>
      </c>
      <c r="P199" s="1203"/>
      <c r="Q199" s="3" t="s">
        <v>457</v>
      </c>
      <c r="R199" s="1209"/>
      <c r="S199" s="856" t="s">
        <v>62</v>
      </c>
      <c r="T199" s="1212"/>
      <c r="U199" s="3" t="s">
        <v>130</v>
      </c>
      <c r="V199" s="848"/>
      <c r="W199" s="786">
        <v>329.8</v>
      </c>
      <c r="X199" s="1282"/>
      <c r="Y199" s="1205">
        <v>45471</v>
      </c>
      <c r="Z199" s="856" t="s">
        <v>62</v>
      </c>
      <c r="AA199" s="1232"/>
      <c r="AB199" s="1099">
        <v>45475</v>
      </c>
      <c r="AC199" s="1099">
        <v>45475</v>
      </c>
      <c r="AD199" s="1176">
        <f>366+412</f>
        <v>778</v>
      </c>
      <c r="AE199" s="1227">
        <f t="shared" si="18"/>
        <v>0.97250000000000003</v>
      </c>
      <c r="AF199" s="1283" t="s">
        <v>64</v>
      </c>
      <c r="AG199" s="1286">
        <v>1</v>
      </c>
      <c r="AH199" s="1076" t="s">
        <v>162</v>
      </c>
      <c r="AI199" s="1248">
        <v>45478</v>
      </c>
      <c r="AJ199" s="1248">
        <v>45478</v>
      </c>
      <c r="AK199" s="1249">
        <f>75087+70000+9000</f>
        <v>154087</v>
      </c>
      <c r="AL199" s="1264">
        <f t="shared" si="19"/>
        <v>0.61634800000000001</v>
      </c>
      <c r="AM199" s="1265" t="s">
        <v>62</v>
      </c>
      <c r="AN199" s="1261">
        <v>1</v>
      </c>
      <c r="AO199" s="1276"/>
      <c r="AP199" s="1277"/>
      <c r="AQ199" s="1276"/>
      <c r="AR199" s="1278"/>
      <c r="AS199" s="1278"/>
    </row>
    <row r="200" spans="1:45" ht="15.6">
      <c r="A200" s="1097" t="s">
        <v>53</v>
      </c>
      <c r="B200" s="1075" t="s">
        <v>122</v>
      </c>
      <c r="C200" s="851" t="s">
        <v>123</v>
      </c>
      <c r="D200" s="851" t="s">
        <v>124</v>
      </c>
      <c r="E200" s="1432" t="s">
        <v>433</v>
      </c>
      <c r="F200" s="856">
        <v>2024</v>
      </c>
      <c r="G200" s="1099">
        <v>45469</v>
      </c>
      <c r="H200" s="3">
        <v>200106453</v>
      </c>
      <c r="I200" s="1457" t="s">
        <v>458</v>
      </c>
      <c r="J200" s="856">
        <v>13</v>
      </c>
      <c r="K200" s="3" t="s">
        <v>128</v>
      </c>
      <c r="L200" s="804"/>
      <c r="M200" s="786">
        <v>464.5</v>
      </c>
      <c r="N200" s="804"/>
      <c r="O200" s="1205">
        <v>45471</v>
      </c>
      <c r="P200" s="1203"/>
      <c r="Q200" s="3" t="s">
        <v>459</v>
      </c>
      <c r="R200" s="1209"/>
      <c r="S200" s="856" t="s">
        <v>62</v>
      </c>
      <c r="T200" s="1212"/>
      <c r="U200" s="3" t="s">
        <v>130</v>
      </c>
      <c r="V200" s="848"/>
      <c r="W200" s="865">
        <v>329.9</v>
      </c>
      <c r="X200" s="1282"/>
      <c r="Y200" s="1205">
        <v>45474</v>
      </c>
      <c r="Z200" s="856" t="s">
        <v>62</v>
      </c>
      <c r="AA200" s="1232"/>
      <c r="AB200" s="1099">
        <v>45475</v>
      </c>
      <c r="AC200" s="1099">
        <v>45476</v>
      </c>
      <c r="AD200" s="1176">
        <f>254+519</f>
        <v>773</v>
      </c>
      <c r="AE200" s="1227">
        <f t="shared" si="18"/>
        <v>0.96625000000000005</v>
      </c>
      <c r="AF200" s="1283" t="s">
        <v>64</v>
      </c>
      <c r="AG200" s="1286">
        <v>1</v>
      </c>
      <c r="AH200" s="1076" t="s">
        <v>132</v>
      </c>
      <c r="AI200" s="1248">
        <v>45477</v>
      </c>
      <c r="AJ200" s="1248">
        <v>45478</v>
      </c>
      <c r="AK200" s="1249">
        <f>53000+121000+67178</f>
        <v>241178</v>
      </c>
      <c r="AL200" s="1264">
        <f t="shared" si="19"/>
        <v>0.96471200000000001</v>
      </c>
      <c r="AM200" s="1265" t="s">
        <v>62</v>
      </c>
      <c r="AN200" s="1261">
        <v>1</v>
      </c>
      <c r="AO200" s="1276"/>
      <c r="AP200" s="1277"/>
      <c r="AQ200" s="1276"/>
      <c r="AR200" s="1278"/>
      <c r="AS200" s="1278"/>
    </row>
    <row r="201" spans="1:45" ht="15.6">
      <c r="A201" s="1097" t="s">
        <v>53</v>
      </c>
      <c r="B201" s="1075" t="s">
        <v>122</v>
      </c>
      <c r="C201" s="851" t="s">
        <v>123</v>
      </c>
      <c r="D201" s="851" t="s">
        <v>124</v>
      </c>
      <c r="E201" s="1432" t="s">
        <v>433</v>
      </c>
      <c r="F201" s="856">
        <v>2024</v>
      </c>
      <c r="G201" s="1099">
        <v>45469</v>
      </c>
      <c r="H201" s="3">
        <v>200106454</v>
      </c>
      <c r="I201" s="1457" t="s">
        <v>460</v>
      </c>
      <c r="J201" s="856">
        <v>14</v>
      </c>
      <c r="K201" s="3" t="s">
        <v>128</v>
      </c>
      <c r="L201" s="804"/>
      <c r="M201" s="786">
        <v>469.7</v>
      </c>
      <c r="N201" s="804"/>
      <c r="O201" s="1205">
        <v>45471</v>
      </c>
      <c r="P201" s="1203"/>
      <c r="Q201" s="785" t="s">
        <v>461</v>
      </c>
      <c r="R201" s="1209"/>
      <c r="S201" s="856" t="s">
        <v>62</v>
      </c>
      <c r="T201" s="1212"/>
      <c r="U201" s="3" t="s">
        <v>130</v>
      </c>
      <c r="V201" s="848"/>
      <c r="W201" s="865">
        <v>329.9</v>
      </c>
      <c r="X201" s="1282"/>
      <c r="Y201" s="1205">
        <v>45474</v>
      </c>
      <c r="Z201" s="856" t="s">
        <v>62</v>
      </c>
      <c r="AA201" s="1232"/>
      <c r="AB201" s="1099">
        <v>45476</v>
      </c>
      <c r="AC201" s="1099">
        <v>45476</v>
      </c>
      <c r="AD201" s="1176">
        <f>116+662</f>
        <v>778</v>
      </c>
      <c r="AE201" s="1227">
        <f t="shared" si="18"/>
        <v>0.97250000000000003</v>
      </c>
      <c r="AF201" s="1283" t="s">
        <v>64</v>
      </c>
      <c r="AG201" s="1286">
        <v>1</v>
      </c>
      <c r="AH201" s="1076" t="s">
        <v>132</v>
      </c>
      <c r="AI201" s="1248">
        <v>45478</v>
      </c>
      <c r="AJ201" s="1248">
        <v>45480</v>
      </c>
      <c r="AK201" s="1249">
        <f>20600+149000+73213</f>
        <v>242813</v>
      </c>
      <c r="AL201" s="1264">
        <f t="shared" si="19"/>
        <v>0.971252</v>
      </c>
      <c r="AM201" s="1265" t="s">
        <v>62</v>
      </c>
      <c r="AN201" s="1261">
        <v>1</v>
      </c>
      <c r="AO201" s="1276">
        <v>6700</v>
      </c>
      <c r="AP201" s="1277">
        <v>45496</v>
      </c>
      <c r="AQ201" s="1276" t="s">
        <v>132</v>
      </c>
      <c r="AR201" s="1278"/>
      <c r="AS201" s="1278"/>
    </row>
    <row r="202" spans="1:45" ht="15.6">
      <c r="A202" s="1097" t="s">
        <v>53</v>
      </c>
      <c r="B202" s="1075" t="s">
        <v>122</v>
      </c>
      <c r="C202" s="851" t="s">
        <v>123</v>
      </c>
      <c r="D202" s="851" t="s">
        <v>124</v>
      </c>
      <c r="E202" s="1432" t="s">
        <v>433</v>
      </c>
      <c r="F202" s="856">
        <v>2024</v>
      </c>
      <c r="G202" s="1099">
        <v>45469</v>
      </c>
      <c r="H202" s="3">
        <v>200106455</v>
      </c>
      <c r="I202" s="1457" t="s">
        <v>462</v>
      </c>
      <c r="J202" s="856">
        <v>15</v>
      </c>
      <c r="K202" s="3" t="s">
        <v>128</v>
      </c>
      <c r="L202" s="804"/>
      <c r="M202" s="865">
        <v>466</v>
      </c>
      <c r="N202" s="804"/>
      <c r="O202" s="1205">
        <v>45474</v>
      </c>
      <c r="P202" s="1203"/>
      <c r="Q202" s="785" t="s">
        <v>463</v>
      </c>
      <c r="R202" s="1209"/>
      <c r="S202" s="856" t="s">
        <v>62</v>
      </c>
      <c r="T202" s="1212"/>
      <c r="U202" s="3" t="s">
        <v>130</v>
      </c>
      <c r="V202" s="848"/>
      <c r="W202" s="865">
        <v>329.7</v>
      </c>
      <c r="X202" s="1282"/>
      <c r="Y202" s="1205">
        <v>45474</v>
      </c>
      <c r="Z202" s="856" t="s">
        <v>62</v>
      </c>
      <c r="AA202" s="1232"/>
      <c r="AB202" s="1099">
        <v>45476</v>
      </c>
      <c r="AC202" s="1099">
        <v>45477</v>
      </c>
      <c r="AD202" s="1176">
        <f>462+311</f>
        <v>773</v>
      </c>
      <c r="AE202" s="1227">
        <f t="shared" si="18"/>
        <v>0.96625000000000005</v>
      </c>
      <c r="AF202" s="1283" t="s">
        <v>64</v>
      </c>
      <c r="AG202" s="1286">
        <v>1</v>
      </c>
      <c r="AH202" s="1076" t="s">
        <v>132</v>
      </c>
      <c r="AI202" s="1248">
        <v>45480</v>
      </c>
      <c r="AJ202" s="1248">
        <v>45481</v>
      </c>
      <c r="AK202" s="1249">
        <f>10500+162130+68514</f>
        <v>241144</v>
      </c>
      <c r="AL202" s="1264">
        <f t="shared" si="19"/>
        <v>0.96457599999999999</v>
      </c>
      <c r="AM202" s="1265" t="s">
        <v>62</v>
      </c>
      <c r="AN202" s="1261">
        <v>1</v>
      </c>
      <c r="AO202" s="1276"/>
      <c r="AP202" s="1277"/>
      <c r="AQ202" s="1276"/>
      <c r="AR202" s="1278"/>
      <c r="AS202" s="1278"/>
    </row>
    <row r="203" spans="1:45" ht="15.6">
      <c r="A203" s="1097" t="s">
        <v>53</v>
      </c>
      <c r="B203" s="1075" t="s">
        <v>122</v>
      </c>
      <c r="C203" s="851" t="s">
        <v>123</v>
      </c>
      <c r="D203" s="851" t="s">
        <v>124</v>
      </c>
      <c r="E203" s="1432" t="s">
        <v>433</v>
      </c>
      <c r="F203" s="856">
        <v>2024</v>
      </c>
      <c r="G203" s="1099">
        <v>45469</v>
      </c>
      <c r="H203" s="3">
        <v>200106456</v>
      </c>
      <c r="I203" s="1457" t="s">
        <v>464</v>
      </c>
      <c r="J203" s="856">
        <v>16</v>
      </c>
      <c r="K203" s="3" t="s">
        <v>128</v>
      </c>
      <c r="L203" s="804"/>
      <c r="M203" s="865">
        <v>465.8</v>
      </c>
      <c r="N203" s="804"/>
      <c r="O203" s="1205">
        <v>45474</v>
      </c>
      <c r="P203" s="1203"/>
      <c r="Q203" s="3" t="s">
        <v>465</v>
      </c>
      <c r="R203" s="1209"/>
      <c r="S203" s="856" t="s">
        <v>62</v>
      </c>
      <c r="T203" s="1212"/>
      <c r="U203" s="3" t="s">
        <v>130</v>
      </c>
      <c r="V203" s="848"/>
      <c r="W203" s="865">
        <v>329.7</v>
      </c>
      <c r="X203" s="1282"/>
      <c r="Y203" s="1205">
        <v>45475</v>
      </c>
      <c r="Z203" s="856" t="s">
        <v>62</v>
      </c>
      <c r="AA203" s="1232"/>
      <c r="AB203" s="1099">
        <v>45477</v>
      </c>
      <c r="AC203" s="1099">
        <v>45477</v>
      </c>
      <c r="AD203" s="1176">
        <f>295+330+145</f>
        <v>770</v>
      </c>
      <c r="AE203" s="1227">
        <f t="shared" si="18"/>
        <v>0.96250000000000002</v>
      </c>
      <c r="AF203" s="1283" t="s">
        <v>64</v>
      </c>
      <c r="AG203" s="1286">
        <v>1</v>
      </c>
      <c r="AH203" s="1076" t="s">
        <v>132</v>
      </c>
      <c r="AI203" s="1248">
        <v>45480</v>
      </c>
      <c r="AJ203" s="1248">
        <v>45482</v>
      </c>
      <c r="AK203" s="1249">
        <f>67300+133095+27800+12721</f>
        <v>240916</v>
      </c>
      <c r="AL203" s="1264">
        <f t="shared" si="19"/>
        <v>0.96366399999999997</v>
      </c>
      <c r="AM203" s="1265" t="s">
        <v>62</v>
      </c>
      <c r="AN203" s="1261">
        <v>1</v>
      </c>
      <c r="AO203" s="1276">
        <v>3861</v>
      </c>
      <c r="AP203" s="1277">
        <v>45491</v>
      </c>
      <c r="AQ203" s="1276" t="s">
        <v>132</v>
      </c>
      <c r="AR203" s="1278"/>
      <c r="AS203" s="1278"/>
    </row>
    <row r="204" spans="1:45" ht="15.6">
      <c r="A204" s="1097" t="s">
        <v>53</v>
      </c>
      <c r="B204" s="1075" t="s">
        <v>122</v>
      </c>
      <c r="C204" s="851" t="s">
        <v>123</v>
      </c>
      <c r="D204" s="851" t="s">
        <v>124</v>
      </c>
      <c r="E204" s="1432" t="s">
        <v>433</v>
      </c>
      <c r="F204" s="856">
        <v>2024</v>
      </c>
      <c r="G204" s="1099">
        <v>45469</v>
      </c>
      <c r="H204" s="3">
        <v>200106457</v>
      </c>
      <c r="I204" s="1457" t="s">
        <v>466</v>
      </c>
      <c r="J204" s="856">
        <v>17</v>
      </c>
      <c r="K204" s="3" t="s">
        <v>128</v>
      </c>
      <c r="L204" s="804"/>
      <c r="M204" s="865">
        <v>471.2</v>
      </c>
      <c r="N204" s="804"/>
      <c r="O204" s="1205">
        <v>45474</v>
      </c>
      <c r="P204" s="1203"/>
      <c r="Q204" s="3" t="s">
        <v>467</v>
      </c>
      <c r="R204" s="1209"/>
      <c r="S204" s="856" t="s">
        <v>62</v>
      </c>
      <c r="T204" s="1212"/>
      <c r="U204" s="3" t="s">
        <v>130</v>
      </c>
      <c r="V204" s="848"/>
      <c r="W204" s="865">
        <v>329.9</v>
      </c>
      <c r="X204" s="1282"/>
      <c r="Y204" s="1205">
        <v>45475</v>
      </c>
      <c r="Z204" s="856" t="s">
        <v>62</v>
      </c>
      <c r="AA204" s="1232"/>
      <c r="AB204" s="1099">
        <v>45477</v>
      </c>
      <c r="AC204" s="1099">
        <v>45478</v>
      </c>
      <c r="AD204" s="1176">
        <f>518+262</f>
        <v>780</v>
      </c>
      <c r="AE204" s="1227">
        <f t="shared" si="18"/>
        <v>0.97499999999999998</v>
      </c>
      <c r="AF204" s="1283" t="s">
        <v>64</v>
      </c>
      <c r="AG204" s="1286">
        <v>1</v>
      </c>
      <c r="AH204" s="1076" t="s">
        <v>132</v>
      </c>
      <c r="AI204" s="1248">
        <v>45481</v>
      </c>
      <c r="AJ204" s="1248">
        <v>45481</v>
      </c>
      <c r="AK204" s="1249">
        <f>78500+155900+9198</f>
        <v>243598</v>
      </c>
      <c r="AL204" s="1264">
        <f t="shared" si="19"/>
        <v>0.97439200000000004</v>
      </c>
      <c r="AM204" s="1265" t="s">
        <v>62</v>
      </c>
      <c r="AN204" s="1261">
        <v>1</v>
      </c>
      <c r="AO204" s="1276">
        <v>3864</v>
      </c>
      <c r="AP204" s="1277">
        <v>45496</v>
      </c>
      <c r="AQ204" s="1276" t="s">
        <v>132</v>
      </c>
      <c r="AR204" s="1278"/>
      <c r="AS204" s="1278"/>
    </row>
    <row r="205" spans="1:45" ht="15.6">
      <c r="A205" s="1097" t="s">
        <v>53</v>
      </c>
      <c r="B205" s="1075" t="s">
        <v>122</v>
      </c>
      <c r="C205" s="851" t="s">
        <v>123</v>
      </c>
      <c r="D205" s="851" t="s">
        <v>124</v>
      </c>
      <c r="E205" s="1432" t="s">
        <v>433</v>
      </c>
      <c r="F205" s="856">
        <v>2024</v>
      </c>
      <c r="G205" s="1099">
        <v>45469</v>
      </c>
      <c r="H205" s="3">
        <v>200106458</v>
      </c>
      <c r="I205" s="1457" t="s">
        <v>468</v>
      </c>
      <c r="J205" s="856">
        <v>18</v>
      </c>
      <c r="K205" s="3" t="s">
        <v>128</v>
      </c>
      <c r="L205" s="804"/>
      <c r="M205" s="865">
        <v>463.9</v>
      </c>
      <c r="N205" s="804"/>
      <c r="O205" s="1205">
        <v>45475</v>
      </c>
      <c r="P205" s="1203"/>
      <c r="Q205" s="3" t="s">
        <v>469</v>
      </c>
      <c r="R205" s="1209"/>
      <c r="S205" s="856" t="s">
        <v>62</v>
      </c>
      <c r="T205" s="1212"/>
      <c r="U205" s="3" t="s">
        <v>130</v>
      </c>
      <c r="V205" s="848"/>
      <c r="W205" s="865">
        <v>329.8</v>
      </c>
      <c r="X205" s="1282"/>
      <c r="Y205" s="1205">
        <v>45475</v>
      </c>
      <c r="Z205" s="856" t="s">
        <v>62</v>
      </c>
      <c r="AA205" s="1232"/>
      <c r="AB205" s="1099">
        <v>45478</v>
      </c>
      <c r="AC205" s="1099">
        <v>45478</v>
      </c>
      <c r="AD205" s="1176">
        <f>548+225</f>
        <v>773</v>
      </c>
      <c r="AE205" s="1227">
        <f t="shared" si="18"/>
        <v>0.96625000000000005</v>
      </c>
      <c r="AF205" s="1283" t="s">
        <v>64</v>
      </c>
      <c r="AG205" s="1286">
        <v>1</v>
      </c>
      <c r="AH205" s="1076" t="s">
        <v>132</v>
      </c>
      <c r="AI205" s="1248">
        <v>45481</v>
      </c>
      <c r="AJ205" s="1248">
        <v>45482</v>
      </c>
      <c r="AK205" s="1249">
        <f>123800+118076</f>
        <v>241876</v>
      </c>
      <c r="AL205" s="1264">
        <f t="shared" si="19"/>
        <v>0.96750400000000003</v>
      </c>
      <c r="AM205" s="1265" t="s">
        <v>62</v>
      </c>
      <c r="AN205" s="1261">
        <v>1</v>
      </c>
      <c r="AO205" s="1276">
        <v>7906</v>
      </c>
      <c r="AP205" s="1277">
        <v>45496</v>
      </c>
      <c r="AQ205" s="1276" t="s">
        <v>132</v>
      </c>
      <c r="AR205" s="1278"/>
      <c r="AS205" s="1278"/>
    </row>
    <row r="206" spans="1:45" ht="15.6">
      <c r="A206" s="1097" t="s">
        <v>53</v>
      </c>
      <c r="B206" s="1075" t="s">
        <v>122</v>
      </c>
      <c r="C206" s="851" t="s">
        <v>123</v>
      </c>
      <c r="D206" s="851" t="s">
        <v>124</v>
      </c>
      <c r="E206" s="1432" t="s">
        <v>433</v>
      </c>
      <c r="F206" s="856">
        <v>2024</v>
      </c>
      <c r="G206" s="1099">
        <v>45469</v>
      </c>
      <c r="H206" s="3">
        <v>200106459</v>
      </c>
      <c r="I206" s="1457" t="s">
        <v>470</v>
      </c>
      <c r="J206" s="856">
        <v>19</v>
      </c>
      <c r="K206" s="3" t="s">
        <v>128</v>
      </c>
      <c r="L206" s="804"/>
      <c r="M206" s="858">
        <v>465</v>
      </c>
      <c r="N206" s="804"/>
      <c r="O206" s="1205">
        <v>45476</v>
      </c>
      <c r="P206" s="1203"/>
      <c r="Q206" s="785" t="s">
        <v>471</v>
      </c>
      <c r="R206" s="1209"/>
      <c r="S206" s="856" t="s">
        <v>62</v>
      </c>
      <c r="T206" s="1212"/>
      <c r="U206" s="3" t="s">
        <v>130</v>
      </c>
      <c r="V206" s="848"/>
      <c r="W206" s="865">
        <v>329.6</v>
      </c>
      <c r="X206" s="1282"/>
      <c r="Y206" s="1205">
        <v>45476</v>
      </c>
      <c r="Z206" s="856" t="s">
        <v>62</v>
      </c>
      <c r="AA206" s="1232"/>
      <c r="AB206" s="1099">
        <v>45481</v>
      </c>
      <c r="AC206" s="1099">
        <v>45481</v>
      </c>
      <c r="AD206" s="1176">
        <f>96+366+312</f>
        <v>774</v>
      </c>
      <c r="AE206" s="1227">
        <f t="shared" si="18"/>
        <v>0.96750000000000003</v>
      </c>
      <c r="AF206" s="1283" t="s">
        <v>64</v>
      </c>
      <c r="AG206" s="1286">
        <v>1</v>
      </c>
      <c r="AH206" s="1076" t="s">
        <v>132</v>
      </c>
      <c r="AI206" s="1248">
        <v>45482</v>
      </c>
      <c r="AJ206" s="1248">
        <v>45483</v>
      </c>
      <c r="AK206" s="1249">
        <f>103300+139042</f>
        <v>242342</v>
      </c>
      <c r="AL206" s="1264">
        <f t="shared" si="19"/>
        <v>0.96936800000000001</v>
      </c>
      <c r="AM206" s="1265" t="s">
        <v>62</v>
      </c>
      <c r="AN206" s="1261">
        <v>1</v>
      </c>
      <c r="AO206" s="1276"/>
      <c r="AP206" s="1277"/>
      <c r="AQ206" s="1276"/>
      <c r="AR206" s="1278"/>
      <c r="AS206" s="1278"/>
    </row>
    <row r="207" spans="1:45" ht="15.6">
      <c r="A207" s="1097" t="s">
        <v>53</v>
      </c>
      <c r="B207" s="1075" t="s">
        <v>122</v>
      </c>
      <c r="C207" s="851" t="s">
        <v>123</v>
      </c>
      <c r="D207" s="851" t="s">
        <v>124</v>
      </c>
      <c r="E207" s="1432" t="s">
        <v>433</v>
      </c>
      <c r="F207" s="856">
        <v>2024</v>
      </c>
      <c r="G207" s="1099">
        <v>45469</v>
      </c>
      <c r="H207" s="3">
        <v>200106640</v>
      </c>
      <c r="I207" s="1457" t="s">
        <v>472</v>
      </c>
      <c r="J207" s="856">
        <v>20</v>
      </c>
      <c r="K207" s="3" t="s">
        <v>128</v>
      </c>
      <c r="L207" s="804"/>
      <c r="M207" s="858">
        <v>467.1</v>
      </c>
      <c r="N207" s="804"/>
      <c r="O207" s="1205">
        <v>45476</v>
      </c>
      <c r="P207" s="1203"/>
      <c r="Q207" s="3" t="s">
        <v>473</v>
      </c>
      <c r="R207" s="1209"/>
      <c r="S207" s="856" t="s">
        <v>62</v>
      </c>
      <c r="T207" s="1212"/>
      <c r="U207" s="3" t="s">
        <v>130</v>
      </c>
      <c r="V207" s="848"/>
      <c r="W207" s="865">
        <v>329.6</v>
      </c>
      <c r="X207" s="1282"/>
      <c r="Y207" s="1205">
        <v>45476</v>
      </c>
      <c r="Z207" s="856" t="s">
        <v>62</v>
      </c>
      <c r="AA207" s="1232"/>
      <c r="AB207" s="1099">
        <v>45481</v>
      </c>
      <c r="AC207" s="1099">
        <v>45482</v>
      </c>
      <c r="AD207" s="1176">
        <f>162+452+162</f>
        <v>776</v>
      </c>
      <c r="AE207" s="1227">
        <f t="shared" si="18"/>
        <v>0.97</v>
      </c>
      <c r="AF207" s="1283" t="s">
        <v>64</v>
      </c>
      <c r="AG207" s="1286">
        <v>1</v>
      </c>
      <c r="AH207" s="1076" t="s">
        <v>132</v>
      </c>
      <c r="AI207" s="1248">
        <v>45483</v>
      </c>
      <c r="AJ207" s="1248">
        <v>45483</v>
      </c>
      <c r="AK207" s="1249">
        <f>4200+151500+86538</f>
        <v>242238</v>
      </c>
      <c r="AL207" s="1264">
        <f t="shared" si="19"/>
        <v>0.96895200000000004</v>
      </c>
      <c r="AM207" s="1265" t="s">
        <v>62</v>
      </c>
      <c r="AN207" s="1261">
        <v>1</v>
      </c>
      <c r="AO207" s="1276">
        <v>5450</v>
      </c>
      <c r="AP207" s="1277">
        <v>45495</v>
      </c>
      <c r="AQ207" s="1276" t="s">
        <v>132</v>
      </c>
      <c r="AR207" s="1278"/>
      <c r="AS207" s="1278"/>
    </row>
    <row r="208" spans="1:45" ht="15.6">
      <c r="A208" s="1097" t="s">
        <v>53</v>
      </c>
      <c r="B208" s="1075" t="s">
        <v>122</v>
      </c>
      <c r="C208" s="851" t="s">
        <v>123</v>
      </c>
      <c r="D208" s="851" t="s">
        <v>124</v>
      </c>
      <c r="E208" s="1432" t="s">
        <v>433</v>
      </c>
      <c r="F208" s="856">
        <v>2024</v>
      </c>
      <c r="G208" s="1099">
        <v>45469</v>
      </c>
      <c r="H208" s="3">
        <v>200106641</v>
      </c>
      <c r="I208" s="1457" t="s">
        <v>474</v>
      </c>
      <c r="J208" s="856">
        <v>21</v>
      </c>
      <c r="K208" s="3" t="s">
        <v>128</v>
      </c>
      <c r="L208" s="804"/>
      <c r="M208" s="858">
        <v>466.79</v>
      </c>
      <c r="N208" s="804"/>
      <c r="O208" s="1205">
        <v>45476</v>
      </c>
      <c r="P208" s="1203"/>
      <c r="Q208" s="3" t="s">
        <v>475</v>
      </c>
      <c r="R208" s="1209"/>
      <c r="S208" s="856" t="s">
        <v>62</v>
      </c>
      <c r="T208" s="1212"/>
      <c r="U208" s="3" t="s">
        <v>130</v>
      </c>
      <c r="V208" s="848"/>
      <c r="W208" s="858">
        <v>330.1</v>
      </c>
      <c r="X208" s="1282"/>
      <c r="Y208" s="1205">
        <v>45477</v>
      </c>
      <c r="Z208" s="856" t="s">
        <v>62</v>
      </c>
      <c r="AA208" s="1232"/>
      <c r="AB208" s="1099">
        <v>45482</v>
      </c>
      <c r="AC208" s="1099">
        <v>45482</v>
      </c>
      <c r="AD208" s="1176">
        <f>366+411</f>
        <v>777</v>
      </c>
      <c r="AE208" s="1227">
        <f t="shared" si="18"/>
        <v>0.97124999999999995</v>
      </c>
      <c r="AF208" s="1283" t="s">
        <v>64</v>
      </c>
      <c r="AG208" s="1286">
        <v>1</v>
      </c>
      <c r="AH208" s="1076" t="s">
        <v>132</v>
      </c>
      <c r="AI208" s="1248">
        <v>45484</v>
      </c>
      <c r="AJ208" s="1248">
        <v>45484</v>
      </c>
      <c r="AK208" s="1249">
        <f>145000+97641</f>
        <v>242641</v>
      </c>
      <c r="AL208" s="1264">
        <f t="shared" si="19"/>
        <v>0.97056399999999998</v>
      </c>
      <c r="AM208" s="1265" t="s">
        <v>62</v>
      </c>
      <c r="AN208" s="1261">
        <v>1</v>
      </c>
      <c r="AO208" s="1276"/>
      <c r="AP208" s="1277"/>
      <c r="AQ208" s="1276"/>
      <c r="AR208" s="1278"/>
      <c r="AS208" s="1278"/>
    </row>
    <row r="209" spans="1:45" ht="15.6">
      <c r="A209" s="1097" t="s">
        <v>53</v>
      </c>
      <c r="B209" s="1075" t="s">
        <v>122</v>
      </c>
      <c r="C209" s="851" t="s">
        <v>123</v>
      </c>
      <c r="D209" s="851" t="s">
        <v>124</v>
      </c>
      <c r="E209" s="1432" t="s">
        <v>433</v>
      </c>
      <c r="F209" s="856">
        <v>2024</v>
      </c>
      <c r="G209" s="1099">
        <v>45469</v>
      </c>
      <c r="H209" s="3">
        <v>200106642</v>
      </c>
      <c r="I209" s="1457" t="s">
        <v>476</v>
      </c>
      <c r="J209" s="856">
        <v>22</v>
      </c>
      <c r="K209" s="3" t="s">
        <v>128</v>
      </c>
      <c r="L209" s="804"/>
      <c r="M209" s="858">
        <v>466.75</v>
      </c>
      <c r="N209" s="804"/>
      <c r="O209" s="1205">
        <v>45477</v>
      </c>
      <c r="P209" s="1203"/>
      <c r="Q209" s="785" t="s">
        <v>477</v>
      </c>
      <c r="R209" s="1209"/>
      <c r="S209" s="856" t="s">
        <v>62</v>
      </c>
      <c r="T209" s="1212"/>
      <c r="U209" s="3" t="s">
        <v>130</v>
      </c>
      <c r="V209" s="848"/>
      <c r="W209" s="858">
        <v>329.6</v>
      </c>
      <c r="X209" s="1282"/>
      <c r="Y209" s="1205">
        <v>45477</v>
      </c>
      <c r="Z209" s="856" t="s">
        <v>62</v>
      </c>
      <c r="AA209" s="1232"/>
      <c r="AB209" s="1099">
        <v>45482</v>
      </c>
      <c r="AC209" s="1099">
        <v>45483</v>
      </c>
      <c r="AD209" s="1176">
        <f>198+422+156</f>
        <v>776</v>
      </c>
      <c r="AE209" s="1227">
        <f t="shared" si="18"/>
        <v>0.97</v>
      </c>
      <c r="AF209" s="1283" t="s">
        <v>64</v>
      </c>
      <c r="AG209" s="1286">
        <v>1</v>
      </c>
      <c r="AH209" s="1076" t="s">
        <v>132</v>
      </c>
      <c r="AI209" s="1248">
        <v>45484</v>
      </c>
      <c r="AJ209" s="1248">
        <v>45485</v>
      </c>
      <c r="AK209" s="1249">
        <f>61010+156752+24777</f>
        <v>242539</v>
      </c>
      <c r="AL209" s="1264">
        <f t="shared" si="19"/>
        <v>0.97015600000000002</v>
      </c>
      <c r="AM209" s="1265" t="s">
        <v>62</v>
      </c>
      <c r="AN209" s="1261">
        <v>1</v>
      </c>
      <c r="AO209" s="1276"/>
      <c r="AP209" s="1277"/>
      <c r="AQ209" s="1276"/>
      <c r="AR209" s="1278"/>
      <c r="AS209" s="1278"/>
    </row>
    <row r="210" spans="1:45" ht="15.6">
      <c r="A210" s="1097" t="s">
        <v>53</v>
      </c>
      <c r="B210" s="1075" t="s">
        <v>122</v>
      </c>
      <c r="C210" s="851" t="s">
        <v>123</v>
      </c>
      <c r="D210" s="851" t="s">
        <v>124</v>
      </c>
      <c r="E210" s="1432" t="s">
        <v>433</v>
      </c>
      <c r="F210" s="856">
        <v>2024</v>
      </c>
      <c r="G210" s="1099">
        <v>45475</v>
      </c>
      <c r="H210" s="3">
        <v>200106644</v>
      </c>
      <c r="I210" s="1450" t="s">
        <v>478</v>
      </c>
      <c r="J210" s="856">
        <v>23</v>
      </c>
      <c r="K210" s="3" t="s">
        <v>128</v>
      </c>
      <c r="L210" s="804"/>
      <c r="M210" s="858">
        <v>469</v>
      </c>
      <c r="N210" s="804"/>
      <c r="O210" s="1205">
        <v>45477</v>
      </c>
      <c r="P210" s="1203"/>
      <c r="Q210" s="785" t="s">
        <v>479</v>
      </c>
      <c r="R210" s="1209"/>
      <c r="S210" s="856" t="s">
        <v>62</v>
      </c>
      <c r="T210" s="1212"/>
      <c r="U210" s="3" t="s">
        <v>130</v>
      </c>
      <c r="V210" s="848"/>
      <c r="W210" s="858">
        <v>330.1</v>
      </c>
      <c r="X210" s="1282"/>
      <c r="Y210" s="1205">
        <v>45481</v>
      </c>
      <c r="Z210" s="856" t="s">
        <v>62</v>
      </c>
      <c r="AA210" s="1232"/>
      <c r="AB210" s="1099">
        <v>45483</v>
      </c>
      <c r="AC210" s="1099">
        <v>45483</v>
      </c>
      <c r="AD210" s="1176">
        <f>416+363</f>
        <v>779</v>
      </c>
      <c r="AE210" s="1227">
        <f t="shared" si="18"/>
        <v>0.97375</v>
      </c>
      <c r="AF210" s="1283" t="s">
        <v>64</v>
      </c>
      <c r="AG210" s="1286">
        <v>1</v>
      </c>
      <c r="AH210" s="1076" t="s">
        <v>132</v>
      </c>
      <c r="AI210" s="1248">
        <v>45485</v>
      </c>
      <c r="AJ210" s="1248">
        <v>45485</v>
      </c>
      <c r="AK210" s="1249">
        <f>102900+139776</f>
        <v>242676</v>
      </c>
      <c r="AL210" s="1264">
        <f t="shared" si="19"/>
        <v>0.97070400000000001</v>
      </c>
      <c r="AM210" s="1265" t="s">
        <v>62</v>
      </c>
      <c r="AN210" s="1261">
        <v>1</v>
      </c>
      <c r="AO210" s="1276">
        <v>2671</v>
      </c>
      <c r="AP210" s="1277">
        <v>45518</v>
      </c>
      <c r="AQ210" s="1276" t="s">
        <v>132</v>
      </c>
      <c r="AR210" s="1278"/>
      <c r="AS210" s="1278"/>
    </row>
    <row r="211" spans="1:45" ht="15.6">
      <c r="A211" s="1097" t="s">
        <v>53</v>
      </c>
      <c r="B211" s="1075" t="s">
        <v>122</v>
      </c>
      <c r="C211" s="851" t="s">
        <v>123</v>
      </c>
      <c r="D211" s="851" t="s">
        <v>124</v>
      </c>
      <c r="E211" s="1432" t="s">
        <v>433</v>
      </c>
      <c r="F211" s="856">
        <v>2024</v>
      </c>
      <c r="G211" s="1099">
        <v>45475</v>
      </c>
      <c r="H211" s="3">
        <v>200106665</v>
      </c>
      <c r="I211" s="1455" t="s">
        <v>480</v>
      </c>
      <c r="J211" s="856">
        <v>24</v>
      </c>
      <c r="K211" s="3" t="s">
        <v>128</v>
      </c>
      <c r="L211" s="804"/>
      <c r="M211" s="858">
        <v>465.4</v>
      </c>
      <c r="N211" s="804"/>
      <c r="O211" s="1205">
        <v>45477</v>
      </c>
      <c r="P211" s="1203"/>
      <c r="Q211" s="3" t="s">
        <v>481</v>
      </c>
      <c r="R211" s="1209"/>
      <c r="S211" s="856" t="s">
        <v>62</v>
      </c>
      <c r="T211" s="1212"/>
      <c r="U211" s="3" t="s">
        <v>130</v>
      </c>
      <c r="V211" s="848"/>
      <c r="W211" s="865">
        <v>330.1</v>
      </c>
      <c r="X211" s="1282"/>
      <c r="Y211" s="1205">
        <v>45481</v>
      </c>
      <c r="Z211" s="856" t="s">
        <v>62</v>
      </c>
      <c r="AA211" s="1232"/>
      <c r="AB211" s="1099">
        <v>45483</v>
      </c>
      <c r="AC211" s="1099">
        <v>45484</v>
      </c>
      <c r="AD211" s="1176">
        <f>132+36+608</f>
        <v>776</v>
      </c>
      <c r="AE211" s="1227">
        <f t="shared" si="18"/>
        <v>0.97</v>
      </c>
      <c r="AF211" s="1283" t="s">
        <v>64</v>
      </c>
      <c r="AG211" s="1286">
        <v>1</v>
      </c>
      <c r="AH211" s="1076" t="s">
        <v>132</v>
      </c>
      <c r="AI211" s="1248">
        <v>45485</v>
      </c>
      <c r="AJ211" s="1248">
        <v>45490</v>
      </c>
      <c r="AK211" s="1249">
        <f>154500+87831</f>
        <v>242331</v>
      </c>
      <c r="AL211" s="1264">
        <f t="shared" si="19"/>
        <v>0.96932399999999996</v>
      </c>
      <c r="AM211" s="1265" t="s">
        <v>62</v>
      </c>
      <c r="AN211" s="1261">
        <v>1</v>
      </c>
      <c r="AO211" s="1276"/>
      <c r="AP211" s="1277"/>
      <c r="AQ211" s="1276"/>
      <c r="AR211" s="1278"/>
      <c r="AS211" s="1278"/>
    </row>
    <row r="212" spans="1:45" ht="15.6">
      <c r="A212" s="1097" t="s">
        <v>53</v>
      </c>
      <c r="B212" s="1075" t="s">
        <v>122</v>
      </c>
      <c r="C212" s="851" t="s">
        <v>123</v>
      </c>
      <c r="D212" s="851" t="s">
        <v>124</v>
      </c>
      <c r="E212" s="1432" t="s">
        <v>433</v>
      </c>
      <c r="F212" s="856">
        <v>2024</v>
      </c>
      <c r="G212" s="1099">
        <v>45475</v>
      </c>
      <c r="H212" s="3">
        <v>200106666</v>
      </c>
      <c r="I212" s="1455" t="s">
        <v>482</v>
      </c>
      <c r="J212" s="856">
        <v>25</v>
      </c>
      <c r="K212" s="3" t="s">
        <v>128</v>
      </c>
      <c r="L212" s="804"/>
      <c r="M212" s="858">
        <v>467.2</v>
      </c>
      <c r="N212" s="804"/>
      <c r="O212" s="1205">
        <v>45477</v>
      </c>
      <c r="P212" s="1203"/>
      <c r="Q212" s="3" t="s">
        <v>483</v>
      </c>
      <c r="R212" s="1209"/>
      <c r="S212" s="856" t="s">
        <v>62</v>
      </c>
      <c r="T212" s="1212"/>
      <c r="U212" s="3" t="s">
        <v>130</v>
      </c>
      <c r="V212" s="848"/>
      <c r="W212" s="865">
        <v>330.3</v>
      </c>
      <c r="X212" s="1282"/>
      <c r="Y212" s="1205">
        <v>45482</v>
      </c>
      <c r="Z212" s="856" t="s">
        <v>62</v>
      </c>
      <c r="AA212" s="1232"/>
      <c r="AB212" s="1099">
        <v>45484</v>
      </c>
      <c r="AC212" s="1099">
        <v>45485</v>
      </c>
      <c r="AD212" s="1176">
        <f>660+115</f>
        <v>775</v>
      </c>
      <c r="AE212" s="1227">
        <f t="shared" si="18"/>
        <v>0.96875</v>
      </c>
      <c r="AF212" s="1283" t="s">
        <v>64</v>
      </c>
      <c r="AG212" s="1286">
        <v>1</v>
      </c>
      <c r="AH212" s="1076" t="s">
        <v>132</v>
      </c>
      <c r="AI212" s="1248">
        <v>45490</v>
      </c>
      <c r="AJ212" s="1248">
        <v>45491</v>
      </c>
      <c r="AK212" s="1249">
        <f>61800+155000+23629</f>
        <v>240429</v>
      </c>
      <c r="AL212" s="1264">
        <f t="shared" si="19"/>
        <v>0.96171600000000002</v>
      </c>
      <c r="AM212" s="1265" t="s">
        <v>62</v>
      </c>
      <c r="AN212" s="1261">
        <v>1</v>
      </c>
      <c r="AO212" s="1276"/>
      <c r="AP212" s="1277"/>
      <c r="AQ212" s="1276"/>
      <c r="AR212" s="1278"/>
      <c r="AS212" s="1278"/>
    </row>
    <row r="213" spans="1:45" ht="15.6">
      <c r="A213" s="1097" t="s">
        <v>53</v>
      </c>
      <c r="B213" s="1075" t="s">
        <v>122</v>
      </c>
      <c r="C213" s="851" t="s">
        <v>123</v>
      </c>
      <c r="D213" s="851" t="s">
        <v>124</v>
      </c>
      <c r="E213" s="1432" t="s">
        <v>433</v>
      </c>
      <c r="F213" s="856">
        <v>2024</v>
      </c>
      <c r="G213" s="1099">
        <v>45475</v>
      </c>
      <c r="H213" s="3">
        <v>200106667</v>
      </c>
      <c r="I213" s="1455" t="s">
        <v>484</v>
      </c>
      <c r="J213" s="856">
        <v>26</v>
      </c>
      <c r="K213" s="3" t="s">
        <v>128</v>
      </c>
      <c r="L213" s="804"/>
      <c r="M213" s="865">
        <v>464.1</v>
      </c>
      <c r="N213" s="804"/>
      <c r="O213" s="1205">
        <v>45481</v>
      </c>
      <c r="P213" s="1203"/>
      <c r="Q213" s="3" t="s">
        <v>485</v>
      </c>
      <c r="R213" s="1209"/>
      <c r="S213" s="856" t="s">
        <v>62</v>
      </c>
      <c r="T213" s="1212"/>
      <c r="U213" s="3" t="s">
        <v>130</v>
      </c>
      <c r="V213" s="848"/>
      <c r="W213" s="865">
        <v>330.2</v>
      </c>
      <c r="X213" s="1282"/>
      <c r="Y213" s="1205">
        <v>45482</v>
      </c>
      <c r="Z213" s="856" t="s">
        <v>62</v>
      </c>
      <c r="AA213" s="1232"/>
      <c r="AB213" s="1099">
        <v>45485</v>
      </c>
      <c r="AC213" s="1099">
        <v>45485</v>
      </c>
      <c r="AD213" s="1176">
        <f>360+415</f>
        <v>775</v>
      </c>
      <c r="AE213" s="1227">
        <f t="shared" si="18"/>
        <v>0.96875</v>
      </c>
      <c r="AF213" s="1283" t="s">
        <v>64</v>
      </c>
      <c r="AG213" s="1286">
        <v>1</v>
      </c>
      <c r="AH213" s="1076" t="s">
        <v>132</v>
      </c>
      <c r="AI213" s="1248">
        <v>45491</v>
      </c>
      <c r="AJ213" s="1248">
        <v>45492</v>
      </c>
      <c r="AK213" s="1249">
        <f>58200+162700+19516</f>
        <v>240416</v>
      </c>
      <c r="AL213" s="1264">
        <f t="shared" si="19"/>
        <v>0.96166399999999996</v>
      </c>
      <c r="AM213" s="1265" t="s">
        <v>62</v>
      </c>
      <c r="AN213" s="1261">
        <v>1</v>
      </c>
      <c r="AO213" s="1276">
        <v>2953</v>
      </c>
      <c r="AP213" s="1277">
        <v>45519</v>
      </c>
      <c r="AQ213" s="1276" t="s">
        <v>132</v>
      </c>
      <c r="AR213" s="1278"/>
      <c r="AS213" s="1278"/>
    </row>
    <row r="214" spans="1:45" ht="15.6">
      <c r="A214" s="1097" t="s">
        <v>53</v>
      </c>
      <c r="B214" s="1075" t="s">
        <v>122</v>
      </c>
      <c r="C214" s="851" t="s">
        <v>123</v>
      </c>
      <c r="D214" s="851" t="s">
        <v>124</v>
      </c>
      <c r="E214" s="1432" t="s">
        <v>433</v>
      </c>
      <c r="F214" s="856">
        <v>2024</v>
      </c>
      <c r="G214" s="1099">
        <v>45475</v>
      </c>
      <c r="H214" s="3">
        <v>200106668</v>
      </c>
      <c r="I214" s="1455" t="s">
        <v>486</v>
      </c>
      <c r="J214" s="856">
        <v>27</v>
      </c>
      <c r="K214" s="3" t="s">
        <v>128</v>
      </c>
      <c r="L214" s="804"/>
      <c r="M214" s="865">
        <v>464</v>
      </c>
      <c r="N214" s="804"/>
      <c r="O214" s="1205">
        <v>45482</v>
      </c>
      <c r="P214" s="1203"/>
      <c r="Q214" s="3" t="s">
        <v>487</v>
      </c>
      <c r="R214" s="1209"/>
      <c r="S214" s="856" t="s">
        <v>62</v>
      </c>
      <c r="T214" s="1212"/>
      <c r="U214" s="3" t="s">
        <v>130</v>
      </c>
      <c r="V214" s="848"/>
      <c r="W214" s="865">
        <v>330.4</v>
      </c>
      <c r="X214" s="1282"/>
      <c r="Y214" s="1205">
        <v>45482</v>
      </c>
      <c r="Z214" s="856" t="s">
        <v>62</v>
      </c>
      <c r="AA214" s="1232"/>
      <c r="AB214" s="1099">
        <v>45485</v>
      </c>
      <c r="AC214" s="1099">
        <v>45485</v>
      </c>
      <c r="AD214" s="1176">
        <f>157+618</f>
        <v>775</v>
      </c>
      <c r="AE214" s="1227">
        <f t="shared" si="18"/>
        <v>0.96875</v>
      </c>
      <c r="AF214" s="1283" t="s">
        <v>64</v>
      </c>
      <c r="AG214" s="1286">
        <v>1</v>
      </c>
      <c r="AH214" s="1076" t="s">
        <v>132</v>
      </c>
      <c r="AI214" s="1248">
        <v>45492</v>
      </c>
      <c r="AJ214" s="1248">
        <v>45492</v>
      </c>
      <c r="AK214" s="1249">
        <f>70600+137800+32585</f>
        <v>240985</v>
      </c>
      <c r="AL214" s="1264">
        <f t="shared" si="19"/>
        <v>0.96394000000000002</v>
      </c>
      <c r="AM214" s="1265" t="s">
        <v>62</v>
      </c>
      <c r="AN214" s="1261">
        <v>1</v>
      </c>
      <c r="AO214" s="1276"/>
      <c r="AP214" s="1277"/>
      <c r="AQ214" s="1276"/>
      <c r="AR214" s="1278"/>
      <c r="AS214" s="1278"/>
    </row>
    <row r="215" spans="1:45" ht="15.6">
      <c r="A215" s="1097" t="s">
        <v>53</v>
      </c>
      <c r="B215" s="1075" t="s">
        <v>122</v>
      </c>
      <c r="C215" s="851" t="s">
        <v>123</v>
      </c>
      <c r="D215" s="851" t="s">
        <v>124</v>
      </c>
      <c r="E215" s="1432" t="s">
        <v>433</v>
      </c>
      <c r="F215" s="856">
        <v>2024</v>
      </c>
      <c r="G215" s="1099">
        <v>45475</v>
      </c>
      <c r="H215" s="3">
        <v>200106669</v>
      </c>
      <c r="I215" s="1455" t="s">
        <v>488</v>
      </c>
      <c r="J215" s="856">
        <v>28</v>
      </c>
      <c r="K215" s="3" t="s">
        <v>128</v>
      </c>
      <c r="L215" s="804"/>
      <c r="M215" s="858">
        <v>469.2</v>
      </c>
      <c r="N215" s="804"/>
      <c r="O215" s="1205">
        <v>45483</v>
      </c>
      <c r="P215" s="1203"/>
      <c r="Q215" s="785" t="s">
        <v>489</v>
      </c>
      <c r="R215" s="1209"/>
      <c r="S215" s="856" t="s">
        <v>62</v>
      </c>
      <c r="T215" s="1212"/>
      <c r="U215" s="3" t="s">
        <v>130</v>
      </c>
      <c r="V215" s="848"/>
      <c r="W215" s="865">
        <v>330.3</v>
      </c>
      <c r="X215" s="1282"/>
      <c r="Y215" s="1205">
        <v>45484</v>
      </c>
      <c r="Z215" s="856" t="s">
        <v>62</v>
      </c>
      <c r="AA215" s="1232"/>
      <c r="AB215" s="1099">
        <v>45485</v>
      </c>
      <c r="AC215" s="1099">
        <v>45487</v>
      </c>
      <c r="AD215" s="1176">
        <f>86+693</f>
        <v>779</v>
      </c>
      <c r="AE215" s="1227">
        <f t="shared" si="18"/>
        <v>0.97375</v>
      </c>
      <c r="AF215" s="1283" t="s">
        <v>64</v>
      </c>
      <c r="AG215" s="1286">
        <v>1</v>
      </c>
      <c r="AH215" s="1076" t="s">
        <v>132</v>
      </c>
      <c r="AI215" s="1248">
        <v>45492</v>
      </c>
      <c r="AJ215" s="1248">
        <v>45495</v>
      </c>
      <c r="AK215" s="1249">
        <f>108600+129400+3759</f>
        <v>241759</v>
      </c>
      <c r="AL215" s="1264">
        <f t="shared" si="19"/>
        <v>0.96703600000000001</v>
      </c>
      <c r="AM215" s="1265" t="s">
        <v>62</v>
      </c>
      <c r="AN215" s="1261">
        <v>1</v>
      </c>
      <c r="AO215" s="1276"/>
      <c r="AP215" s="1277"/>
      <c r="AQ215" s="1276"/>
      <c r="AR215" s="1278"/>
      <c r="AS215" s="1278"/>
    </row>
    <row r="216" spans="1:45" ht="15.6">
      <c r="A216" s="1097" t="s">
        <v>53</v>
      </c>
      <c r="B216" s="1075" t="s">
        <v>122</v>
      </c>
      <c r="C216" s="851" t="s">
        <v>123</v>
      </c>
      <c r="D216" s="851" t="s">
        <v>124</v>
      </c>
      <c r="E216" s="1432" t="s">
        <v>433</v>
      </c>
      <c r="F216" s="856">
        <v>2024</v>
      </c>
      <c r="G216" s="1099">
        <v>45475</v>
      </c>
      <c r="H216" s="3">
        <v>200106670</v>
      </c>
      <c r="I216" s="1455" t="s">
        <v>490</v>
      </c>
      <c r="J216" s="856">
        <v>29</v>
      </c>
      <c r="K216" s="3" t="s">
        <v>128</v>
      </c>
      <c r="L216" s="804"/>
      <c r="M216" s="858">
        <v>468.9</v>
      </c>
      <c r="N216" s="804"/>
      <c r="O216" s="1205">
        <v>45483</v>
      </c>
      <c r="P216" s="1203"/>
      <c r="Q216" s="785" t="s">
        <v>491</v>
      </c>
      <c r="R216" s="1209"/>
      <c r="S216" s="856" t="s">
        <v>62</v>
      </c>
      <c r="T216" s="1212"/>
      <c r="U216" s="3" t="s">
        <v>130</v>
      </c>
      <c r="V216" s="848"/>
      <c r="W216" s="865">
        <v>330.1</v>
      </c>
      <c r="X216" s="1282"/>
      <c r="Y216" s="1205">
        <v>45484</v>
      </c>
      <c r="Z216" s="856" t="s">
        <v>62</v>
      </c>
      <c r="AA216" s="1232"/>
      <c r="AB216" s="1099">
        <v>45487</v>
      </c>
      <c r="AC216" s="1099">
        <v>45487</v>
      </c>
      <c r="AD216" s="1176">
        <f>700+87</f>
        <v>787</v>
      </c>
      <c r="AE216" s="1227">
        <f t="shared" si="18"/>
        <v>0.98375000000000001</v>
      </c>
      <c r="AF216" s="1283" t="s">
        <v>64</v>
      </c>
      <c r="AG216" s="1286">
        <v>1</v>
      </c>
      <c r="AH216" s="1076" t="s">
        <v>132</v>
      </c>
      <c r="AI216" s="1248">
        <v>45495</v>
      </c>
      <c r="AJ216" s="1248">
        <v>45495</v>
      </c>
      <c r="AK216" s="1249">
        <f>114000+130560</f>
        <v>244560</v>
      </c>
      <c r="AL216" s="1264">
        <f t="shared" si="19"/>
        <v>0.97824</v>
      </c>
      <c r="AM216" s="1265" t="s">
        <v>62</v>
      </c>
      <c r="AN216" s="1261">
        <v>1</v>
      </c>
      <c r="AO216" s="1276">
        <v>4179</v>
      </c>
      <c r="AP216" s="1277">
        <v>45518</v>
      </c>
      <c r="AQ216" s="1276" t="s">
        <v>132</v>
      </c>
      <c r="AR216" s="1278"/>
      <c r="AS216" s="1278"/>
    </row>
    <row r="217" spans="1:45" ht="15.6">
      <c r="A217" s="1097" t="s">
        <v>53</v>
      </c>
      <c r="B217" s="1075"/>
      <c r="C217" s="851"/>
      <c r="D217" s="851"/>
      <c r="E217" s="856"/>
      <c r="F217" s="856"/>
      <c r="G217" s="1099"/>
      <c r="H217" s="3"/>
      <c r="I217" s="3"/>
      <c r="J217" s="856"/>
      <c r="K217" s="851"/>
      <c r="L217" s="851"/>
      <c r="M217" s="851"/>
      <c r="N217" s="851"/>
      <c r="O217" s="1205"/>
      <c r="P217" s="1205"/>
      <c r="Q217" s="851"/>
      <c r="R217" s="1209"/>
      <c r="S217" s="851"/>
      <c r="T217" s="856"/>
      <c r="U217" s="851"/>
      <c r="V217" s="851"/>
      <c r="W217" s="851"/>
      <c r="X217" s="1179"/>
      <c r="Y217" s="1205"/>
      <c r="Z217" s="851"/>
      <c r="AA217" s="1232"/>
      <c r="AB217" s="1099"/>
      <c r="AC217" s="1099"/>
      <c r="AD217" s="1176"/>
      <c r="AE217" s="1227"/>
      <c r="AF217" s="1283"/>
      <c r="AG217" s="1286"/>
      <c r="AH217" s="1076"/>
      <c r="AI217" s="1248"/>
      <c r="AJ217" s="1248"/>
      <c r="AK217" s="1285"/>
      <c r="AL217" s="1264"/>
      <c r="AM217" s="1269"/>
      <c r="AN217" s="1261"/>
      <c r="AO217" s="1276"/>
      <c r="AP217" s="1277"/>
      <c r="AQ217" s="1276"/>
      <c r="AR217" s="1278"/>
      <c r="AS217" s="1278"/>
    </row>
    <row r="218" spans="1:45" ht="15.6">
      <c r="A218" s="1097" t="s">
        <v>53</v>
      </c>
      <c r="B218" s="1075" t="s">
        <v>122</v>
      </c>
      <c r="C218" s="851" t="s">
        <v>123</v>
      </c>
      <c r="D218" s="851" t="s">
        <v>124</v>
      </c>
      <c r="E218" s="1432" t="s">
        <v>100</v>
      </c>
      <c r="F218" s="856">
        <v>2024</v>
      </c>
      <c r="G218" s="1099">
        <v>45492</v>
      </c>
      <c r="H218" s="3">
        <v>200106807</v>
      </c>
      <c r="I218" s="1453" t="s">
        <v>492</v>
      </c>
      <c r="J218" s="856">
        <v>1</v>
      </c>
      <c r="K218" s="3" t="s">
        <v>128</v>
      </c>
      <c r="L218" s="804"/>
      <c r="M218" s="762">
        <v>465.3</v>
      </c>
      <c r="N218" s="804"/>
      <c r="O218" s="1205">
        <v>45503</v>
      </c>
      <c r="P218" s="1203"/>
      <c r="Q218" s="3" t="s">
        <v>493</v>
      </c>
      <c r="R218" s="1209"/>
      <c r="S218" s="856" t="s">
        <v>62</v>
      </c>
      <c r="T218" s="1212"/>
      <c r="U218" s="3" t="s">
        <v>130</v>
      </c>
      <c r="V218" s="848"/>
      <c r="W218" s="865">
        <v>330.1</v>
      </c>
      <c r="X218" s="1282"/>
      <c r="Y218" s="1205">
        <v>45499</v>
      </c>
      <c r="Z218" s="856" t="s">
        <v>62</v>
      </c>
      <c r="AA218" s="1225"/>
      <c r="AB218" s="1099">
        <v>45505</v>
      </c>
      <c r="AC218" s="1099">
        <v>45505</v>
      </c>
      <c r="AD218" s="1226">
        <f>162+386+227</f>
        <v>775</v>
      </c>
      <c r="AE218" s="1227">
        <f t="shared" ref="AE218:AE240" si="20">AD218/800</f>
        <v>0.96875</v>
      </c>
      <c r="AF218" s="1283" t="s">
        <v>64</v>
      </c>
      <c r="AG218" s="1286">
        <v>1</v>
      </c>
      <c r="AH218" s="1248" t="s">
        <v>132</v>
      </c>
      <c r="AI218" s="1248">
        <v>45511</v>
      </c>
      <c r="AJ218" s="1248">
        <v>45512</v>
      </c>
      <c r="AK218" s="1285">
        <f>109700+132080</f>
        <v>241780</v>
      </c>
      <c r="AL218" s="1264">
        <f t="shared" ref="AL218:AL240" si="21">AK218/250000</f>
        <v>0.96711999999999998</v>
      </c>
      <c r="AM218" s="1265" t="s">
        <v>62</v>
      </c>
      <c r="AN218" s="1261">
        <v>1</v>
      </c>
      <c r="AO218" s="1276"/>
      <c r="AP218" s="1277"/>
      <c r="AQ218" s="1276"/>
      <c r="AR218" s="1278"/>
      <c r="AS218" s="1278"/>
    </row>
    <row r="219" spans="1:45" ht="15.6">
      <c r="A219" s="1097" t="s">
        <v>53</v>
      </c>
      <c r="B219" s="1075" t="s">
        <v>122</v>
      </c>
      <c r="C219" s="851" t="s">
        <v>123</v>
      </c>
      <c r="D219" s="851" t="s">
        <v>124</v>
      </c>
      <c r="E219" s="1432" t="s">
        <v>100</v>
      </c>
      <c r="F219" s="856">
        <v>2024</v>
      </c>
      <c r="G219" s="1099">
        <v>45492</v>
      </c>
      <c r="H219" s="3">
        <v>200106808</v>
      </c>
      <c r="I219" s="1451" t="s">
        <v>494</v>
      </c>
      <c r="J219" s="856">
        <v>2</v>
      </c>
      <c r="K219" s="3" t="s">
        <v>128</v>
      </c>
      <c r="L219" s="804"/>
      <c r="M219" s="762">
        <v>465.7</v>
      </c>
      <c r="N219" s="804"/>
      <c r="O219" s="1205">
        <v>45503</v>
      </c>
      <c r="P219" s="1203"/>
      <c r="Q219" s="3" t="s">
        <v>495</v>
      </c>
      <c r="R219" s="1209"/>
      <c r="S219" s="856" t="s">
        <v>62</v>
      </c>
      <c r="T219" s="1212"/>
      <c r="U219" s="3" t="s">
        <v>130</v>
      </c>
      <c r="V219" s="848"/>
      <c r="W219" s="865">
        <v>330.5</v>
      </c>
      <c r="X219" s="1282"/>
      <c r="Y219" s="1205">
        <v>45499</v>
      </c>
      <c r="Z219" s="856" t="s">
        <v>62</v>
      </c>
      <c r="AA219" s="1225"/>
      <c r="AB219" s="1099">
        <v>45504</v>
      </c>
      <c r="AC219" s="1099">
        <v>45505</v>
      </c>
      <c r="AD219" s="1226">
        <f>248+527</f>
        <v>775</v>
      </c>
      <c r="AE219" s="1227">
        <f t="shared" si="20"/>
        <v>0.96875</v>
      </c>
      <c r="AF219" s="1283" t="s">
        <v>64</v>
      </c>
      <c r="AG219" s="1286">
        <v>1</v>
      </c>
      <c r="AH219" s="1248" t="s">
        <v>132</v>
      </c>
      <c r="AI219" s="1248">
        <v>45512</v>
      </c>
      <c r="AJ219" s="1248">
        <v>45512</v>
      </c>
      <c r="AK219" s="1285">
        <f>152044+89312</f>
        <v>241356</v>
      </c>
      <c r="AL219" s="1264">
        <f t="shared" si="21"/>
        <v>0.96542399999999995</v>
      </c>
      <c r="AM219" s="1265" t="s">
        <v>62</v>
      </c>
      <c r="AN219" s="1261">
        <v>1</v>
      </c>
      <c r="AO219" s="1276"/>
      <c r="AP219" s="1277"/>
      <c r="AQ219" s="1276"/>
      <c r="AR219" s="1278"/>
      <c r="AS219" s="1278"/>
    </row>
    <row r="220" spans="1:45" ht="15.6">
      <c r="A220" s="1097" t="s">
        <v>53</v>
      </c>
      <c r="B220" s="1075" t="s">
        <v>122</v>
      </c>
      <c r="C220" s="851" t="s">
        <v>123</v>
      </c>
      <c r="D220" s="851" t="s">
        <v>124</v>
      </c>
      <c r="E220" s="1432" t="s">
        <v>100</v>
      </c>
      <c r="F220" s="856">
        <v>2024</v>
      </c>
      <c r="G220" s="1099">
        <v>45492</v>
      </c>
      <c r="H220" s="3">
        <v>200106809</v>
      </c>
      <c r="I220" s="1451" t="s">
        <v>496</v>
      </c>
      <c r="J220" s="856">
        <v>3</v>
      </c>
      <c r="K220" s="3" t="s">
        <v>128</v>
      </c>
      <c r="L220" s="804"/>
      <c r="M220" s="762">
        <v>465.1</v>
      </c>
      <c r="N220" s="804"/>
      <c r="O220" s="1205">
        <v>45503</v>
      </c>
      <c r="P220" s="1203"/>
      <c r="Q220" s="3" t="s">
        <v>497</v>
      </c>
      <c r="R220" s="1209"/>
      <c r="S220" s="856" t="s">
        <v>62</v>
      </c>
      <c r="T220" s="1212"/>
      <c r="U220" s="3" t="s">
        <v>130</v>
      </c>
      <c r="V220" s="848"/>
      <c r="W220" s="762">
        <v>329.8</v>
      </c>
      <c r="X220" s="1282"/>
      <c r="Y220" s="1205">
        <v>45503</v>
      </c>
      <c r="Z220" s="856" t="s">
        <v>62</v>
      </c>
      <c r="AA220" s="1225"/>
      <c r="AB220" s="1099">
        <v>45505</v>
      </c>
      <c r="AC220" s="1099">
        <v>45505</v>
      </c>
      <c r="AD220" s="1226">
        <f>50+725</f>
        <v>775</v>
      </c>
      <c r="AE220" s="1227">
        <f t="shared" si="20"/>
        <v>0.96875</v>
      </c>
      <c r="AF220" s="1283" t="s">
        <v>64</v>
      </c>
      <c r="AG220" s="1286">
        <v>1</v>
      </c>
      <c r="AH220" s="1248" t="s">
        <v>132</v>
      </c>
      <c r="AI220" s="1248">
        <v>45512</v>
      </c>
      <c r="AJ220" s="1248">
        <v>45513</v>
      </c>
      <c r="AK220" s="1285">
        <f>51000+132500+57827</f>
        <v>241327</v>
      </c>
      <c r="AL220" s="1264">
        <f t="shared" si="21"/>
        <v>0.96530800000000005</v>
      </c>
      <c r="AM220" s="1265" t="s">
        <v>62</v>
      </c>
      <c r="AN220" s="1261">
        <v>1</v>
      </c>
      <c r="AO220" s="1276"/>
      <c r="AP220" s="1277"/>
      <c r="AQ220" s="1276"/>
      <c r="AR220" s="1278"/>
      <c r="AS220" s="1278"/>
    </row>
    <row r="221" spans="1:45" ht="15.6">
      <c r="A221" s="1097" t="s">
        <v>53</v>
      </c>
      <c r="B221" s="1075" t="s">
        <v>122</v>
      </c>
      <c r="C221" s="851" t="s">
        <v>123</v>
      </c>
      <c r="D221" s="851" t="s">
        <v>124</v>
      </c>
      <c r="E221" s="1432" t="s">
        <v>100</v>
      </c>
      <c r="F221" s="856">
        <v>2024</v>
      </c>
      <c r="G221" s="1099">
        <v>45492</v>
      </c>
      <c r="H221" s="3">
        <v>200106810</v>
      </c>
      <c r="I221" s="1451" t="s">
        <v>498</v>
      </c>
      <c r="J221" s="856">
        <v>4</v>
      </c>
      <c r="K221" s="3" t="s">
        <v>128</v>
      </c>
      <c r="L221" s="804"/>
      <c r="M221" s="762">
        <v>467.6</v>
      </c>
      <c r="N221" s="804"/>
      <c r="O221" s="1205">
        <v>45504</v>
      </c>
      <c r="P221" s="1203"/>
      <c r="Q221" s="3" t="s">
        <v>499</v>
      </c>
      <c r="R221" s="1209"/>
      <c r="S221" s="856" t="s">
        <v>62</v>
      </c>
      <c r="T221" s="1212"/>
      <c r="U221" s="3" t="s">
        <v>130</v>
      </c>
      <c r="V221" s="848"/>
      <c r="W221" s="762">
        <v>329.8</v>
      </c>
      <c r="X221" s="1282"/>
      <c r="Y221" s="1205">
        <v>45503</v>
      </c>
      <c r="Z221" s="856" t="s">
        <v>62</v>
      </c>
      <c r="AA221" s="1225"/>
      <c r="AB221" s="1099">
        <v>45506</v>
      </c>
      <c r="AC221" s="1099">
        <v>45506</v>
      </c>
      <c r="AD221" s="1226">
        <f>442+284+49</f>
        <v>775</v>
      </c>
      <c r="AE221" s="1227">
        <f t="shared" si="20"/>
        <v>0.96875</v>
      </c>
      <c r="AF221" s="1283" t="s">
        <v>64</v>
      </c>
      <c r="AG221" s="1286">
        <v>1</v>
      </c>
      <c r="AH221" s="1248" t="s">
        <v>132</v>
      </c>
      <c r="AI221" s="1248">
        <v>45513</v>
      </c>
      <c r="AJ221" s="1248">
        <v>45513</v>
      </c>
      <c r="AK221" s="1285">
        <f>101600+140838</f>
        <v>242438</v>
      </c>
      <c r="AL221" s="1264">
        <f t="shared" si="21"/>
        <v>0.96975199999999995</v>
      </c>
      <c r="AM221" s="1265" t="s">
        <v>62</v>
      </c>
      <c r="AN221" s="1261">
        <v>1</v>
      </c>
      <c r="AO221" s="1276"/>
      <c r="AP221" s="1277"/>
      <c r="AQ221" s="1276"/>
      <c r="AR221" s="1278"/>
      <c r="AS221" s="1278"/>
    </row>
    <row r="222" spans="1:45" ht="15.6">
      <c r="A222" s="1097" t="s">
        <v>53</v>
      </c>
      <c r="B222" s="1075" t="s">
        <v>122</v>
      </c>
      <c r="C222" s="851" t="s">
        <v>123</v>
      </c>
      <c r="D222" s="851" t="s">
        <v>124</v>
      </c>
      <c r="E222" s="1432" t="s">
        <v>100</v>
      </c>
      <c r="F222" s="856">
        <v>2024</v>
      </c>
      <c r="G222" s="1099">
        <v>45492</v>
      </c>
      <c r="H222" s="3">
        <v>200106811</v>
      </c>
      <c r="I222" s="1451" t="s">
        <v>500</v>
      </c>
      <c r="J222" s="856">
        <v>5</v>
      </c>
      <c r="K222" s="3" t="s">
        <v>128</v>
      </c>
      <c r="L222" s="804"/>
      <c r="M222" s="762">
        <v>464.7</v>
      </c>
      <c r="N222" s="804"/>
      <c r="O222" s="1205">
        <v>45504</v>
      </c>
      <c r="P222" s="1203"/>
      <c r="Q222" s="3" t="s">
        <v>501</v>
      </c>
      <c r="R222" s="1209"/>
      <c r="S222" s="856" t="s">
        <v>62</v>
      </c>
      <c r="T222" s="1212"/>
      <c r="U222" s="3" t="s">
        <v>130</v>
      </c>
      <c r="V222" s="848"/>
      <c r="W222" s="865">
        <v>330.2</v>
      </c>
      <c r="X222" s="1282"/>
      <c r="Y222" s="1205">
        <v>45505</v>
      </c>
      <c r="Z222" s="856" t="s">
        <v>62</v>
      </c>
      <c r="AA222" s="1225"/>
      <c r="AB222" s="1099">
        <v>45506</v>
      </c>
      <c r="AC222" s="1099">
        <v>45506</v>
      </c>
      <c r="AD222" s="1226">
        <f>228+547</f>
        <v>775</v>
      </c>
      <c r="AE222" s="1227">
        <f t="shared" si="20"/>
        <v>0.96875</v>
      </c>
      <c r="AF222" s="1283" t="s">
        <v>64</v>
      </c>
      <c r="AG222" s="1286">
        <v>1</v>
      </c>
      <c r="AH222" s="1248" t="s">
        <v>132</v>
      </c>
      <c r="AI222" s="1248">
        <v>45516</v>
      </c>
      <c r="AJ222" s="1248">
        <v>45516</v>
      </c>
      <c r="AK222" s="1285">
        <f>121883+100000+18705</f>
        <v>240588</v>
      </c>
      <c r="AL222" s="1264">
        <f t="shared" si="21"/>
        <v>0.96235199999999999</v>
      </c>
      <c r="AM222" s="1265" t="s">
        <v>62</v>
      </c>
      <c r="AN222" s="1261">
        <v>1</v>
      </c>
      <c r="AO222" s="1276"/>
      <c r="AP222" s="1277"/>
      <c r="AQ222" s="1276"/>
      <c r="AR222" s="1278"/>
      <c r="AS222" s="1278"/>
    </row>
    <row r="223" spans="1:45" ht="15.6">
      <c r="A223" s="1097" t="s">
        <v>53</v>
      </c>
      <c r="B223" s="1075" t="s">
        <v>122</v>
      </c>
      <c r="C223" s="851" t="s">
        <v>123</v>
      </c>
      <c r="D223" s="851" t="s">
        <v>124</v>
      </c>
      <c r="E223" s="1432" t="s">
        <v>100</v>
      </c>
      <c r="F223" s="856">
        <v>2024</v>
      </c>
      <c r="G223" s="1099">
        <v>45492</v>
      </c>
      <c r="H223" s="3">
        <v>200106812</v>
      </c>
      <c r="I223" s="1451" t="s">
        <v>502</v>
      </c>
      <c r="J223" s="856">
        <v>6</v>
      </c>
      <c r="K223" s="3" t="s">
        <v>128</v>
      </c>
      <c r="L223" s="804"/>
      <c r="M223" s="762">
        <v>466.8</v>
      </c>
      <c r="N223" s="804"/>
      <c r="O223" s="1205">
        <v>45504</v>
      </c>
      <c r="P223" s="1203"/>
      <c r="Q223" s="3" t="s">
        <v>503</v>
      </c>
      <c r="R223" s="1209"/>
      <c r="S223" s="856" t="s">
        <v>62</v>
      </c>
      <c r="T223" s="1212"/>
      <c r="U223" s="3" t="s">
        <v>130</v>
      </c>
      <c r="V223" s="848"/>
      <c r="W223" s="865">
        <v>330.1</v>
      </c>
      <c r="X223" s="1282"/>
      <c r="Y223" s="1205">
        <v>45505</v>
      </c>
      <c r="Z223" s="856" t="s">
        <v>62</v>
      </c>
      <c r="AA223" s="1225"/>
      <c r="AB223" s="1099">
        <v>45506</v>
      </c>
      <c r="AC223" s="1099">
        <v>45509</v>
      </c>
      <c r="AD223" s="1226">
        <f>132+594+51</f>
        <v>777</v>
      </c>
      <c r="AE223" s="1227">
        <f t="shared" si="20"/>
        <v>0.97124999999999995</v>
      </c>
      <c r="AF223" s="1283" t="s">
        <v>64</v>
      </c>
      <c r="AG223" s="1286">
        <v>1</v>
      </c>
      <c r="AH223" s="1248" t="s">
        <v>132</v>
      </c>
      <c r="AI223" s="1248">
        <v>45519</v>
      </c>
      <c r="AJ223" s="1248">
        <v>45519</v>
      </c>
      <c r="AK223" s="1285">
        <f>119000+122967</f>
        <v>241967</v>
      </c>
      <c r="AL223" s="1264">
        <f t="shared" si="21"/>
        <v>0.96786799999999995</v>
      </c>
      <c r="AM223" s="1265" t="s">
        <v>62</v>
      </c>
      <c r="AN223" s="1261">
        <v>1</v>
      </c>
      <c r="AO223" s="1276"/>
      <c r="AP223" s="1277"/>
      <c r="AQ223" s="1276"/>
      <c r="AR223" s="1278"/>
      <c r="AS223" s="1278"/>
    </row>
    <row r="224" spans="1:45" ht="15.6">
      <c r="A224" s="1097" t="s">
        <v>53</v>
      </c>
      <c r="B224" s="1075" t="s">
        <v>122</v>
      </c>
      <c r="C224" s="851" t="s">
        <v>123</v>
      </c>
      <c r="D224" s="851" t="s">
        <v>124</v>
      </c>
      <c r="E224" s="1432" t="s">
        <v>100</v>
      </c>
      <c r="F224" s="856">
        <v>2024</v>
      </c>
      <c r="G224" s="1099">
        <v>45496</v>
      </c>
      <c r="H224" s="3">
        <v>200106981</v>
      </c>
      <c r="I224" s="1458" t="s">
        <v>504</v>
      </c>
      <c r="J224" s="856">
        <v>7</v>
      </c>
      <c r="K224" s="3" t="s">
        <v>128</v>
      </c>
      <c r="L224" s="804"/>
      <c r="M224" s="865">
        <v>463.4</v>
      </c>
      <c r="N224" s="804"/>
      <c r="O224" s="1205">
        <v>45505</v>
      </c>
      <c r="P224" s="1203"/>
      <c r="Q224" s="785" t="s">
        <v>505</v>
      </c>
      <c r="R224" s="1209"/>
      <c r="S224" s="856" t="s">
        <v>62</v>
      </c>
      <c r="T224" s="1212"/>
      <c r="U224" s="3" t="s">
        <v>130</v>
      </c>
      <c r="V224" s="848"/>
      <c r="W224" s="858">
        <v>330.1</v>
      </c>
      <c r="X224" s="1282"/>
      <c r="Y224" s="1205">
        <v>45505</v>
      </c>
      <c r="Z224" s="856" t="s">
        <v>62</v>
      </c>
      <c r="AA224" s="1225"/>
      <c r="AB224" s="1099">
        <v>45509</v>
      </c>
      <c r="AC224" s="1099">
        <v>45509</v>
      </c>
      <c r="AD224" s="1226">
        <f>558+215</f>
        <v>773</v>
      </c>
      <c r="AE224" s="1227">
        <f t="shared" si="20"/>
        <v>0.96625000000000005</v>
      </c>
      <c r="AF224" s="1283" t="s">
        <v>64</v>
      </c>
      <c r="AG224" s="1286">
        <v>1</v>
      </c>
      <c r="AH224" s="1248" t="s">
        <v>132</v>
      </c>
      <c r="AI224" s="1248">
        <v>45516</v>
      </c>
      <c r="AJ224" s="1248">
        <v>45517</v>
      </c>
      <c r="AK224" s="1285">
        <f>95600+136810+8946</f>
        <v>241356</v>
      </c>
      <c r="AL224" s="1264">
        <f t="shared" si="21"/>
        <v>0.96542399999999995</v>
      </c>
      <c r="AM224" s="1265" t="s">
        <v>62</v>
      </c>
      <c r="AN224" s="1261">
        <v>1</v>
      </c>
      <c r="AO224" s="1276"/>
      <c r="AP224" s="1277"/>
      <c r="AQ224" s="1276"/>
      <c r="AR224" s="1278"/>
      <c r="AS224" s="1278"/>
    </row>
    <row r="225" spans="1:51" ht="15.6">
      <c r="A225" s="1097" t="s">
        <v>53</v>
      </c>
      <c r="B225" s="1075" t="s">
        <v>122</v>
      </c>
      <c r="C225" s="851" t="s">
        <v>123</v>
      </c>
      <c r="D225" s="851" t="s">
        <v>124</v>
      </c>
      <c r="E225" s="1432" t="s">
        <v>100</v>
      </c>
      <c r="F225" s="856">
        <v>2024</v>
      </c>
      <c r="G225" s="1099">
        <v>45496</v>
      </c>
      <c r="H225" s="3">
        <v>200106982</v>
      </c>
      <c r="I225" s="1458" t="s">
        <v>506</v>
      </c>
      <c r="J225" s="856">
        <v>8</v>
      </c>
      <c r="K225" s="3" t="s">
        <v>128</v>
      </c>
      <c r="L225" s="804"/>
      <c r="M225" s="865">
        <v>463.6</v>
      </c>
      <c r="N225" s="804"/>
      <c r="O225" s="1205">
        <v>45505</v>
      </c>
      <c r="P225" s="1203"/>
      <c r="Q225" s="3" t="s">
        <v>507</v>
      </c>
      <c r="R225" s="1209"/>
      <c r="S225" s="856" t="s">
        <v>62</v>
      </c>
      <c r="T225" s="1212"/>
      <c r="U225" s="3" t="s">
        <v>130</v>
      </c>
      <c r="V225" s="848"/>
      <c r="W225" s="858">
        <v>329.8</v>
      </c>
      <c r="X225" s="1282"/>
      <c r="Y225" s="1205">
        <v>45505</v>
      </c>
      <c r="Z225" s="856" t="s">
        <v>62</v>
      </c>
      <c r="AA225" s="1225"/>
      <c r="AB225" s="1099">
        <v>45509</v>
      </c>
      <c r="AC225" s="1099">
        <v>45510</v>
      </c>
      <c r="AD225" s="1226">
        <f>462+311</f>
        <v>773</v>
      </c>
      <c r="AE225" s="1227">
        <f t="shared" si="20"/>
        <v>0.96625000000000005</v>
      </c>
      <c r="AF225" s="1283" t="s">
        <v>64</v>
      </c>
      <c r="AG225" s="1286">
        <v>1</v>
      </c>
      <c r="AH225" s="1248" t="s">
        <v>132</v>
      </c>
      <c r="AI225" s="1248">
        <v>45517</v>
      </c>
      <c r="AJ225" s="1248">
        <v>45517</v>
      </c>
      <c r="AK225" s="1285">
        <f>138000+103310</f>
        <v>241310</v>
      </c>
      <c r="AL225" s="1264">
        <f t="shared" si="21"/>
        <v>0.96523999999999999</v>
      </c>
      <c r="AM225" s="1265" t="s">
        <v>62</v>
      </c>
      <c r="AN225" s="1261">
        <v>1</v>
      </c>
      <c r="AO225" s="1276"/>
      <c r="AP225" s="1277"/>
      <c r="AQ225" s="1276"/>
      <c r="AR225" s="1278"/>
      <c r="AS225" s="1278"/>
    </row>
    <row r="226" spans="1:51" ht="15.6">
      <c r="A226" s="1097" t="s">
        <v>53</v>
      </c>
      <c r="B226" s="1075" t="s">
        <v>122</v>
      </c>
      <c r="C226" s="851" t="s">
        <v>123</v>
      </c>
      <c r="D226" s="851" t="s">
        <v>124</v>
      </c>
      <c r="E226" s="1432" t="s">
        <v>100</v>
      </c>
      <c r="F226" s="856">
        <v>2024</v>
      </c>
      <c r="G226" s="1099">
        <v>45496</v>
      </c>
      <c r="H226" s="3">
        <v>200106983</v>
      </c>
      <c r="I226" s="1458" t="s">
        <v>508</v>
      </c>
      <c r="J226" s="856">
        <v>9</v>
      </c>
      <c r="K226" s="3" t="s">
        <v>128</v>
      </c>
      <c r="L226" s="804"/>
      <c r="M226" s="858">
        <v>466.1</v>
      </c>
      <c r="N226" s="804"/>
      <c r="O226" s="1205">
        <v>45505</v>
      </c>
      <c r="P226" s="1203"/>
      <c r="Q226" s="3" t="s">
        <v>509</v>
      </c>
      <c r="R226" s="1209"/>
      <c r="S226" s="856" t="s">
        <v>62</v>
      </c>
      <c r="T226" s="1212"/>
      <c r="U226" s="3" t="s">
        <v>130</v>
      </c>
      <c r="V226" s="848"/>
      <c r="W226" s="865">
        <v>329.8</v>
      </c>
      <c r="X226" s="1282"/>
      <c r="Y226" s="1205">
        <v>45506</v>
      </c>
      <c r="Z226" s="856" t="s">
        <v>62</v>
      </c>
      <c r="AA226" s="1225"/>
      <c r="AB226" s="1099">
        <v>45510</v>
      </c>
      <c r="AC226" s="1099">
        <v>45510</v>
      </c>
      <c r="AD226" s="1226">
        <f>330+447</f>
        <v>777</v>
      </c>
      <c r="AE226" s="1227">
        <f t="shared" si="20"/>
        <v>0.97124999999999995</v>
      </c>
      <c r="AF226" s="1283" t="s">
        <v>64</v>
      </c>
      <c r="AG226" s="1286">
        <v>1</v>
      </c>
      <c r="AH226" s="1248" t="s">
        <v>132</v>
      </c>
      <c r="AI226" s="1248">
        <v>45517</v>
      </c>
      <c r="AJ226" s="1248">
        <v>45518</v>
      </c>
      <c r="AK226" s="1285">
        <f>41100+179000+21908</f>
        <v>242008</v>
      </c>
      <c r="AL226" s="1264">
        <f t="shared" si="21"/>
        <v>0.968032</v>
      </c>
      <c r="AM226" s="1265" t="s">
        <v>62</v>
      </c>
      <c r="AN226" s="1261">
        <v>1</v>
      </c>
      <c r="AO226" s="1276"/>
      <c r="AP226" s="1277"/>
      <c r="AQ226" s="1276"/>
      <c r="AR226" s="1278"/>
      <c r="AS226" s="1278"/>
    </row>
    <row r="227" spans="1:51" ht="15.6">
      <c r="A227" s="1097" t="s">
        <v>53</v>
      </c>
      <c r="B227" s="1075" t="s">
        <v>122</v>
      </c>
      <c r="C227" s="851" t="s">
        <v>123</v>
      </c>
      <c r="D227" s="851" t="s">
        <v>124</v>
      </c>
      <c r="E227" s="1432" t="s">
        <v>100</v>
      </c>
      <c r="F227" s="856">
        <v>2024</v>
      </c>
      <c r="G227" s="1099">
        <v>45496</v>
      </c>
      <c r="H227" s="3">
        <v>200106984</v>
      </c>
      <c r="I227" s="1458" t="s">
        <v>510</v>
      </c>
      <c r="J227" s="856">
        <v>10</v>
      </c>
      <c r="K227" s="3" t="s">
        <v>128</v>
      </c>
      <c r="L227" s="804"/>
      <c r="M227" s="858">
        <v>468.8</v>
      </c>
      <c r="N227" s="804"/>
      <c r="O227" s="1205">
        <v>45505</v>
      </c>
      <c r="P227" s="1203"/>
      <c r="Q227" s="3" t="s">
        <v>511</v>
      </c>
      <c r="R227" s="1209"/>
      <c r="S227" s="856" t="s">
        <v>62</v>
      </c>
      <c r="T227" s="1212"/>
      <c r="U227" s="3" t="s">
        <v>130</v>
      </c>
      <c r="V227" s="848"/>
      <c r="W227" s="858">
        <v>329.2</v>
      </c>
      <c r="X227" s="1282"/>
      <c r="Y227" s="1205">
        <v>45509</v>
      </c>
      <c r="Z227" s="856" t="s">
        <v>62</v>
      </c>
      <c r="AA227" s="1225"/>
      <c r="AB227" s="1099">
        <v>45510</v>
      </c>
      <c r="AC227" s="1099">
        <v>45511</v>
      </c>
      <c r="AD227" s="1226">
        <f>172+554+52</f>
        <v>778</v>
      </c>
      <c r="AE227" s="1227">
        <f t="shared" si="20"/>
        <v>0.97250000000000003</v>
      </c>
      <c r="AF227" s="1283" t="s">
        <v>64</v>
      </c>
      <c r="AG227" s="1286">
        <v>1</v>
      </c>
      <c r="AH227" s="1248" t="s">
        <v>132</v>
      </c>
      <c r="AI227" s="1248">
        <v>45518</v>
      </c>
      <c r="AJ227" s="1248">
        <v>45518</v>
      </c>
      <c r="AK227" s="1285">
        <f>103000+118331</f>
        <v>221331</v>
      </c>
      <c r="AL227" s="1264">
        <f t="shared" si="21"/>
        <v>0.885324</v>
      </c>
      <c r="AM227" s="1265" t="s">
        <v>62</v>
      </c>
      <c r="AN227" s="1261">
        <v>1</v>
      </c>
      <c r="AO227" s="1276"/>
      <c r="AP227" s="1277"/>
      <c r="AQ227" s="1276"/>
      <c r="AR227" s="1278"/>
      <c r="AS227" s="1278"/>
    </row>
    <row r="228" spans="1:51" ht="15.6">
      <c r="A228" s="1097" t="s">
        <v>53</v>
      </c>
      <c r="B228" s="1075" t="s">
        <v>122</v>
      </c>
      <c r="C228" s="851" t="s">
        <v>123</v>
      </c>
      <c r="D228" s="851" t="s">
        <v>124</v>
      </c>
      <c r="E228" s="1432" t="s">
        <v>100</v>
      </c>
      <c r="F228" s="856">
        <v>2024</v>
      </c>
      <c r="G228" s="1099">
        <v>45499</v>
      </c>
      <c r="H228" s="3">
        <v>200106886</v>
      </c>
      <c r="I228" s="1439" t="s">
        <v>512</v>
      </c>
      <c r="J228" s="856">
        <v>11</v>
      </c>
      <c r="K228" s="3" t="s">
        <v>128</v>
      </c>
      <c r="L228" s="804"/>
      <c r="M228" s="865">
        <v>464.4</v>
      </c>
      <c r="N228" s="804"/>
      <c r="O228" s="1205">
        <v>45509</v>
      </c>
      <c r="P228" s="1203"/>
      <c r="Q228" s="785" t="s">
        <v>513</v>
      </c>
      <c r="R228" s="1209"/>
      <c r="S228" s="856" t="s">
        <v>62</v>
      </c>
      <c r="T228" s="1212"/>
      <c r="U228" s="3" t="s">
        <v>130</v>
      </c>
      <c r="V228" s="848"/>
      <c r="W228" s="858">
        <v>329.6</v>
      </c>
      <c r="X228" s="1282"/>
      <c r="Y228" s="1205">
        <v>45509</v>
      </c>
      <c r="Z228" s="856" t="s">
        <v>62</v>
      </c>
      <c r="AA228" s="1225"/>
      <c r="AB228" s="1099">
        <v>45511</v>
      </c>
      <c r="AC228" s="1099">
        <v>45511</v>
      </c>
      <c r="AD228" s="1226">
        <f>280+494</f>
        <v>774</v>
      </c>
      <c r="AE228" s="1227">
        <f t="shared" si="20"/>
        <v>0.96750000000000003</v>
      </c>
      <c r="AF228" s="1283" t="s">
        <v>64</v>
      </c>
      <c r="AG228" s="1286">
        <v>1</v>
      </c>
      <c r="AH228" s="1248" t="s">
        <v>514</v>
      </c>
      <c r="AI228" s="1248">
        <v>45524</v>
      </c>
      <c r="AJ228" s="1248">
        <v>45525</v>
      </c>
      <c r="AK228" s="1285">
        <f>28670+70925+84113+57254</f>
        <v>240962</v>
      </c>
      <c r="AL228" s="1264">
        <f t="shared" si="21"/>
        <v>0.96384800000000004</v>
      </c>
      <c r="AM228" s="1265" t="s">
        <v>62</v>
      </c>
      <c r="AN228" s="1261">
        <v>1</v>
      </c>
      <c r="AO228" s="1276"/>
      <c r="AP228" s="1277"/>
      <c r="AQ228" s="1276"/>
      <c r="AR228" s="1278">
        <v>155</v>
      </c>
      <c r="AS228" s="1278">
        <v>133</v>
      </c>
      <c r="AT228" s="784">
        <v>25</v>
      </c>
      <c r="AU228" s="784">
        <v>0.36</v>
      </c>
      <c r="AV228" s="784">
        <v>51</v>
      </c>
      <c r="AW228" s="1184">
        <v>5.4</v>
      </c>
    </row>
    <row r="229" spans="1:51" ht="15.6">
      <c r="A229" s="1097" t="s">
        <v>53</v>
      </c>
      <c r="B229" s="1075" t="s">
        <v>122</v>
      </c>
      <c r="C229" s="851" t="s">
        <v>123</v>
      </c>
      <c r="D229" s="851" t="s">
        <v>124</v>
      </c>
      <c r="E229" s="1432" t="s">
        <v>100</v>
      </c>
      <c r="F229" s="856">
        <v>2024</v>
      </c>
      <c r="G229" s="1099">
        <v>45499</v>
      </c>
      <c r="H229" s="3">
        <v>200106887</v>
      </c>
      <c r="I229" s="1439" t="s">
        <v>515</v>
      </c>
      <c r="J229" s="856">
        <v>12</v>
      </c>
      <c r="K229" s="3" t="s">
        <v>128</v>
      </c>
      <c r="L229" s="804"/>
      <c r="M229" s="858">
        <v>468.6</v>
      </c>
      <c r="N229" s="804"/>
      <c r="O229" s="1205">
        <v>45509</v>
      </c>
      <c r="P229" s="1203"/>
      <c r="Q229" s="3" t="s">
        <v>516</v>
      </c>
      <c r="R229" s="1209"/>
      <c r="S229" s="856" t="s">
        <v>62</v>
      </c>
      <c r="T229" s="1212"/>
      <c r="U229" s="3" t="s">
        <v>130</v>
      </c>
      <c r="V229" s="848"/>
      <c r="W229" s="858">
        <v>329.7</v>
      </c>
      <c r="X229" s="1282"/>
      <c r="Y229" s="1205">
        <v>45510</v>
      </c>
      <c r="Z229" s="856" t="s">
        <v>62</v>
      </c>
      <c r="AA229" s="1225"/>
      <c r="AB229" s="1099">
        <v>45511</v>
      </c>
      <c r="AC229" s="1099">
        <v>45512</v>
      </c>
      <c r="AD229" s="1226">
        <f>40+700+38</f>
        <v>778</v>
      </c>
      <c r="AE229" s="1227">
        <f t="shared" si="20"/>
        <v>0.97250000000000003</v>
      </c>
      <c r="AF229" s="1283" t="s">
        <v>64</v>
      </c>
      <c r="AG229" s="1286">
        <v>1</v>
      </c>
      <c r="AH229" s="1301" t="s">
        <v>514</v>
      </c>
      <c r="AI229" s="1302">
        <v>45525</v>
      </c>
      <c r="AJ229" s="1302">
        <v>45527</v>
      </c>
      <c r="AK229" s="1303">
        <f>11950+67519+83569+71800+6794</f>
        <v>241632</v>
      </c>
      <c r="AL229" s="1264">
        <f t="shared" si="21"/>
        <v>0.96652800000000005</v>
      </c>
      <c r="AM229" s="1265" t="s">
        <v>62</v>
      </c>
      <c r="AN229" s="1261">
        <v>1</v>
      </c>
      <c r="AO229" s="1276"/>
      <c r="AP229" s="1277"/>
      <c r="AQ229" s="1276"/>
      <c r="AR229" s="1278">
        <v>155</v>
      </c>
      <c r="AS229" s="1278">
        <v>135</v>
      </c>
      <c r="AT229" s="784">
        <f>120+155+75+39</f>
        <v>389</v>
      </c>
      <c r="AU229" s="784">
        <v>2.5</v>
      </c>
      <c r="AV229" s="784">
        <v>17.5</v>
      </c>
      <c r="AW229" s="1184">
        <v>5.0999999999999996</v>
      </c>
      <c r="AX229" s="927">
        <v>0.36</v>
      </c>
      <c r="AY229" s="784">
        <v>296</v>
      </c>
    </row>
    <row r="230" spans="1:51" ht="15.6">
      <c r="A230" s="1097" t="s">
        <v>53</v>
      </c>
      <c r="B230" s="1075" t="s">
        <v>122</v>
      </c>
      <c r="C230" s="851" t="s">
        <v>123</v>
      </c>
      <c r="D230" s="851" t="s">
        <v>124</v>
      </c>
      <c r="E230" s="1432" t="s">
        <v>100</v>
      </c>
      <c r="F230" s="856">
        <v>2024</v>
      </c>
      <c r="G230" s="1099">
        <v>45499</v>
      </c>
      <c r="H230" s="3">
        <v>200106888</v>
      </c>
      <c r="I230" s="1439" t="s">
        <v>517</v>
      </c>
      <c r="J230" s="856">
        <v>13</v>
      </c>
      <c r="K230" s="3" t="s">
        <v>128</v>
      </c>
      <c r="L230" s="804"/>
      <c r="M230" s="858">
        <v>463.2</v>
      </c>
      <c r="N230" s="804"/>
      <c r="O230" s="1205">
        <v>45509</v>
      </c>
      <c r="P230" s="1203"/>
      <c r="Q230" s="3" t="s">
        <v>518</v>
      </c>
      <c r="R230" s="1209"/>
      <c r="S230" s="856" t="s">
        <v>62</v>
      </c>
      <c r="T230" s="1212"/>
      <c r="U230" s="3" t="s">
        <v>130</v>
      </c>
      <c r="V230" s="848"/>
      <c r="W230" s="858">
        <v>329.6</v>
      </c>
      <c r="X230" s="1282"/>
      <c r="Y230" s="1205">
        <v>45510</v>
      </c>
      <c r="Z230" s="856" t="s">
        <v>62</v>
      </c>
      <c r="AA230" s="1225"/>
      <c r="AB230" s="1099">
        <v>45512</v>
      </c>
      <c r="AC230" s="1099">
        <v>45512</v>
      </c>
      <c r="AD230" s="1226">
        <f>624+151</f>
        <v>775</v>
      </c>
      <c r="AE230" s="1227">
        <f t="shared" si="20"/>
        <v>0.96875</v>
      </c>
      <c r="AF230" s="1283" t="s">
        <v>64</v>
      </c>
      <c r="AG230" s="1286">
        <v>1</v>
      </c>
      <c r="AH230" s="1301" t="s">
        <v>514</v>
      </c>
      <c r="AI230" s="1302">
        <v>45527</v>
      </c>
      <c r="AJ230" s="1302">
        <v>45527</v>
      </c>
      <c r="AK230" s="1303">
        <f>61785+67240+64860+47760</f>
        <v>241645</v>
      </c>
      <c r="AL230" s="1264">
        <f t="shared" si="21"/>
        <v>0.96657999999999999</v>
      </c>
      <c r="AM230" s="1265" t="s">
        <v>62</v>
      </c>
      <c r="AN230" s="1261">
        <v>1</v>
      </c>
      <c r="AO230" s="1276"/>
      <c r="AP230" s="1277"/>
      <c r="AQ230" s="1276"/>
      <c r="AR230" s="1278">
        <v>155</v>
      </c>
      <c r="AS230" s="1278">
        <v>135</v>
      </c>
      <c r="AT230" s="784">
        <f>103+115+50+88</f>
        <v>356</v>
      </c>
      <c r="AU230" s="784">
        <v>1.22</v>
      </c>
      <c r="AV230" s="784">
        <v>51.2</v>
      </c>
      <c r="AW230" s="1184">
        <v>12</v>
      </c>
      <c r="AX230" s="927">
        <v>0.36</v>
      </c>
      <c r="AY230" s="784">
        <v>284</v>
      </c>
    </row>
    <row r="231" spans="1:51" ht="15.6">
      <c r="A231" s="1097" t="s">
        <v>53</v>
      </c>
      <c r="B231" s="1075" t="s">
        <v>122</v>
      </c>
      <c r="C231" s="851" t="s">
        <v>123</v>
      </c>
      <c r="D231" s="851" t="s">
        <v>124</v>
      </c>
      <c r="E231" s="1432" t="s">
        <v>100</v>
      </c>
      <c r="F231" s="856">
        <v>2024</v>
      </c>
      <c r="G231" s="1099">
        <v>45499</v>
      </c>
      <c r="H231" s="3">
        <v>200106889</v>
      </c>
      <c r="I231" s="1439" t="s">
        <v>519</v>
      </c>
      <c r="J231" s="856">
        <v>14</v>
      </c>
      <c r="K231" s="3" t="s">
        <v>128</v>
      </c>
      <c r="L231" s="804"/>
      <c r="M231" s="858">
        <v>463.4</v>
      </c>
      <c r="N231" s="804"/>
      <c r="O231" s="1205">
        <v>45511</v>
      </c>
      <c r="P231" s="1203"/>
      <c r="Q231" s="785" t="s">
        <v>520</v>
      </c>
      <c r="R231" s="1209"/>
      <c r="S231" s="856" t="s">
        <v>62</v>
      </c>
      <c r="T231" s="1212"/>
      <c r="U231" s="3" t="s">
        <v>130</v>
      </c>
      <c r="V231" s="848"/>
      <c r="W231" s="858">
        <v>329.8</v>
      </c>
      <c r="X231" s="1282"/>
      <c r="Y231" s="1205">
        <v>45510</v>
      </c>
      <c r="Z231" s="856" t="s">
        <v>62</v>
      </c>
      <c r="AA231" s="1225"/>
      <c r="AB231" s="1099">
        <v>45512</v>
      </c>
      <c r="AC231" s="1099">
        <v>45513</v>
      </c>
      <c r="AD231" s="1226">
        <f>66+543+168</f>
        <v>777</v>
      </c>
      <c r="AE231" s="1227">
        <f t="shared" si="20"/>
        <v>0.97124999999999995</v>
      </c>
      <c r="AF231" s="1283" t="s">
        <v>64</v>
      </c>
      <c r="AG231" s="1286">
        <v>1</v>
      </c>
      <c r="AH231" s="1301" t="s">
        <v>132</v>
      </c>
      <c r="AI231" s="1302">
        <v>45531</v>
      </c>
      <c r="AJ231" s="1302">
        <v>45532</v>
      </c>
      <c r="AK231" s="1303">
        <f>164500+77900</f>
        <v>242400</v>
      </c>
      <c r="AL231" s="1264">
        <f t="shared" si="21"/>
        <v>0.96960000000000002</v>
      </c>
      <c r="AM231" s="1265" t="s">
        <v>62</v>
      </c>
      <c r="AN231" s="1261">
        <v>1</v>
      </c>
      <c r="AO231" s="1276"/>
      <c r="AP231" s="1277"/>
      <c r="AQ231" s="1276"/>
      <c r="AR231" s="1278">
        <v>200</v>
      </c>
      <c r="AS231" s="1278">
        <v>115</v>
      </c>
      <c r="AT231" s="784">
        <f>10+99</f>
        <v>109</v>
      </c>
      <c r="AU231" s="784">
        <v>0.1</v>
      </c>
      <c r="AV231" s="784">
        <v>36</v>
      </c>
      <c r="AW231" s="1184">
        <v>1.8</v>
      </c>
      <c r="AX231" s="927">
        <v>0.3</v>
      </c>
      <c r="AY231" s="784">
        <v>152</v>
      </c>
    </row>
    <row r="232" spans="1:51" ht="15.6">
      <c r="A232" s="1097" t="s">
        <v>53</v>
      </c>
      <c r="B232" s="1075" t="s">
        <v>122</v>
      </c>
      <c r="C232" s="851" t="s">
        <v>123</v>
      </c>
      <c r="D232" s="851" t="s">
        <v>124</v>
      </c>
      <c r="E232" s="1432" t="s">
        <v>100</v>
      </c>
      <c r="F232" s="856">
        <v>2024</v>
      </c>
      <c r="G232" s="1099">
        <v>45499</v>
      </c>
      <c r="H232" s="3">
        <v>200106890</v>
      </c>
      <c r="I232" s="1439" t="s">
        <v>521</v>
      </c>
      <c r="J232" s="856">
        <v>15</v>
      </c>
      <c r="K232" s="3" t="s">
        <v>128</v>
      </c>
      <c r="L232" s="804"/>
      <c r="M232" s="858">
        <v>469</v>
      </c>
      <c r="N232" s="804"/>
      <c r="O232" s="1205">
        <v>45511</v>
      </c>
      <c r="P232" s="1203"/>
      <c r="Q232" s="3" t="s">
        <v>522</v>
      </c>
      <c r="R232" s="1209"/>
      <c r="S232" s="856" t="s">
        <v>62</v>
      </c>
      <c r="T232" s="1212"/>
      <c r="U232" s="3" t="s">
        <v>130</v>
      </c>
      <c r="V232" s="848"/>
      <c r="W232" s="858">
        <v>329.4</v>
      </c>
      <c r="X232" s="1282"/>
      <c r="Y232" s="1205">
        <v>45511</v>
      </c>
      <c r="Z232" s="856" t="s">
        <v>62</v>
      </c>
      <c r="AA232" s="1225"/>
      <c r="AB232" s="1099">
        <v>45512</v>
      </c>
      <c r="AC232" s="1099">
        <v>45512</v>
      </c>
      <c r="AD232" s="1226">
        <f>224+557</f>
        <v>781</v>
      </c>
      <c r="AE232" s="1227">
        <f t="shared" si="20"/>
        <v>0.97624999999999995</v>
      </c>
      <c r="AF232" s="1283" t="s">
        <v>64</v>
      </c>
      <c r="AG232" s="1286">
        <v>1</v>
      </c>
      <c r="AH232" s="1076"/>
      <c r="AI232" s="1248"/>
      <c r="AJ232" s="1248"/>
      <c r="AK232" s="1285"/>
      <c r="AL232" s="1264">
        <f t="shared" si="21"/>
        <v>0</v>
      </c>
      <c r="AM232" s="1269" t="s">
        <v>523</v>
      </c>
      <c r="AN232" s="1261">
        <f>AL232/1</f>
        <v>0</v>
      </c>
      <c r="AO232" s="1276"/>
      <c r="AP232" s="1277"/>
      <c r="AQ232" s="1276"/>
      <c r="AR232" s="1278"/>
      <c r="AS232" s="1278"/>
    </row>
    <row r="233" spans="1:51" ht="15.6">
      <c r="A233" s="1097" t="s">
        <v>53</v>
      </c>
      <c r="B233" s="1075" t="s">
        <v>122</v>
      </c>
      <c r="C233" s="851" t="s">
        <v>123</v>
      </c>
      <c r="D233" s="851" t="s">
        <v>124</v>
      </c>
      <c r="E233" s="1432" t="s">
        <v>100</v>
      </c>
      <c r="F233" s="856">
        <v>2024</v>
      </c>
      <c r="G233" s="1099">
        <v>45503</v>
      </c>
      <c r="H233" s="3">
        <v>200107042</v>
      </c>
      <c r="I233" s="1441" t="s">
        <v>524</v>
      </c>
      <c r="J233" s="856">
        <v>16</v>
      </c>
      <c r="K233" s="3" t="s">
        <v>128</v>
      </c>
      <c r="L233" s="804"/>
      <c r="M233" s="858">
        <v>471.6</v>
      </c>
      <c r="N233" s="804"/>
      <c r="O233" s="1205">
        <v>45511</v>
      </c>
      <c r="P233" s="1203"/>
      <c r="Q233" s="3" t="s">
        <v>525</v>
      </c>
      <c r="R233" s="1209"/>
      <c r="S233" s="856" t="s">
        <v>62</v>
      </c>
      <c r="T233" s="1212"/>
      <c r="U233" s="3" t="s">
        <v>130</v>
      </c>
      <c r="V233" s="848"/>
      <c r="W233" s="858">
        <v>329.5</v>
      </c>
      <c r="X233" s="1282"/>
      <c r="Y233" s="1205">
        <v>45511</v>
      </c>
      <c r="Z233" s="856" t="s">
        <v>62</v>
      </c>
      <c r="AA233" s="1225"/>
      <c r="AB233" s="1099">
        <v>45513</v>
      </c>
      <c r="AC233" s="1099">
        <v>45513</v>
      </c>
      <c r="AD233" s="1226">
        <f>356+433</f>
        <v>789</v>
      </c>
      <c r="AE233" s="1227">
        <f t="shared" si="20"/>
        <v>0.98624999999999996</v>
      </c>
      <c r="AF233" s="1295" t="s">
        <v>64</v>
      </c>
      <c r="AG233" s="1286">
        <v>1</v>
      </c>
      <c r="AH233" s="1301" t="s">
        <v>132</v>
      </c>
      <c r="AI233" s="1302">
        <v>45532</v>
      </c>
      <c r="AJ233" s="1302">
        <v>45532</v>
      </c>
      <c r="AK233" s="1303">
        <f>73200+155000+18176</f>
        <v>246376</v>
      </c>
      <c r="AL233" s="1264">
        <f t="shared" si="21"/>
        <v>0.98550400000000005</v>
      </c>
      <c r="AM233" s="1265" t="s">
        <v>62</v>
      </c>
      <c r="AN233" s="1261">
        <v>1</v>
      </c>
      <c r="AO233" s="1276"/>
      <c r="AP233" s="1277"/>
      <c r="AQ233" s="1276"/>
      <c r="AR233" s="1278">
        <v>200</v>
      </c>
      <c r="AS233" s="1278">
        <v>115</v>
      </c>
      <c r="AT233" s="784">
        <f>65+63</f>
        <v>128</v>
      </c>
      <c r="AU233" s="784">
        <v>0.08</v>
      </c>
      <c r="AV233" s="784">
        <v>37.9</v>
      </c>
      <c r="AW233" s="1184">
        <v>1.7</v>
      </c>
      <c r="AX233" s="927">
        <v>0.54</v>
      </c>
    </row>
    <row r="234" spans="1:51" ht="15.6">
      <c r="A234" s="1097" t="s">
        <v>53</v>
      </c>
      <c r="B234" s="1075" t="s">
        <v>122</v>
      </c>
      <c r="C234" s="851" t="s">
        <v>123</v>
      </c>
      <c r="D234" s="851" t="s">
        <v>124</v>
      </c>
      <c r="E234" s="1432" t="s">
        <v>100</v>
      </c>
      <c r="F234" s="856">
        <v>2024</v>
      </c>
      <c r="G234" s="1099">
        <v>45503</v>
      </c>
      <c r="H234" s="3">
        <v>200107043</v>
      </c>
      <c r="I234" s="1441" t="s">
        <v>526</v>
      </c>
      <c r="J234" s="856">
        <v>17</v>
      </c>
      <c r="K234" s="3" t="s">
        <v>128</v>
      </c>
      <c r="L234" s="804"/>
      <c r="M234" s="858">
        <v>468.7</v>
      </c>
      <c r="N234" s="804"/>
      <c r="O234" s="1205">
        <v>45511</v>
      </c>
      <c r="P234" s="1203"/>
      <c r="Q234" s="3" t="s">
        <v>527</v>
      </c>
      <c r="R234" s="1209"/>
      <c r="S234" s="856" t="s">
        <v>62</v>
      </c>
      <c r="T234" s="1212"/>
      <c r="U234" s="3" t="s">
        <v>130</v>
      </c>
      <c r="V234" s="848"/>
      <c r="W234" s="858">
        <v>330.1</v>
      </c>
      <c r="X234" s="1282"/>
      <c r="Y234" s="1205">
        <v>45511</v>
      </c>
      <c r="Z234" s="856" t="s">
        <v>62</v>
      </c>
      <c r="AA234" s="1225"/>
      <c r="AB234" s="1099"/>
      <c r="AC234" s="1099"/>
      <c r="AD234" s="1226"/>
      <c r="AE234" s="1227">
        <f t="shared" si="20"/>
        <v>0</v>
      </c>
      <c r="AF234" s="1296" t="s">
        <v>528</v>
      </c>
      <c r="AG234" s="1286">
        <v>0</v>
      </c>
      <c r="AH234" s="1076"/>
      <c r="AI234" s="1248"/>
      <c r="AJ234" s="1248"/>
      <c r="AK234" s="1285"/>
      <c r="AL234" s="1264">
        <f t="shared" si="21"/>
        <v>0</v>
      </c>
      <c r="AM234" s="1269"/>
      <c r="AN234" s="1261"/>
      <c r="AO234" s="1276"/>
      <c r="AP234" s="1277"/>
      <c r="AQ234" s="1276"/>
      <c r="AR234" s="1278"/>
      <c r="AS234" s="1278"/>
    </row>
    <row r="235" spans="1:51" ht="15.6">
      <c r="A235" s="1097" t="s">
        <v>53</v>
      </c>
      <c r="B235" s="1075" t="s">
        <v>122</v>
      </c>
      <c r="C235" s="851" t="s">
        <v>123</v>
      </c>
      <c r="D235" s="851" t="s">
        <v>124</v>
      </c>
      <c r="E235" s="1432" t="s">
        <v>100</v>
      </c>
      <c r="F235" s="856">
        <v>2024</v>
      </c>
      <c r="G235" s="1099">
        <v>45503</v>
      </c>
      <c r="H235" s="3">
        <v>200107044</v>
      </c>
      <c r="I235" s="1441" t="s">
        <v>529</v>
      </c>
      <c r="J235" s="856">
        <v>18</v>
      </c>
      <c r="K235" s="3" t="s">
        <v>128</v>
      </c>
      <c r="L235" s="804"/>
      <c r="M235" s="858">
        <v>464.3</v>
      </c>
      <c r="N235" s="804"/>
      <c r="O235" s="1205">
        <v>45518</v>
      </c>
      <c r="P235" s="1203"/>
      <c r="Q235" s="3" t="s">
        <v>530</v>
      </c>
      <c r="R235" s="1209"/>
      <c r="S235" s="856" t="s">
        <v>62</v>
      </c>
      <c r="T235" s="1212"/>
      <c r="U235" s="3" t="s">
        <v>130</v>
      </c>
      <c r="V235" s="848"/>
      <c r="W235" s="858">
        <v>329.7</v>
      </c>
      <c r="X235" s="1282"/>
      <c r="Y235" s="1205">
        <v>45518</v>
      </c>
      <c r="Z235" s="856" t="s">
        <v>62</v>
      </c>
      <c r="AA235" s="1225"/>
      <c r="AB235" s="1099">
        <v>45525</v>
      </c>
      <c r="AC235" s="1099">
        <v>45526</v>
      </c>
      <c r="AD235" s="1226">
        <f>640+141</f>
        <v>781</v>
      </c>
      <c r="AE235" s="1227">
        <f t="shared" si="20"/>
        <v>0.97624999999999995</v>
      </c>
      <c r="AF235" s="1295" t="s">
        <v>64</v>
      </c>
      <c r="AG235" s="1286">
        <v>1</v>
      </c>
      <c r="AH235" s="1301" t="s">
        <v>162</v>
      </c>
      <c r="AI235" s="1302">
        <v>45531</v>
      </c>
      <c r="AJ235" s="1302">
        <v>45532</v>
      </c>
      <c r="AK235" s="1303">
        <f>44000+101160+97537</f>
        <v>242697</v>
      </c>
      <c r="AL235" s="1264">
        <f t="shared" si="21"/>
        <v>0.97078799999999998</v>
      </c>
      <c r="AM235" s="1265" t="s">
        <v>62</v>
      </c>
      <c r="AN235" s="1261">
        <v>1</v>
      </c>
      <c r="AO235" s="1276"/>
      <c r="AP235" s="1277"/>
      <c r="AQ235" s="1276"/>
      <c r="AR235" s="1278">
        <v>160</v>
      </c>
      <c r="AS235" s="1278">
        <v>138</v>
      </c>
      <c r="AT235" s="784">
        <f>150+100</f>
        <v>250</v>
      </c>
      <c r="AU235" s="784">
        <v>1.56</v>
      </c>
      <c r="AV235" s="784">
        <v>50.5</v>
      </c>
      <c r="AW235" s="1184">
        <v>12.9</v>
      </c>
      <c r="AX235" s="927">
        <v>0.16</v>
      </c>
      <c r="AY235" s="784">
        <v>236</v>
      </c>
    </row>
    <row r="236" spans="1:51" ht="15.6">
      <c r="A236" s="1097" t="s">
        <v>53</v>
      </c>
      <c r="B236" s="1075" t="s">
        <v>122</v>
      </c>
      <c r="C236" s="851" t="s">
        <v>123</v>
      </c>
      <c r="D236" s="851" t="s">
        <v>124</v>
      </c>
      <c r="E236" s="1432" t="s">
        <v>100</v>
      </c>
      <c r="F236" s="856">
        <v>2024</v>
      </c>
      <c r="G236" s="1099">
        <v>45503</v>
      </c>
      <c r="H236" s="3">
        <v>200107045</v>
      </c>
      <c r="I236" s="1441" t="s">
        <v>531</v>
      </c>
      <c r="J236" s="856">
        <v>19</v>
      </c>
      <c r="K236" s="3" t="s">
        <v>128</v>
      </c>
      <c r="L236" s="804"/>
      <c r="M236" s="865">
        <v>462.6</v>
      </c>
      <c r="N236" s="804"/>
      <c r="O236" s="1205">
        <v>45520</v>
      </c>
      <c r="P236" s="1203"/>
      <c r="Q236" s="3" t="s">
        <v>532</v>
      </c>
      <c r="R236" s="1209"/>
      <c r="S236" s="856" t="s">
        <v>62</v>
      </c>
      <c r="T236" s="1212"/>
      <c r="U236" s="3" t="s">
        <v>130</v>
      </c>
      <c r="V236" s="848"/>
      <c r="W236" s="858">
        <v>330</v>
      </c>
      <c r="X236" s="1282"/>
      <c r="Y236" s="1205">
        <v>45519</v>
      </c>
      <c r="Z236" s="856" t="s">
        <v>62</v>
      </c>
      <c r="AA236" s="1225"/>
      <c r="AB236" s="1099">
        <v>45523</v>
      </c>
      <c r="AC236" s="1099">
        <v>45524</v>
      </c>
      <c r="AD236" s="1226">
        <f>50+640+90</f>
        <v>780</v>
      </c>
      <c r="AE236" s="1227">
        <f t="shared" si="20"/>
        <v>0.97499999999999998</v>
      </c>
      <c r="AF236" s="1283" t="s">
        <v>64</v>
      </c>
      <c r="AG236" s="1286">
        <v>1</v>
      </c>
      <c r="AH236" s="1301" t="s">
        <v>514</v>
      </c>
      <c r="AI236" s="1302">
        <v>45528</v>
      </c>
      <c r="AJ236" s="1302"/>
      <c r="AK236" s="1303">
        <f>15475+50480+83015+41960</f>
        <v>190930</v>
      </c>
      <c r="AL236" s="1264">
        <f t="shared" si="21"/>
        <v>0.76371999999999995</v>
      </c>
      <c r="AM236" s="1304" t="s">
        <v>533</v>
      </c>
      <c r="AN236" s="1305">
        <f>AL236/1</f>
        <v>0.76371999999999995</v>
      </c>
      <c r="AO236" s="1276"/>
      <c r="AP236" s="1277"/>
      <c r="AQ236" s="1276"/>
      <c r="AR236" s="1278">
        <v>155</v>
      </c>
      <c r="AS236" s="1278">
        <v>138</v>
      </c>
      <c r="AT236" s="784">
        <v>25</v>
      </c>
      <c r="AV236" s="784">
        <v>23.6</v>
      </c>
      <c r="AW236" s="1184">
        <v>10.199999999999999</v>
      </c>
    </row>
    <row r="237" spans="1:51" ht="15.6">
      <c r="A237" s="1097" t="s">
        <v>53</v>
      </c>
      <c r="B237" s="1075" t="s">
        <v>122</v>
      </c>
      <c r="C237" s="851" t="s">
        <v>123</v>
      </c>
      <c r="D237" s="851" t="s">
        <v>124</v>
      </c>
      <c r="E237" s="1432" t="s">
        <v>100</v>
      </c>
      <c r="F237" s="856">
        <v>2024</v>
      </c>
      <c r="G237" s="1099">
        <v>45503</v>
      </c>
      <c r="H237" s="3">
        <v>200107046</v>
      </c>
      <c r="I237" s="1441" t="s">
        <v>534</v>
      </c>
      <c r="J237" s="856">
        <v>20</v>
      </c>
      <c r="K237" s="3" t="s">
        <v>128</v>
      </c>
      <c r="L237" s="804"/>
      <c r="M237" s="858">
        <v>464.7</v>
      </c>
      <c r="N237" s="804"/>
      <c r="O237" s="1205">
        <v>45520</v>
      </c>
      <c r="P237" s="1203"/>
      <c r="Q237" s="3" t="s">
        <v>535</v>
      </c>
      <c r="R237" s="1209"/>
      <c r="S237" s="856" t="s">
        <v>62</v>
      </c>
      <c r="T237" s="1212"/>
      <c r="U237" s="3" t="s">
        <v>130</v>
      </c>
      <c r="V237" s="848"/>
      <c r="W237" s="858">
        <v>330.1</v>
      </c>
      <c r="X237" s="1282"/>
      <c r="Y237" s="1205">
        <v>45519</v>
      </c>
      <c r="Z237" s="856" t="s">
        <v>62</v>
      </c>
      <c r="AA237" s="1225"/>
      <c r="AB237" s="1099">
        <v>45524</v>
      </c>
      <c r="AC237" s="1099">
        <v>45524</v>
      </c>
      <c r="AD237" s="1226">
        <f>396+383</f>
        <v>779</v>
      </c>
      <c r="AE237" s="1227">
        <f t="shared" si="20"/>
        <v>0.97375</v>
      </c>
      <c r="AF237" s="1283" t="s">
        <v>64</v>
      </c>
      <c r="AG237" s="1286">
        <v>1</v>
      </c>
      <c r="AH237" s="1301" t="s">
        <v>132</v>
      </c>
      <c r="AI237" s="1302">
        <v>45527</v>
      </c>
      <c r="AJ237" s="1302">
        <v>45530</v>
      </c>
      <c r="AK237" s="1303">
        <f>153800+88080</f>
        <v>241880</v>
      </c>
      <c r="AL237" s="1264">
        <f t="shared" si="21"/>
        <v>0.96752000000000005</v>
      </c>
      <c r="AM237" s="1265" t="s">
        <v>62</v>
      </c>
      <c r="AN237" s="1261">
        <v>1</v>
      </c>
      <c r="AO237" s="1276"/>
      <c r="AP237" s="1277"/>
      <c r="AQ237" s="1276"/>
      <c r="AR237" s="1278">
        <v>200</v>
      </c>
      <c r="AS237" s="1278">
        <v>115</v>
      </c>
      <c r="AT237" s="784">
        <v>155</v>
      </c>
      <c r="AU237" s="784">
        <v>0.74</v>
      </c>
      <c r="AV237" s="784">
        <v>36</v>
      </c>
      <c r="AW237" s="1184">
        <v>5.8</v>
      </c>
      <c r="AX237" s="927">
        <v>0.26</v>
      </c>
      <c r="AY237" s="784">
        <v>152</v>
      </c>
    </row>
    <row r="238" spans="1:51" ht="15.6">
      <c r="A238" s="1097" t="s">
        <v>53</v>
      </c>
      <c r="B238" s="1075" t="s">
        <v>122</v>
      </c>
      <c r="C238" s="851" t="s">
        <v>123</v>
      </c>
      <c r="D238" s="851" t="s">
        <v>124</v>
      </c>
      <c r="E238" s="1432" t="s">
        <v>100</v>
      </c>
      <c r="F238" s="856">
        <v>2024</v>
      </c>
      <c r="G238" s="1099">
        <v>45503</v>
      </c>
      <c r="H238" s="3">
        <v>200107047</v>
      </c>
      <c r="I238" s="1441" t="s">
        <v>536</v>
      </c>
      <c r="J238" s="856">
        <v>21</v>
      </c>
      <c r="K238" s="3" t="s">
        <v>128</v>
      </c>
      <c r="L238" s="804"/>
      <c r="M238" s="858">
        <v>471.1</v>
      </c>
      <c r="N238" s="804"/>
      <c r="O238" s="1205">
        <v>45520</v>
      </c>
      <c r="P238" s="1203"/>
      <c r="Q238" s="3" t="s">
        <v>537</v>
      </c>
      <c r="R238" s="1209"/>
      <c r="S238" s="856" t="s">
        <v>62</v>
      </c>
      <c r="T238" s="1212"/>
      <c r="U238" s="3" t="s">
        <v>130</v>
      </c>
      <c r="V238" s="848"/>
      <c r="W238" s="858">
        <v>329.9</v>
      </c>
      <c r="X238" s="1282"/>
      <c r="Y238" s="1205">
        <v>45521</v>
      </c>
      <c r="Z238" s="856" t="s">
        <v>62</v>
      </c>
      <c r="AA238" s="1225"/>
      <c r="AB238" s="1099">
        <v>45524</v>
      </c>
      <c r="AC238" s="1099">
        <v>45525</v>
      </c>
      <c r="AD238" s="1226">
        <f>248+537</f>
        <v>785</v>
      </c>
      <c r="AE238" s="1227">
        <f t="shared" si="20"/>
        <v>0.98124999999999996</v>
      </c>
      <c r="AF238" s="1283" t="s">
        <v>64</v>
      </c>
      <c r="AG238" s="1286">
        <v>1</v>
      </c>
      <c r="AH238" s="1301" t="s">
        <v>162</v>
      </c>
      <c r="AI238" s="1302">
        <v>45530</v>
      </c>
      <c r="AJ238" s="1302">
        <v>45531</v>
      </c>
      <c r="AK238" s="1303">
        <f>4214+74480+111000+54370</f>
        <v>244064</v>
      </c>
      <c r="AL238" s="1264">
        <f t="shared" si="21"/>
        <v>0.97625600000000001</v>
      </c>
      <c r="AM238" s="1265" t="s">
        <v>62</v>
      </c>
      <c r="AN238" s="1261">
        <v>1</v>
      </c>
      <c r="AO238" s="1276"/>
      <c r="AP238" s="1277"/>
      <c r="AQ238" s="1276"/>
      <c r="AR238" s="1278">
        <v>160</v>
      </c>
      <c r="AS238" s="1278">
        <v>138</v>
      </c>
      <c r="AT238" s="784">
        <f>500+50+300</f>
        <v>850</v>
      </c>
      <c r="AU238" s="784">
        <v>2.14</v>
      </c>
      <c r="AV238" s="784">
        <v>56.3</v>
      </c>
      <c r="AW238" s="1184">
        <v>42.9</v>
      </c>
      <c r="AX238" s="927">
        <v>0.18</v>
      </c>
      <c r="AY238" s="784">
        <v>248</v>
      </c>
    </row>
    <row r="239" spans="1:51" ht="15.6">
      <c r="A239" s="1097" t="s">
        <v>53</v>
      </c>
      <c r="B239" s="1075" t="s">
        <v>122</v>
      </c>
      <c r="C239" s="851" t="s">
        <v>123</v>
      </c>
      <c r="D239" s="851" t="s">
        <v>124</v>
      </c>
      <c r="E239" s="1432" t="s">
        <v>100</v>
      </c>
      <c r="F239" s="856">
        <v>2024</v>
      </c>
      <c r="G239" s="1099">
        <v>45503</v>
      </c>
      <c r="H239" s="3">
        <v>200107048</v>
      </c>
      <c r="I239" s="1441" t="s">
        <v>538</v>
      </c>
      <c r="J239" s="856">
        <v>22</v>
      </c>
      <c r="K239" s="3" t="s">
        <v>128</v>
      </c>
      <c r="L239" s="804"/>
      <c r="M239" s="858">
        <f>154.4+156.7+157</f>
        <v>468.1</v>
      </c>
      <c r="N239" s="804"/>
      <c r="O239" s="1205">
        <v>45520</v>
      </c>
      <c r="P239" s="1203"/>
      <c r="Q239" s="3" t="s">
        <v>537</v>
      </c>
      <c r="R239" s="1209"/>
      <c r="S239" s="856" t="s">
        <v>62</v>
      </c>
      <c r="T239" s="1212"/>
      <c r="U239" s="3" t="s">
        <v>130</v>
      </c>
      <c r="V239" s="848"/>
      <c r="W239" s="865">
        <v>330.2</v>
      </c>
      <c r="X239" s="1282"/>
      <c r="Y239" s="1205">
        <v>45524</v>
      </c>
      <c r="Z239" s="856" t="s">
        <v>62</v>
      </c>
      <c r="AA239" s="1225"/>
      <c r="AB239" s="1099">
        <v>45526</v>
      </c>
      <c r="AC239" s="1099">
        <v>45527</v>
      </c>
      <c r="AD239" s="1226">
        <f>330+455</f>
        <v>785</v>
      </c>
      <c r="AE239" s="1227">
        <f t="shared" si="20"/>
        <v>0.98124999999999996</v>
      </c>
      <c r="AF239" s="1283" t="s">
        <v>64</v>
      </c>
      <c r="AG239" s="1286">
        <v>1</v>
      </c>
      <c r="AH239" s="1301" t="s">
        <v>132</v>
      </c>
      <c r="AI239" s="1302">
        <v>45531</v>
      </c>
      <c r="AJ239" s="1302">
        <v>45531</v>
      </c>
      <c r="AK239" s="1303">
        <f>86000+158901</f>
        <v>244901</v>
      </c>
      <c r="AL239" s="1264">
        <f t="shared" si="21"/>
        <v>0.97960400000000003</v>
      </c>
      <c r="AM239" s="1265" t="s">
        <v>62</v>
      </c>
      <c r="AN239" s="1261">
        <v>1</v>
      </c>
      <c r="AO239" s="1276"/>
      <c r="AP239" s="1277"/>
      <c r="AQ239" s="1276"/>
      <c r="AR239" s="1278">
        <v>200</v>
      </c>
      <c r="AS239" s="1278">
        <v>115</v>
      </c>
      <c r="AT239" s="784">
        <v>98</v>
      </c>
      <c r="AU239" s="784">
        <v>0.12</v>
      </c>
      <c r="AV239" s="784">
        <f>13+24.5</f>
        <v>37.5</v>
      </c>
      <c r="AW239" s="1184">
        <v>5.4</v>
      </c>
      <c r="AX239" s="927">
        <v>0.2</v>
      </c>
      <c r="AY239" s="784">
        <v>144</v>
      </c>
    </row>
    <row r="240" spans="1:51" ht="15.6">
      <c r="A240" s="1097" t="s">
        <v>53</v>
      </c>
      <c r="B240" s="1075" t="s">
        <v>122</v>
      </c>
      <c r="C240" s="851" t="s">
        <v>123</v>
      </c>
      <c r="D240" s="851" t="s">
        <v>124</v>
      </c>
      <c r="E240" s="1432" t="s">
        <v>100</v>
      </c>
      <c r="F240" s="856">
        <v>2024</v>
      </c>
      <c r="G240" s="1099">
        <v>45503</v>
      </c>
      <c r="H240" s="3">
        <v>200107049</v>
      </c>
      <c r="I240" s="1441" t="s">
        <v>539</v>
      </c>
      <c r="J240" s="856">
        <v>23</v>
      </c>
      <c r="K240" s="3" t="s">
        <v>128</v>
      </c>
      <c r="L240" s="804"/>
      <c r="M240" s="858">
        <v>461.8</v>
      </c>
      <c r="N240" s="804"/>
      <c r="O240" s="1205">
        <v>45525</v>
      </c>
      <c r="P240" s="1203"/>
      <c r="Q240" s="785" t="s">
        <v>540</v>
      </c>
      <c r="R240" s="1209"/>
      <c r="S240" s="856" t="s">
        <v>62</v>
      </c>
      <c r="T240" s="1212"/>
      <c r="U240" s="3" t="s">
        <v>130</v>
      </c>
      <c r="V240" s="848"/>
      <c r="W240" s="865">
        <v>329.7</v>
      </c>
      <c r="X240" s="1282"/>
      <c r="Y240" s="1205">
        <v>45524</v>
      </c>
      <c r="Z240" s="856" t="s">
        <v>62</v>
      </c>
      <c r="AA240" s="1225"/>
      <c r="AB240" s="1099">
        <v>45527</v>
      </c>
      <c r="AC240" s="1099">
        <v>45527</v>
      </c>
      <c r="AD240" s="1176">
        <f>726+54</f>
        <v>780</v>
      </c>
      <c r="AE240" s="1227">
        <f t="shared" si="20"/>
        <v>0.97499999999999998</v>
      </c>
      <c r="AF240" s="1283" t="s">
        <v>64</v>
      </c>
      <c r="AG240" s="1286">
        <v>1</v>
      </c>
      <c r="AH240" s="1301" t="s">
        <v>132</v>
      </c>
      <c r="AI240" s="1302">
        <v>45530</v>
      </c>
      <c r="AJ240" s="1302">
        <v>45531</v>
      </c>
      <c r="AK240" s="1303">
        <f>29000+155300+58442</f>
        <v>242742</v>
      </c>
      <c r="AL240" s="1264">
        <f t="shared" si="21"/>
        <v>0.97096800000000005</v>
      </c>
      <c r="AM240" s="1265" t="s">
        <v>62</v>
      </c>
      <c r="AN240" s="1261">
        <v>1</v>
      </c>
      <c r="AO240" s="1276"/>
      <c r="AP240" s="1277"/>
      <c r="AQ240" s="1276"/>
      <c r="AR240" s="1278">
        <v>200</v>
      </c>
      <c r="AS240" s="1278">
        <v>115</v>
      </c>
      <c r="AT240" s="784">
        <v>100</v>
      </c>
      <c r="AU240" s="784">
        <v>0.1</v>
      </c>
      <c r="AV240" s="784">
        <v>36.6</v>
      </c>
      <c r="AW240" s="1184">
        <f>0.6+0.7+0.5</f>
        <v>1.7999999999999998</v>
      </c>
      <c r="AX240" s="927">
        <v>0.5</v>
      </c>
      <c r="AY240" s="784">
        <v>152</v>
      </c>
    </row>
    <row r="241" spans="1:50" ht="15.6">
      <c r="A241" s="1097" t="s">
        <v>53</v>
      </c>
      <c r="B241" s="1075"/>
      <c r="C241" s="851"/>
      <c r="D241" s="851"/>
      <c r="E241" s="856"/>
      <c r="F241" s="856"/>
      <c r="G241" s="1099"/>
      <c r="H241" s="3"/>
      <c r="I241" s="3"/>
      <c r="J241" s="856"/>
      <c r="K241" s="851"/>
      <c r="L241" s="851"/>
      <c r="M241" s="851"/>
      <c r="N241" s="851"/>
      <c r="O241" s="1205"/>
      <c r="P241" s="1205"/>
      <c r="Q241" s="851"/>
      <c r="R241" s="1209"/>
      <c r="S241" s="851"/>
      <c r="T241" s="856"/>
      <c r="U241" s="851"/>
      <c r="V241" s="851"/>
      <c r="W241" s="851"/>
      <c r="X241" s="1179"/>
      <c r="Y241" s="1205"/>
      <c r="Z241" s="851"/>
      <c r="AA241" s="1232"/>
      <c r="AB241" s="1099"/>
      <c r="AC241" s="1099"/>
      <c r="AD241" s="1176"/>
      <c r="AE241" s="1227"/>
      <c r="AF241" s="1283"/>
      <c r="AG241" s="1286"/>
      <c r="AH241" s="1301"/>
      <c r="AI241" s="1302"/>
      <c r="AJ241" s="1302"/>
      <c r="AK241" s="1303"/>
      <c r="AL241" s="1264"/>
      <c r="AM241" s="1269"/>
      <c r="AN241" s="1261"/>
      <c r="AO241" s="1276"/>
      <c r="AP241" s="1277"/>
      <c r="AQ241" s="1276"/>
      <c r="AR241" s="1278"/>
      <c r="AS241" s="1278"/>
    </row>
    <row r="242" spans="1:50" ht="15.6">
      <c r="A242" s="1097" t="s">
        <v>53</v>
      </c>
      <c r="B242" s="1075" t="s">
        <v>122</v>
      </c>
      <c r="C242" s="851" t="s">
        <v>123</v>
      </c>
      <c r="D242" s="851" t="s">
        <v>124</v>
      </c>
      <c r="E242" s="1432" t="s">
        <v>541</v>
      </c>
      <c r="F242" s="856">
        <v>2024</v>
      </c>
      <c r="G242" s="3" t="s">
        <v>542</v>
      </c>
      <c r="H242" s="3">
        <v>200107174</v>
      </c>
      <c r="I242" s="1438" t="s">
        <v>543</v>
      </c>
      <c r="J242" s="856">
        <v>1</v>
      </c>
      <c r="K242" s="3" t="s">
        <v>128</v>
      </c>
      <c r="L242" s="804"/>
      <c r="M242" s="858">
        <v>463.9</v>
      </c>
      <c r="N242" s="804"/>
      <c r="O242" s="1205">
        <v>45525</v>
      </c>
      <c r="P242" s="1203"/>
      <c r="Q242" s="785" t="s">
        <v>544</v>
      </c>
      <c r="R242" s="1209"/>
      <c r="S242" s="856" t="s">
        <v>62</v>
      </c>
      <c r="T242" s="1212"/>
      <c r="U242" s="3" t="s">
        <v>130</v>
      </c>
      <c r="V242" s="848"/>
      <c r="W242" s="865">
        <v>330.3</v>
      </c>
      <c r="X242" s="1282"/>
      <c r="Y242" s="1297">
        <v>45524</v>
      </c>
      <c r="Z242" s="856" t="s">
        <v>62</v>
      </c>
      <c r="AA242" s="1225"/>
      <c r="AB242" s="1099">
        <v>45528</v>
      </c>
      <c r="AC242" s="1099">
        <v>45530</v>
      </c>
      <c r="AD242" s="1176">
        <v>781</v>
      </c>
      <c r="AE242" s="1227">
        <f t="shared" ref="AE242:AE254" si="22">AD242/800</f>
        <v>0.97624999999999995</v>
      </c>
      <c r="AF242" s="1231" t="s">
        <v>64</v>
      </c>
      <c r="AG242" s="1286">
        <v>1</v>
      </c>
      <c r="AH242" s="1301" t="s">
        <v>132</v>
      </c>
      <c r="AI242" s="1302">
        <v>45532</v>
      </c>
      <c r="AJ242" s="1302">
        <v>45533</v>
      </c>
      <c r="AK242" s="1303">
        <f>139450+104236</f>
        <v>243686</v>
      </c>
      <c r="AL242" s="1264">
        <f t="shared" ref="AL242:AL254" si="23">AK242/250000</f>
        <v>0.97474400000000005</v>
      </c>
      <c r="AM242" s="1265" t="s">
        <v>62</v>
      </c>
      <c r="AN242" s="1261">
        <v>1</v>
      </c>
      <c r="AO242" s="1276"/>
      <c r="AP242" s="1277"/>
      <c r="AQ242" s="1276"/>
      <c r="AR242" s="1278">
        <v>200</v>
      </c>
      <c r="AS242" s="1278">
        <v>115</v>
      </c>
      <c r="AT242" s="784">
        <f>25+100</f>
        <v>125</v>
      </c>
      <c r="AU242" s="784">
        <v>0.8</v>
      </c>
      <c r="AV242" s="784">
        <v>15.9</v>
      </c>
      <c r="AW242" s="1184">
        <v>0.9</v>
      </c>
      <c r="AX242" s="927">
        <v>0.56000000000000005</v>
      </c>
    </row>
    <row r="243" spans="1:50" ht="15.6">
      <c r="A243" s="1097" t="s">
        <v>53</v>
      </c>
      <c r="B243" s="1075" t="s">
        <v>122</v>
      </c>
      <c r="C243" s="851" t="s">
        <v>123</v>
      </c>
      <c r="D243" s="851" t="s">
        <v>124</v>
      </c>
      <c r="E243" s="1432" t="s">
        <v>541</v>
      </c>
      <c r="F243" s="856">
        <v>2024</v>
      </c>
      <c r="G243" s="3" t="s">
        <v>542</v>
      </c>
      <c r="H243" s="3">
        <v>200107175</v>
      </c>
      <c r="I243" s="1438" t="s">
        <v>545</v>
      </c>
      <c r="J243" s="856">
        <v>2</v>
      </c>
      <c r="K243" s="3" t="s">
        <v>128</v>
      </c>
      <c r="L243" s="804"/>
      <c r="M243" s="865">
        <v>469.8</v>
      </c>
      <c r="N243" s="804"/>
      <c r="O243" s="1205">
        <v>45525</v>
      </c>
      <c r="P243" s="1203"/>
      <c r="Q243" s="3" t="s">
        <v>546</v>
      </c>
      <c r="R243" s="1209"/>
      <c r="S243" s="856" t="s">
        <v>62</v>
      </c>
      <c r="T243" s="1212"/>
      <c r="U243" s="3" t="s">
        <v>130</v>
      </c>
      <c r="V243" s="848"/>
      <c r="W243" s="865">
        <v>329.8</v>
      </c>
      <c r="X243" s="1282"/>
      <c r="Y243" s="1297">
        <v>45526</v>
      </c>
      <c r="Z243" s="856" t="s">
        <v>62</v>
      </c>
      <c r="AA243" s="1225"/>
      <c r="AB243" s="1099">
        <v>45530</v>
      </c>
      <c r="AC243" s="1099">
        <v>45530</v>
      </c>
      <c r="AD243" s="1176">
        <f>86+670+33</f>
        <v>789</v>
      </c>
      <c r="AE243" s="1227">
        <f t="shared" si="22"/>
        <v>0.98624999999999996</v>
      </c>
      <c r="AF243" s="1231" t="s">
        <v>64</v>
      </c>
      <c r="AG243" s="1286">
        <v>1</v>
      </c>
      <c r="AH243" s="1301" t="s">
        <v>162</v>
      </c>
      <c r="AI243" s="1302">
        <v>45532</v>
      </c>
      <c r="AJ243" s="1302">
        <v>45533</v>
      </c>
      <c r="AK243" s="1303">
        <f>98768+104678+41613</f>
        <v>245059</v>
      </c>
      <c r="AL243" s="1264">
        <f t="shared" si="23"/>
        <v>0.980236</v>
      </c>
      <c r="AM243" s="1265" t="s">
        <v>62</v>
      </c>
      <c r="AN243" s="1261">
        <v>1</v>
      </c>
      <c r="AO243" s="1276"/>
      <c r="AP243" s="1277"/>
      <c r="AQ243" s="1276"/>
      <c r="AR243" s="1278">
        <v>160</v>
      </c>
      <c r="AS243" s="1278">
        <v>138</v>
      </c>
      <c r="AT243" s="784">
        <f>300+100</f>
        <v>400</v>
      </c>
      <c r="AU243" s="784">
        <v>49.7</v>
      </c>
      <c r="AV243" s="784">
        <v>11.4</v>
      </c>
      <c r="AW243" s="1184">
        <v>20.100000000000001</v>
      </c>
    </row>
    <row r="244" spans="1:50" ht="15.6">
      <c r="A244" s="1097" t="s">
        <v>53</v>
      </c>
      <c r="B244" s="1075" t="s">
        <v>122</v>
      </c>
      <c r="C244" s="851" t="s">
        <v>123</v>
      </c>
      <c r="D244" s="851" t="s">
        <v>124</v>
      </c>
      <c r="E244" s="1432" t="s">
        <v>541</v>
      </c>
      <c r="F244" s="856">
        <v>2024</v>
      </c>
      <c r="G244" s="3" t="s">
        <v>542</v>
      </c>
      <c r="H244" s="3">
        <v>200107176</v>
      </c>
      <c r="I244" s="1438" t="s">
        <v>547</v>
      </c>
      <c r="J244" s="856">
        <v>3</v>
      </c>
      <c r="K244" s="3" t="s">
        <v>128</v>
      </c>
      <c r="L244" s="804"/>
      <c r="M244" s="865">
        <v>470.4</v>
      </c>
      <c r="N244" s="804"/>
      <c r="O244" s="1205">
        <v>45525</v>
      </c>
      <c r="P244" s="1203"/>
      <c r="Q244" s="3" t="s">
        <v>548</v>
      </c>
      <c r="R244" s="1209"/>
      <c r="S244" s="856" t="s">
        <v>62</v>
      </c>
      <c r="T244" s="1212"/>
      <c r="U244" s="3" t="s">
        <v>130</v>
      </c>
      <c r="V244" s="848"/>
      <c r="W244" s="865">
        <v>329.6</v>
      </c>
      <c r="X244" s="1282"/>
      <c r="Y244" s="1297">
        <v>45526</v>
      </c>
      <c r="Z244" s="856" t="s">
        <v>62</v>
      </c>
      <c r="AA244" s="1225"/>
      <c r="AB244" s="1099">
        <v>45530</v>
      </c>
      <c r="AC244" s="1099">
        <v>45531</v>
      </c>
      <c r="AD244" s="1176">
        <v>787</v>
      </c>
      <c r="AE244" s="1227">
        <f t="shared" si="22"/>
        <v>0.98375000000000001</v>
      </c>
      <c r="AF244" s="1231" t="s">
        <v>64</v>
      </c>
      <c r="AG244" s="1286">
        <v>1</v>
      </c>
      <c r="AH244" s="1301" t="s">
        <v>132</v>
      </c>
      <c r="AI244" s="1302">
        <v>45533</v>
      </c>
      <c r="AJ244" s="1302"/>
      <c r="AK244" s="1303">
        <f>50000</f>
        <v>50000</v>
      </c>
      <c r="AL244" s="1264">
        <f t="shared" si="23"/>
        <v>0.2</v>
      </c>
      <c r="AM244" s="1304" t="s">
        <v>533</v>
      </c>
      <c r="AN244" s="1305">
        <f>AL244/1</f>
        <v>0.2</v>
      </c>
      <c r="AO244" s="1276"/>
      <c r="AP244" s="1277"/>
      <c r="AQ244" s="1276"/>
      <c r="AR244" s="1278">
        <v>200</v>
      </c>
      <c r="AS244" s="1278">
        <v>115</v>
      </c>
      <c r="AT244" s="784">
        <v>63</v>
      </c>
      <c r="AV244" s="784">
        <v>7.7</v>
      </c>
      <c r="AW244" s="1184">
        <v>0.9</v>
      </c>
    </row>
    <row r="245" spans="1:50" ht="15.6">
      <c r="A245" s="1097" t="s">
        <v>53</v>
      </c>
      <c r="B245" s="1075" t="s">
        <v>122</v>
      </c>
      <c r="C245" s="851" t="s">
        <v>123</v>
      </c>
      <c r="D245" s="851" t="s">
        <v>124</v>
      </c>
      <c r="E245" s="1432" t="s">
        <v>541</v>
      </c>
      <c r="F245" s="856">
        <v>2024</v>
      </c>
      <c r="G245" s="3" t="s">
        <v>542</v>
      </c>
      <c r="H245" s="3">
        <v>200107177</v>
      </c>
      <c r="I245" s="1438" t="s">
        <v>549</v>
      </c>
      <c r="J245" s="856">
        <v>4</v>
      </c>
      <c r="K245" s="3" t="s">
        <v>128</v>
      </c>
      <c r="L245" s="804"/>
      <c r="M245" s="858">
        <v>466.3</v>
      </c>
      <c r="N245" s="804"/>
      <c r="O245" s="1205">
        <v>45527</v>
      </c>
      <c r="P245" s="1203"/>
      <c r="Q245" s="785" t="s">
        <v>550</v>
      </c>
      <c r="R245" s="1209"/>
      <c r="S245" s="856" t="s">
        <v>62</v>
      </c>
      <c r="T245" s="1212"/>
      <c r="U245" s="3" t="s">
        <v>551</v>
      </c>
      <c r="V245" s="848"/>
      <c r="W245" s="865">
        <v>328.68</v>
      </c>
      <c r="X245" s="1282"/>
      <c r="Y245" s="1297">
        <v>45526</v>
      </c>
      <c r="Z245" s="856" t="s">
        <v>62</v>
      </c>
      <c r="AA245" s="1225"/>
      <c r="AB245" s="1099">
        <v>45531</v>
      </c>
      <c r="AC245" s="1099">
        <v>45531</v>
      </c>
      <c r="AD245" s="1176">
        <v>779</v>
      </c>
      <c r="AE245" s="1227">
        <f t="shared" si="22"/>
        <v>0.97375</v>
      </c>
      <c r="AF245" s="1231" t="s">
        <v>64</v>
      </c>
      <c r="AG245" s="1286">
        <v>1</v>
      </c>
      <c r="AH245" s="1076"/>
      <c r="AI245" s="1248"/>
      <c r="AJ245" s="1248"/>
      <c r="AK245" s="1285"/>
      <c r="AL245" s="1264">
        <f t="shared" si="23"/>
        <v>0</v>
      </c>
      <c r="AM245" s="1269"/>
      <c r="AN245" s="1261"/>
      <c r="AO245" s="1276"/>
      <c r="AP245" s="1277"/>
      <c r="AQ245" s="1276"/>
      <c r="AR245" s="1278"/>
      <c r="AS245" s="1278"/>
    </row>
    <row r="246" spans="1:50" ht="15.6">
      <c r="A246" s="1097" t="s">
        <v>53</v>
      </c>
      <c r="B246" s="1075" t="s">
        <v>122</v>
      </c>
      <c r="C246" s="851" t="s">
        <v>123</v>
      </c>
      <c r="D246" s="851" t="s">
        <v>124</v>
      </c>
      <c r="E246" s="1432" t="s">
        <v>541</v>
      </c>
      <c r="F246" s="856">
        <v>2024</v>
      </c>
      <c r="G246" s="3" t="s">
        <v>542</v>
      </c>
      <c r="H246" s="3">
        <v>200107178</v>
      </c>
      <c r="I246" s="1438" t="s">
        <v>552</v>
      </c>
      <c r="J246" s="856">
        <v>5</v>
      </c>
      <c r="K246" s="3" t="s">
        <v>128</v>
      </c>
      <c r="L246" s="804"/>
      <c r="M246" s="858">
        <v>467.6</v>
      </c>
      <c r="N246" s="804"/>
      <c r="O246" s="1205">
        <v>45527</v>
      </c>
      <c r="P246" s="1203"/>
      <c r="Q246" s="3" t="s">
        <v>553</v>
      </c>
      <c r="R246" s="1209"/>
      <c r="S246" s="856" t="s">
        <v>62</v>
      </c>
      <c r="T246" s="1212"/>
      <c r="U246" s="3" t="s">
        <v>551</v>
      </c>
      <c r="V246" s="848"/>
      <c r="W246" s="865">
        <v>329.97</v>
      </c>
      <c r="X246" s="1282"/>
      <c r="Y246" s="1297">
        <v>45526</v>
      </c>
      <c r="Z246" s="856" t="s">
        <v>62</v>
      </c>
      <c r="AA246" s="1225"/>
      <c r="AB246" s="1099">
        <v>45531</v>
      </c>
      <c r="AC246" s="1099">
        <v>45532</v>
      </c>
      <c r="AD246" s="1176">
        <v>785</v>
      </c>
      <c r="AE246" s="1227">
        <f t="shared" si="22"/>
        <v>0.98124999999999996</v>
      </c>
      <c r="AF246" s="1298" t="s">
        <v>64</v>
      </c>
      <c r="AG246" s="1286">
        <v>1</v>
      </c>
      <c r="AH246" s="1076"/>
      <c r="AI246" s="1248"/>
      <c r="AJ246" s="1248"/>
      <c r="AK246" s="1285"/>
      <c r="AL246" s="1264">
        <f t="shared" si="23"/>
        <v>0</v>
      </c>
      <c r="AM246" s="1269"/>
      <c r="AN246" s="1261"/>
      <c r="AO246" s="1276"/>
      <c r="AP246" s="1277"/>
      <c r="AQ246" s="1276"/>
      <c r="AR246" s="1278"/>
      <c r="AS246" s="1278"/>
    </row>
    <row r="247" spans="1:50" ht="15.6">
      <c r="A247" s="1097" t="s">
        <v>53</v>
      </c>
      <c r="B247" s="1075" t="s">
        <v>122</v>
      </c>
      <c r="C247" s="851" t="s">
        <v>123</v>
      </c>
      <c r="D247" s="851" t="s">
        <v>124</v>
      </c>
      <c r="E247" s="1432" t="s">
        <v>541</v>
      </c>
      <c r="F247" s="856">
        <v>2024</v>
      </c>
      <c r="G247" s="3" t="s">
        <v>542</v>
      </c>
      <c r="H247" s="3">
        <v>200107179</v>
      </c>
      <c r="I247" s="1438" t="s">
        <v>554</v>
      </c>
      <c r="J247" s="856">
        <v>6</v>
      </c>
      <c r="K247" s="3" t="s">
        <v>128</v>
      </c>
      <c r="L247" s="804"/>
      <c r="M247" s="858">
        <v>467.5</v>
      </c>
      <c r="N247" s="804"/>
      <c r="O247" s="1205">
        <v>45527</v>
      </c>
      <c r="P247" s="1203"/>
      <c r="Q247" s="3" t="s">
        <v>555</v>
      </c>
      <c r="R247" s="1209"/>
      <c r="S247" s="856" t="s">
        <v>62</v>
      </c>
      <c r="T247" s="1212"/>
      <c r="U247" s="3" t="s">
        <v>556</v>
      </c>
      <c r="V247" s="848"/>
      <c r="W247" s="865">
        <v>330.02</v>
      </c>
      <c r="X247" s="1282"/>
      <c r="Y247" s="1297">
        <v>45527</v>
      </c>
      <c r="Z247" s="856" t="s">
        <v>62</v>
      </c>
      <c r="AA247" s="1299"/>
      <c r="AB247" s="1299" t="s">
        <v>557</v>
      </c>
      <c r="AC247" s="1299" t="s">
        <v>557</v>
      </c>
      <c r="AD247" s="1176">
        <v>783</v>
      </c>
      <c r="AE247" s="1227">
        <f t="shared" si="22"/>
        <v>0.97875000000000001</v>
      </c>
      <c r="AF247" s="1298" t="s">
        <v>558</v>
      </c>
      <c r="AG247" s="1286">
        <v>1</v>
      </c>
      <c r="AH247" s="1076"/>
      <c r="AI247" s="1248"/>
      <c r="AJ247" s="1248"/>
      <c r="AK247" s="1285"/>
      <c r="AL247" s="1264">
        <f t="shared" si="23"/>
        <v>0</v>
      </c>
      <c r="AM247" s="1269"/>
      <c r="AN247" s="1261"/>
      <c r="AO247" s="1276"/>
      <c r="AP247" s="1277"/>
      <c r="AQ247" s="1276"/>
      <c r="AR247" s="1278"/>
      <c r="AS247" s="1278"/>
    </row>
    <row r="248" spans="1:50" ht="15.6">
      <c r="A248" s="1097" t="s">
        <v>53</v>
      </c>
      <c r="B248" s="1075" t="s">
        <v>122</v>
      </c>
      <c r="C248" s="851" t="s">
        <v>123</v>
      </c>
      <c r="D248" s="851" t="s">
        <v>124</v>
      </c>
      <c r="E248" s="1432" t="s">
        <v>541</v>
      </c>
      <c r="F248" s="856">
        <v>2024</v>
      </c>
      <c r="G248" s="3" t="s">
        <v>559</v>
      </c>
      <c r="H248" s="3">
        <v>200107186</v>
      </c>
      <c r="I248" s="1459" t="s">
        <v>560</v>
      </c>
      <c r="J248" s="856">
        <v>7</v>
      </c>
      <c r="K248" s="3" t="s">
        <v>128</v>
      </c>
      <c r="L248" s="804"/>
      <c r="M248" s="859">
        <f>152+164.4+152.6</f>
        <v>469</v>
      </c>
      <c r="N248" s="804"/>
      <c r="O248" s="1205">
        <v>45532</v>
      </c>
      <c r="P248" s="1203"/>
      <c r="Q248" s="3" t="s">
        <v>561</v>
      </c>
      <c r="R248" s="1209"/>
      <c r="S248" s="856" t="s">
        <v>62</v>
      </c>
      <c r="T248" s="1212"/>
      <c r="U248" s="3" t="s">
        <v>562</v>
      </c>
      <c r="V248" s="848"/>
      <c r="W248" s="865">
        <v>329.92</v>
      </c>
      <c r="X248" s="1282"/>
      <c r="Y248" s="1297">
        <v>45530</v>
      </c>
      <c r="Z248" s="856" t="s">
        <v>62</v>
      </c>
      <c r="AA248" s="1299"/>
      <c r="AB248" s="1299" t="s">
        <v>557</v>
      </c>
      <c r="AC248" s="1299" t="s">
        <v>563</v>
      </c>
      <c r="AD248" s="1176">
        <v>780</v>
      </c>
      <c r="AE248" s="1227">
        <f t="shared" si="22"/>
        <v>0.97499999999999998</v>
      </c>
      <c r="AF248" s="1298" t="s">
        <v>558</v>
      </c>
      <c r="AG248" s="1286">
        <v>1</v>
      </c>
      <c r="AH248" s="1076"/>
      <c r="AI248" s="1248"/>
      <c r="AJ248" s="1248"/>
      <c r="AK248" s="1285"/>
      <c r="AL248" s="1264">
        <f t="shared" si="23"/>
        <v>0</v>
      </c>
      <c r="AM248" s="1269"/>
      <c r="AN248" s="1261"/>
      <c r="AO248" s="1276"/>
      <c r="AP248" s="1277"/>
      <c r="AQ248" s="1276"/>
      <c r="AR248" s="1278"/>
      <c r="AS248" s="1278"/>
    </row>
    <row r="249" spans="1:50" ht="15.6">
      <c r="A249" s="1097" t="s">
        <v>53</v>
      </c>
      <c r="B249" s="1075" t="s">
        <v>122</v>
      </c>
      <c r="C249" s="851" t="s">
        <v>123</v>
      </c>
      <c r="D249" s="851" t="s">
        <v>124</v>
      </c>
      <c r="E249" s="1432" t="s">
        <v>541</v>
      </c>
      <c r="F249" s="856">
        <v>2024</v>
      </c>
      <c r="G249" s="3" t="s">
        <v>559</v>
      </c>
      <c r="H249" s="3">
        <v>200107187</v>
      </c>
      <c r="I249" s="1459" t="s">
        <v>564</v>
      </c>
      <c r="J249" s="856">
        <v>8</v>
      </c>
      <c r="K249" s="3" t="s">
        <v>128</v>
      </c>
      <c r="L249" s="804"/>
      <c r="M249" s="865">
        <v>466.4</v>
      </c>
      <c r="N249" s="804"/>
      <c r="O249" s="1205">
        <v>45532</v>
      </c>
      <c r="P249" s="1203"/>
      <c r="Q249" s="3" t="s">
        <v>565</v>
      </c>
      <c r="R249" s="1209"/>
      <c r="S249" s="856" t="s">
        <v>62</v>
      </c>
      <c r="T249" s="1212"/>
      <c r="U249" s="3" t="s">
        <v>562</v>
      </c>
      <c r="V249" s="848"/>
      <c r="W249" s="865">
        <v>329.94</v>
      </c>
      <c r="X249" s="1282"/>
      <c r="Y249" s="1297">
        <v>45530</v>
      </c>
      <c r="Z249" s="856" t="s">
        <v>62</v>
      </c>
      <c r="AA249" s="1299"/>
      <c r="AB249" s="1299" t="s">
        <v>563</v>
      </c>
      <c r="AC249" s="1299"/>
      <c r="AD249" s="1176">
        <v>396</v>
      </c>
      <c r="AE249" s="1227">
        <f t="shared" si="22"/>
        <v>0.495</v>
      </c>
      <c r="AF249" s="1300" t="s">
        <v>566</v>
      </c>
      <c r="AG249" s="1289">
        <f>AE249/1</f>
        <v>0.495</v>
      </c>
      <c r="AH249" s="1076"/>
      <c r="AI249" s="1248"/>
      <c r="AJ249" s="1248"/>
      <c r="AK249" s="1285"/>
      <c r="AL249" s="1264">
        <f t="shared" si="23"/>
        <v>0</v>
      </c>
      <c r="AM249" s="1269"/>
      <c r="AN249" s="1261"/>
      <c r="AO249" s="1276"/>
      <c r="AP249" s="1277"/>
      <c r="AQ249" s="1276"/>
      <c r="AR249" s="1278"/>
      <c r="AS249" s="1278"/>
    </row>
    <row r="250" spans="1:50" ht="15.6">
      <c r="A250" s="1097" t="s">
        <v>53</v>
      </c>
      <c r="B250" s="1075" t="s">
        <v>122</v>
      </c>
      <c r="C250" s="851" t="s">
        <v>123</v>
      </c>
      <c r="D250" s="851" t="s">
        <v>124</v>
      </c>
      <c r="E250" s="1432" t="s">
        <v>541</v>
      </c>
      <c r="F250" s="856">
        <v>2024</v>
      </c>
      <c r="G250" s="3" t="s">
        <v>559</v>
      </c>
      <c r="H250" s="3">
        <v>200107188</v>
      </c>
      <c r="I250" s="1459" t="s">
        <v>567</v>
      </c>
      <c r="J250" s="856">
        <v>9</v>
      </c>
      <c r="K250" s="3" t="s">
        <v>128</v>
      </c>
      <c r="L250" s="804"/>
      <c r="M250" s="858">
        <v>467.1</v>
      </c>
      <c r="N250" s="804"/>
      <c r="O250" s="1205">
        <v>45532</v>
      </c>
      <c r="P250" s="1203"/>
      <c r="Q250" s="3" t="s">
        <v>568</v>
      </c>
      <c r="R250" s="1209"/>
      <c r="S250" s="856" t="s">
        <v>62</v>
      </c>
      <c r="T250" s="1212"/>
      <c r="U250" s="3" t="s">
        <v>562</v>
      </c>
      <c r="V250" s="848"/>
      <c r="W250" s="865">
        <v>330.02</v>
      </c>
      <c r="X250" s="1282"/>
      <c r="Y250" s="1297">
        <v>45530</v>
      </c>
      <c r="Z250" s="856" t="s">
        <v>62</v>
      </c>
      <c r="AA250" s="1232"/>
      <c r="AB250" s="1099"/>
      <c r="AC250" s="1099"/>
      <c r="AD250" s="1176"/>
      <c r="AE250" s="1227">
        <f t="shared" si="22"/>
        <v>0</v>
      </c>
      <c r="AF250" s="1295"/>
      <c r="AG250" s="1286"/>
      <c r="AH250" s="1076"/>
      <c r="AI250" s="1248"/>
      <c r="AJ250" s="1248"/>
      <c r="AK250" s="1285"/>
      <c r="AL250" s="1264">
        <f t="shared" si="23"/>
        <v>0</v>
      </c>
      <c r="AM250" s="1269"/>
      <c r="AN250" s="1261"/>
      <c r="AO250" s="1276"/>
      <c r="AP250" s="1277"/>
      <c r="AQ250" s="1276"/>
      <c r="AR250" s="1278"/>
      <c r="AS250" s="1278"/>
    </row>
    <row r="251" spans="1:50" ht="15.6">
      <c r="A251" s="1097" t="s">
        <v>53</v>
      </c>
      <c r="B251" s="1075" t="s">
        <v>122</v>
      </c>
      <c r="C251" s="851" t="s">
        <v>123</v>
      </c>
      <c r="D251" s="851" t="s">
        <v>124</v>
      </c>
      <c r="E251" s="1432" t="s">
        <v>541</v>
      </c>
      <c r="F251" s="856">
        <v>2024</v>
      </c>
      <c r="G251" s="3" t="s">
        <v>559</v>
      </c>
      <c r="H251" s="3">
        <v>200107189</v>
      </c>
      <c r="I251" s="1459" t="s">
        <v>569</v>
      </c>
      <c r="J251" s="856">
        <v>10</v>
      </c>
      <c r="K251" s="3" t="s">
        <v>128</v>
      </c>
      <c r="L251" s="804"/>
      <c r="M251" s="858">
        <v>467</v>
      </c>
      <c r="N251" s="804"/>
      <c r="O251" s="1205">
        <v>45532</v>
      </c>
      <c r="P251" s="1203"/>
      <c r="Q251" s="3" t="s">
        <v>570</v>
      </c>
      <c r="R251" s="1209"/>
      <c r="S251" s="856" t="s">
        <v>62</v>
      </c>
      <c r="T251" s="1212"/>
      <c r="U251" s="3" t="s">
        <v>562</v>
      </c>
      <c r="V251" s="848"/>
      <c r="W251" s="865">
        <v>329.76</v>
      </c>
      <c r="X251" s="1282"/>
      <c r="Y251" s="1297">
        <v>45532</v>
      </c>
      <c r="Z251" s="856" t="s">
        <v>62</v>
      </c>
      <c r="AA251" s="1232"/>
      <c r="AB251" s="1099"/>
      <c r="AC251" s="1099"/>
      <c r="AD251" s="1176"/>
      <c r="AE251" s="1227">
        <f t="shared" si="22"/>
        <v>0</v>
      </c>
      <c r="AF251" s="1283"/>
      <c r="AG251" s="1286"/>
      <c r="AH251" s="1076"/>
      <c r="AI251" s="1248"/>
      <c r="AJ251" s="1248"/>
      <c r="AK251" s="1285"/>
      <c r="AL251" s="1264">
        <f t="shared" si="23"/>
        <v>0</v>
      </c>
      <c r="AM251" s="1269"/>
      <c r="AN251" s="1261"/>
      <c r="AO251" s="1276"/>
      <c r="AP251" s="1277"/>
      <c r="AQ251" s="1276"/>
      <c r="AR251" s="1278"/>
      <c r="AS251" s="1278"/>
    </row>
    <row r="252" spans="1:50" ht="15.6">
      <c r="A252" s="1097" t="s">
        <v>53</v>
      </c>
      <c r="B252" s="1075" t="s">
        <v>122</v>
      </c>
      <c r="C252" s="851" t="s">
        <v>123</v>
      </c>
      <c r="D252" s="851" t="s">
        <v>124</v>
      </c>
      <c r="E252" s="856" t="s">
        <v>541</v>
      </c>
      <c r="F252" s="856">
        <v>2024</v>
      </c>
      <c r="G252" s="3" t="s">
        <v>559</v>
      </c>
      <c r="H252" s="3">
        <v>200107190</v>
      </c>
      <c r="I252" s="1459" t="s">
        <v>571</v>
      </c>
      <c r="J252" s="856">
        <v>11</v>
      </c>
      <c r="K252" s="3" t="s">
        <v>128</v>
      </c>
      <c r="L252" s="804"/>
      <c r="M252" s="858">
        <v>460.6</v>
      </c>
      <c r="N252" s="804"/>
      <c r="O252" s="1205">
        <v>45532</v>
      </c>
      <c r="P252" s="1203"/>
      <c r="Q252" s="3" t="s">
        <v>572</v>
      </c>
      <c r="R252" s="1209"/>
      <c r="S252" s="856" t="s">
        <v>62</v>
      </c>
      <c r="T252" s="1212"/>
      <c r="U252" s="3" t="s">
        <v>562</v>
      </c>
      <c r="V252" s="848"/>
      <c r="W252" s="865">
        <v>329.98</v>
      </c>
      <c r="X252" s="1282"/>
      <c r="Y252" s="1297">
        <v>45532</v>
      </c>
      <c r="Z252" s="856" t="s">
        <v>62</v>
      </c>
      <c r="AA252" s="1232"/>
      <c r="AB252" s="1099"/>
      <c r="AC252" s="1099"/>
      <c r="AD252" s="1176"/>
      <c r="AE252" s="1227">
        <f t="shared" si="22"/>
        <v>0</v>
      </c>
      <c r="AF252" s="1283"/>
      <c r="AG252" s="1286"/>
      <c r="AH252" s="1076"/>
      <c r="AI252" s="1248"/>
      <c r="AJ252" s="1248"/>
      <c r="AK252" s="1285"/>
      <c r="AL252" s="1264">
        <f t="shared" si="23"/>
        <v>0</v>
      </c>
      <c r="AM252" s="1269"/>
      <c r="AN252" s="1261"/>
      <c r="AO252" s="1276"/>
      <c r="AP252" s="1277"/>
      <c r="AQ252" s="1276"/>
      <c r="AR252" s="1278"/>
      <c r="AS252" s="1278"/>
    </row>
    <row r="253" spans="1:50" ht="15.6">
      <c r="A253" s="1097" t="s">
        <v>53</v>
      </c>
      <c r="B253" s="1075" t="s">
        <v>122</v>
      </c>
      <c r="C253" s="851" t="s">
        <v>123</v>
      </c>
      <c r="D253" s="851" t="s">
        <v>124</v>
      </c>
      <c r="E253" s="1432" t="s">
        <v>541</v>
      </c>
      <c r="F253" s="856">
        <v>2024</v>
      </c>
      <c r="G253" s="1099">
        <v>45532</v>
      </c>
      <c r="H253" s="784">
        <v>200107368</v>
      </c>
      <c r="I253" s="1460" t="s">
        <v>573</v>
      </c>
      <c r="J253" s="856">
        <v>12</v>
      </c>
      <c r="K253" s="851"/>
      <c r="L253" s="851"/>
      <c r="M253" s="851"/>
      <c r="N253" s="851"/>
      <c r="O253" s="1205"/>
      <c r="P253" s="1203"/>
      <c r="Q253" s="851"/>
      <c r="R253" s="1209"/>
      <c r="S253" s="851"/>
      <c r="T253" s="1212"/>
      <c r="U253" s="851"/>
      <c r="V253" s="851"/>
      <c r="W253" s="851"/>
      <c r="X253" s="1179"/>
      <c r="Y253" s="1205"/>
      <c r="Z253" s="851"/>
      <c r="AA253" s="1232"/>
      <c r="AB253" s="1099"/>
      <c r="AC253" s="1099"/>
      <c r="AD253" s="1176"/>
      <c r="AE253" s="1227">
        <f t="shared" si="22"/>
        <v>0</v>
      </c>
      <c r="AF253" s="1283"/>
      <c r="AG253" s="1286"/>
      <c r="AH253" s="1076"/>
      <c r="AI253" s="1248"/>
      <c r="AJ253" s="1248"/>
      <c r="AK253" s="1285"/>
      <c r="AL253" s="1264">
        <f t="shared" si="23"/>
        <v>0</v>
      </c>
      <c r="AM253" s="1269"/>
      <c r="AN253" s="1261"/>
      <c r="AO253" s="1276"/>
      <c r="AP253" s="1277"/>
      <c r="AQ253" s="1276"/>
      <c r="AR253" s="1278"/>
      <c r="AS253" s="1278"/>
    </row>
    <row r="254" spans="1:50" ht="15.6">
      <c r="A254" s="1097" t="s">
        <v>53</v>
      </c>
      <c r="B254" s="1075" t="s">
        <v>122</v>
      </c>
      <c r="C254" s="851" t="s">
        <v>123</v>
      </c>
      <c r="D254" s="851" t="s">
        <v>124</v>
      </c>
      <c r="E254" s="856" t="s">
        <v>541</v>
      </c>
      <c r="F254" s="856">
        <v>2024</v>
      </c>
      <c r="G254" s="1099">
        <v>45532</v>
      </c>
      <c r="H254" s="784">
        <v>200107369</v>
      </c>
      <c r="I254" s="1460" t="s">
        <v>574</v>
      </c>
      <c r="J254" s="856">
        <v>13</v>
      </c>
      <c r="K254" s="851"/>
      <c r="L254" s="851"/>
      <c r="M254" s="851"/>
      <c r="N254" s="851"/>
      <c r="O254" s="1205"/>
      <c r="P254" s="1203"/>
      <c r="Q254" s="851"/>
      <c r="R254" s="1209"/>
      <c r="S254" s="851"/>
      <c r="T254" s="1212"/>
      <c r="U254" s="851"/>
      <c r="V254" s="851"/>
      <c r="W254" s="851"/>
      <c r="X254" s="1179"/>
      <c r="Y254" s="1205"/>
      <c r="Z254" s="851"/>
      <c r="AA254" s="1232"/>
      <c r="AB254" s="1099"/>
      <c r="AC254" s="1099"/>
      <c r="AD254" s="1176"/>
      <c r="AE254" s="1227">
        <f t="shared" si="22"/>
        <v>0</v>
      </c>
      <c r="AF254" s="1283"/>
      <c r="AG254" s="1286"/>
      <c r="AH254" s="1076"/>
      <c r="AI254" s="1248"/>
      <c r="AJ254" s="1248"/>
      <c r="AK254" s="1285"/>
      <c r="AL254" s="1264">
        <f t="shared" si="23"/>
        <v>0</v>
      </c>
      <c r="AM254" s="1269"/>
      <c r="AN254" s="1261"/>
      <c r="AO254" s="1276"/>
      <c r="AP254" s="1277"/>
      <c r="AQ254" s="1276"/>
      <c r="AR254" s="1278"/>
      <c r="AS254" s="1278"/>
    </row>
    <row r="255" spans="1:50" ht="15.6">
      <c r="A255" s="1097"/>
      <c r="B255" s="1075" t="s">
        <v>122</v>
      </c>
      <c r="C255" s="851" t="s">
        <v>123</v>
      </c>
      <c r="D255" s="851" t="s">
        <v>124</v>
      </c>
      <c r="E255" s="856" t="s">
        <v>541</v>
      </c>
      <c r="F255" s="856">
        <v>2024</v>
      </c>
      <c r="G255" s="1099">
        <v>45532</v>
      </c>
      <c r="H255" s="784">
        <v>200107370</v>
      </c>
      <c r="I255" s="1460" t="s">
        <v>575</v>
      </c>
      <c r="J255" s="856">
        <v>14</v>
      </c>
      <c r="K255" s="851"/>
      <c r="L255" s="851"/>
      <c r="M255" s="851"/>
      <c r="N255" s="851"/>
      <c r="O255" s="1205"/>
      <c r="P255" s="1203"/>
      <c r="Q255" s="851"/>
      <c r="R255" s="1209"/>
      <c r="S255" s="851"/>
      <c r="T255" s="1212"/>
      <c r="U255" s="851"/>
      <c r="V255" s="851"/>
      <c r="W255" s="851"/>
      <c r="X255" s="1179"/>
      <c r="Y255" s="1205"/>
      <c r="Z255" s="851"/>
      <c r="AA255" s="1232"/>
      <c r="AB255" s="1099"/>
      <c r="AC255" s="1099"/>
      <c r="AD255" s="1176"/>
      <c r="AE255" s="1227"/>
      <c r="AF255" s="1283"/>
      <c r="AG255" s="1286"/>
      <c r="AH255" s="1076"/>
      <c r="AI255" s="1248"/>
      <c r="AJ255" s="1248"/>
      <c r="AK255" s="1285"/>
      <c r="AL255" s="1264"/>
      <c r="AM255" s="1269"/>
      <c r="AN255" s="1261"/>
      <c r="AO255" s="1276"/>
      <c r="AP255" s="1277"/>
      <c r="AQ255" s="1276"/>
      <c r="AR255" s="1278"/>
      <c r="AS255" s="1278"/>
    </row>
    <row r="256" spans="1:50" ht="15.6">
      <c r="A256" s="1097"/>
      <c r="B256" s="1075" t="s">
        <v>122</v>
      </c>
      <c r="C256" s="851" t="s">
        <v>123</v>
      </c>
      <c r="D256" s="851" t="s">
        <v>124</v>
      </c>
      <c r="E256" s="856" t="s">
        <v>541</v>
      </c>
      <c r="F256" s="856">
        <v>2024</v>
      </c>
      <c r="G256" s="1099">
        <v>45547</v>
      </c>
      <c r="H256" s="784">
        <v>200107371</v>
      </c>
      <c r="I256" s="1460" t="s">
        <v>576</v>
      </c>
      <c r="J256" s="856">
        <v>15</v>
      </c>
      <c r="K256" s="851"/>
      <c r="L256" s="851"/>
      <c r="M256" s="851"/>
      <c r="N256" s="851"/>
      <c r="O256" s="1205"/>
      <c r="P256" s="1203"/>
      <c r="Q256" s="851"/>
      <c r="R256" s="1209"/>
      <c r="S256" s="851"/>
      <c r="T256" s="1212"/>
      <c r="U256" s="851"/>
      <c r="V256" s="851"/>
      <c r="W256" s="851"/>
      <c r="X256" s="1179"/>
      <c r="Y256" s="1205"/>
      <c r="Z256" s="851"/>
      <c r="AA256" s="1232"/>
      <c r="AB256" s="1099"/>
      <c r="AC256" s="1099"/>
      <c r="AD256" s="1176"/>
      <c r="AE256" s="1227"/>
      <c r="AF256" s="1283"/>
      <c r="AG256" s="1286"/>
      <c r="AH256" s="1076"/>
      <c r="AI256" s="1248"/>
      <c r="AJ256" s="1248"/>
      <c r="AK256" s="1285"/>
      <c r="AL256" s="1264"/>
      <c r="AM256" s="1269"/>
      <c r="AN256" s="1261"/>
      <c r="AO256" s="1276"/>
      <c r="AP256" s="1277"/>
      <c r="AQ256" s="1276"/>
      <c r="AR256" s="1278"/>
      <c r="AS256" s="1278"/>
    </row>
    <row r="257" spans="1:45" ht="15.6">
      <c r="A257" s="1097"/>
      <c r="B257" s="1075" t="s">
        <v>122</v>
      </c>
      <c r="C257" s="851" t="s">
        <v>123</v>
      </c>
      <c r="D257" s="851" t="s">
        <v>124</v>
      </c>
      <c r="E257" s="856" t="s">
        <v>541</v>
      </c>
      <c r="F257" s="856">
        <v>2024</v>
      </c>
      <c r="G257" s="1099">
        <v>45547</v>
      </c>
      <c r="H257" s="784">
        <v>200107372</v>
      </c>
      <c r="I257" s="1460" t="s">
        <v>577</v>
      </c>
      <c r="J257" s="856">
        <v>16</v>
      </c>
      <c r="K257" s="851"/>
      <c r="L257" s="851"/>
      <c r="M257" s="851"/>
      <c r="N257" s="851"/>
      <c r="O257" s="1205"/>
      <c r="P257" s="1203"/>
      <c r="Q257" s="851"/>
      <c r="R257" s="1209"/>
      <c r="S257" s="851"/>
      <c r="T257" s="1212"/>
      <c r="U257" s="851"/>
      <c r="V257" s="851"/>
      <c r="W257" s="851"/>
      <c r="X257" s="1179"/>
      <c r="Y257" s="1205"/>
      <c r="Z257" s="851"/>
      <c r="AA257" s="1232"/>
      <c r="AB257" s="1099"/>
      <c r="AC257" s="1099"/>
      <c r="AD257" s="1176"/>
      <c r="AE257" s="1227"/>
      <c r="AF257" s="1283"/>
      <c r="AG257" s="1286"/>
      <c r="AH257" s="1076"/>
      <c r="AI257" s="1248"/>
      <c r="AJ257" s="1248"/>
      <c r="AK257" s="1285"/>
      <c r="AL257" s="1264"/>
      <c r="AM257" s="1269"/>
      <c r="AN257" s="1261"/>
      <c r="AO257" s="1276"/>
      <c r="AP257" s="1277"/>
      <c r="AQ257" s="1276"/>
      <c r="AR257" s="1278"/>
      <c r="AS257" s="1278"/>
    </row>
    <row r="258" spans="1:45" ht="15.6">
      <c r="A258" s="1097"/>
      <c r="B258" s="1075" t="s">
        <v>122</v>
      </c>
      <c r="C258" s="851" t="s">
        <v>123</v>
      </c>
      <c r="D258" s="851" t="s">
        <v>124</v>
      </c>
      <c r="E258" s="856" t="s">
        <v>541</v>
      </c>
      <c r="F258" s="856">
        <v>2024</v>
      </c>
      <c r="G258" s="1099">
        <v>45547</v>
      </c>
      <c r="H258" s="784">
        <v>200107373</v>
      </c>
      <c r="I258" s="1460" t="s">
        <v>578</v>
      </c>
      <c r="J258" s="856">
        <v>17</v>
      </c>
      <c r="K258" s="851"/>
      <c r="L258" s="851"/>
      <c r="M258" s="851"/>
      <c r="N258" s="851"/>
      <c r="O258" s="1205"/>
      <c r="P258" s="1203"/>
      <c r="Q258" s="851"/>
      <c r="R258" s="1209"/>
      <c r="S258" s="851"/>
      <c r="T258" s="1212"/>
      <c r="U258" s="851"/>
      <c r="V258" s="851"/>
      <c r="W258" s="851"/>
      <c r="X258" s="1179"/>
      <c r="Y258" s="1205"/>
      <c r="Z258" s="851"/>
      <c r="AA258" s="1232"/>
      <c r="AB258" s="1099"/>
      <c r="AC258" s="1099"/>
      <c r="AD258" s="1176"/>
      <c r="AE258" s="1227"/>
      <c r="AF258" s="1283"/>
      <c r="AG258" s="1286"/>
      <c r="AH258" s="1076"/>
      <c r="AI258" s="1248"/>
      <c r="AJ258" s="1248"/>
      <c r="AK258" s="1285"/>
      <c r="AL258" s="1264"/>
      <c r="AM258" s="1269"/>
      <c r="AN258" s="1261"/>
      <c r="AO258" s="1276"/>
      <c r="AP258" s="1277"/>
      <c r="AQ258" s="1276"/>
      <c r="AR258" s="1278"/>
      <c r="AS258" s="1278"/>
    </row>
    <row r="259" spans="1:45" ht="15.6">
      <c r="A259" s="1097"/>
      <c r="B259" s="1075" t="s">
        <v>122</v>
      </c>
      <c r="C259" s="851" t="s">
        <v>123</v>
      </c>
      <c r="D259" s="851" t="s">
        <v>124</v>
      </c>
      <c r="E259" s="856" t="s">
        <v>541</v>
      </c>
      <c r="F259" s="856">
        <v>2024</v>
      </c>
      <c r="G259" s="1099">
        <v>45547</v>
      </c>
      <c r="H259" s="784">
        <v>200107374</v>
      </c>
      <c r="I259" s="1460" t="s">
        <v>579</v>
      </c>
      <c r="J259" s="856">
        <v>18</v>
      </c>
      <c r="K259" s="851"/>
      <c r="L259" s="851"/>
      <c r="M259" s="851"/>
      <c r="N259" s="851"/>
      <c r="O259" s="1205"/>
      <c r="P259" s="1203"/>
      <c r="Q259" s="851"/>
      <c r="R259" s="1209"/>
      <c r="S259" s="851"/>
      <c r="T259" s="1212"/>
      <c r="U259" s="851"/>
      <c r="V259" s="851"/>
      <c r="W259" s="851"/>
      <c r="X259" s="1179"/>
      <c r="Y259" s="1205"/>
      <c r="Z259" s="851"/>
      <c r="AA259" s="1232"/>
      <c r="AB259" s="1099"/>
      <c r="AC259" s="1099"/>
      <c r="AD259" s="1176"/>
      <c r="AE259" s="1227"/>
      <c r="AF259" s="1283"/>
      <c r="AG259" s="1286"/>
      <c r="AH259" s="1076"/>
      <c r="AI259" s="1248"/>
      <c r="AJ259" s="1248"/>
      <c r="AK259" s="1285"/>
      <c r="AL259" s="1264"/>
      <c r="AM259" s="1269"/>
      <c r="AN259" s="1261"/>
      <c r="AO259" s="1276"/>
      <c r="AP259" s="1277"/>
      <c r="AQ259" s="1276"/>
      <c r="AR259" s="1278"/>
      <c r="AS259" s="1278"/>
    </row>
    <row r="260" spans="1:45" ht="15.6">
      <c r="A260" s="1097"/>
      <c r="B260" s="1075" t="s">
        <v>122</v>
      </c>
      <c r="C260" s="851" t="s">
        <v>123</v>
      </c>
      <c r="D260" s="851" t="s">
        <v>124</v>
      </c>
      <c r="E260" s="856" t="s">
        <v>541</v>
      </c>
      <c r="F260" s="856">
        <v>2024</v>
      </c>
      <c r="G260" s="1099">
        <v>45547</v>
      </c>
      <c r="H260" s="784">
        <v>200107375</v>
      </c>
      <c r="I260" s="1460" t="s">
        <v>580</v>
      </c>
      <c r="J260" s="856">
        <v>19</v>
      </c>
      <c r="K260" s="851"/>
      <c r="L260" s="851"/>
      <c r="M260" s="851"/>
      <c r="N260" s="851"/>
      <c r="O260" s="1205"/>
      <c r="P260" s="1203"/>
      <c r="Q260" s="851"/>
      <c r="R260" s="1209"/>
      <c r="S260" s="851"/>
      <c r="T260" s="1212"/>
      <c r="U260" s="851"/>
      <c r="V260" s="851"/>
      <c r="W260" s="851"/>
      <c r="X260" s="1179"/>
      <c r="Y260" s="1205"/>
      <c r="Z260" s="851"/>
      <c r="AA260" s="1232"/>
      <c r="AB260" s="1099"/>
      <c r="AC260" s="1099"/>
      <c r="AD260" s="1176"/>
      <c r="AE260" s="1227"/>
      <c r="AF260" s="1283"/>
      <c r="AG260" s="1286"/>
      <c r="AH260" s="1076"/>
      <c r="AI260" s="1248"/>
      <c r="AJ260" s="1248"/>
      <c r="AK260" s="1285"/>
      <c r="AL260" s="1264"/>
      <c r="AM260" s="1269"/>
      <c r="AN260" s="1261"/>
      <c r="AO260" s="1276"/>
      <c r="AP260" s="1277"/>
      <c r="AQ260" s="1276"/>
      <c r="AR260" s="1278"/>
      <c r="AS260" s="1278"/>
    </row>
    <row r="261" spans="1:45" ht="15.6">
      <c r="A261" s="1097"/>
      <c r="B261" s="1075" t="s">
        <v>122</v>
      </c>
      <c r="C261" s="851" t="s">
        <v>123</v>
      </c>
      <c r="D261" s="851" t="s">
        <v>124</v>
      </c>
      <c r="E261" s="856" t="s">
        <v>541</v>
      </c>
      <c r="F261" s="856">
        <v>2024</v>
      </c>
      <c r="G261" s="1099">
        <v>45547</v>
      </c>
      <c r="H261" s="784">
        <v>200107376</v>
      </c>
      <c r="I261" s="1460" t="s">
        <v>581</v>
      </c>
      <c r="J261" s="856">
        <v>20</v>
      </c>
      <c r="K261" s="851"/>
      <c r="L261" s="851"/>
      <c r="M261" s="851"/>
      <c r="N261" s="851"/>
      <c r="O261" s="1205"/>
      <c r="P261" s="1203"/>
      <c r="Q261" s="851"/>
      <c r="R261" s="1209"/>
      <c r="S261" s="851"/>
      <c r="T261" s="1212"/>
      <c r="U261" s="851"/>
      <c r="V261" s="851"/>
      <c r="W261" s="851"/>
      <c r="X261" s="1179"/>
      <c r="Y261" s="1205"/>
      <c r="Z261" s="851"/>
      <c r="AA261" s="1232"/>
      <c r="AB261" s="1099"/>
      <c r="AC261" s="1099"/>
      <c r="AD261" s="1176"/>
      <c r="AE261" s="1227"/>
      <c r="AF261" s="1283"/>
      <c r="AG261" s="1286"/>
      <c r="AH261" s="1076"/>
      <c r="AI261" s="1248"/>
      <c r="AJ261" s="1248"/>
      <c r="AK261" s="1285"/>
      <c r="AL261" s="1264"/>
      <c r="AM261" s="1269"/>
      <c r="AN261" s="1261"/>
      <c r="AO261" s="1276"/>
      <c r="AP261" s="1277"/>
      <c r="AQ261" s="1276"/>
      <c r="AR261" s="1278"/>
      <c r="AS261" s="1278"/>
    </row>
    <row r="262" spans="1:45" ht="15.6">
      <c r="A262" s="1097"/>
      <c r="B262" s="1075" t="s">
        <v>122</v>
      </c>
      <c r="C262" s="851" t="s">
        <v>123</v>
      </c>
      <c r="D262" s="851" t="s">
        <v>124</v>
      </c>
      <c r="E262" s="856" t="s">
        <v>541</v>
      </c>
      <c r="F262" s="856">
        <v>2024</v>
      </c>
      <c r="G262" s="1099">
        <v>45547</v>
      </c>
      <c r="H262" s="784">
        <v>200107359</v>
      </c>
      <c r="I262" s="1460" t="s">
        <v>582</v>
      </c>
      <c r="J262" s="856">
        <v>21</v>
      </c>
      <c r="K262" s="851"/>
      <c r="L262" s="851"/>
      <c r="M262" s="851"/>
      <c r="N262" s="851"/>
      <c r="O262" s="1205"/>
      <c r="P262" s="1203"/>
      <c r="Q262" s="851"/>
      <c r="R262" s="1209"/>
      <c r="S262" s="851"/>
      <c r="T262" s="1212"/>
      <c r="U262" s="856"/>
      <c r="V262" s="851"/>
      <c r="W262" s="851"/>
      <c r="X262" s="1179"/>
      <c r="Y262" s="1313"/>
      <c r="Z262" s="851"/>
      <c r="AA262" s="1232"/>
      <c r="AB262" s="1099"/>
      <c r="AC262" s="1099"/>
      <c r="AD262" s="1176"/>
      <c r="AE262" s="1227"/>
      <c r="AF262" s="1283"/>
      <c r="AG262" s="1286"/>
      <c r="AH262" s="1076"/>
      <c r="AI262" s="1248"/>
      <c r="AJ262" s="1248"/>
      <c r="AK262" s="1285"/>
      <c r="AL262" s="1264"/>
      <c r="AM262" s="1269"/>
      <c r="AN262" s="1261"/>
      <c r="AO262" s="1276"/>
      <c r="AP262" s="1277"/>
      <c r="AQ262" s="1276"/>
      <c r="AR262" s="1278"/>
      <c r="AS262" s="1278"/>
    </row>
    <row r="263" spans="1:45" ht="15.6">
      <c r="A263" s="1097" t="s">
        <v>53</v>
      </c>
      <c r="B263" s="1075"/>
      <c r="C263" s="851"/>
      <c r="D263" s="851"/>
      <c r="E263" s="856"/>
      <c r="F263" s="856"/>
      <c r="G263" s="784"/>
      <c r="H263" s="1306"/>
      <c r="I263" s="1306"/>
      <c r="J263" s="856"/>
      <c r="K263" s="851"/>
      <c r="L263" s="851"/>
      <c r="M263" s="851"/>
      <c r="N263" s="851"/>
      <c r="O263" s="1205"/>
      <c r="P263" s="1205"/>
      <c r="Q263" s="851"/>
      <c r="R263" s="851"/>
      <c r="S263" s="851"/>
      <c r="T263" s="1215"/>
      <c r="U263" s="856"/>
      <c r="V263" s="851"/>
      <c r="W263" s="856"/>
      <c r="X263" s="1179"/>
      <c r="Y263" s="1202"/>
      <c r="Z263" s="851"/>
      <c r="AA263" s="1299"/>
      <c r="AB263" s="1099"/>
      <c r="AC263" s="1099"/>
      <c r="AD263" s="1176"/>
      <c r="AE263" s="1227"/>
      <c r="AF263" s="1314"/>
      <c r="AG263" s="1268"/>
      <c r="AH263" s="1248"/>
      <c r="AI263" s="1248"/>
      <c r="AJ263" s="1248"/>
      <c r="AK263" s="1316"/>
      <c r="AL263" s="1264"/>
      <c r="AM263" s="1269"/>
      <c r="AN263" s="1261"/>
      <c r="AO263" s="1276"/>
      <c r="AP263" s="1277"/>
      <c r="AQ263" s="1276"/>
      <c r="AR263" s="1278"/>
      <c r="AS263" s="1278"/>
    </row>
    <row r="264" spans="1:45" ht="15.6">
      <c r="A264" s="1097" t="s">
        <v>53</v>
      </c>
      <c r="B264" s="1103" t="s">
        <v>583</v>
      </c>
      <c r="C264" s="1098" t="s">
        <v>584</v>
      </c>
      <c r="D264" s="1098" t="s">
        <v>585</v>
      </c>
      <c r="E264" s="1461" t="s">
        <v>125</v>
      </c>
      <c r="F264" s="856">
        <v>2024</v>
      </c>
      <c r="G264" s="1099">
        <v>45290</v>
      </c>
      <c r="H264" s="1192">
        <v>200104496</v>
      </c>
      <c r="I264" s="1462" t="s">
        <v>586</v>
      </c>
      <c r="J264" s="1109">
        <v>1</v>
      </c>
      <c r="K264" s="3" t="s">
        <v>60</v>
      </c>
      <c r="L264" s="3" t="s">
        <v>60</v>
      </c>
      <c r="M264" s="762">
        <v>538.29999999999995</v>
      </c>
      <c r="N264" s="762">
        <v>303.13</v>
      </c>
      <c r="O264" s="1205">
        <v>45288</v>
      </c>
      <c r="P264" s="1205">
        <v>45288</v>
      </c>
      <c r="Q264" s="3" t="s">
        <v>587</v>
      </c>
      <c r="R264" s="3" t="s">
        <v>588</v>
      </c>
      <c r="S264" s="856" t="s">
        <v>62</v>
      </c>
      <c r="T264" s="1212"/>
      <c r="U264" s="3" t="s">
        <v>130</v>
      </c>
      <c r="V264" s="825"/>
      <c r="W264" s="762">
        <v>319</v>
      </c>
      <c r="X264" s="1311"/>
      <c r="Y264" s="1205">
        <v>45288</v>
      </c>
      <c r="Z264" s="851" t="s">
        <v>62</v>
      </c>
      <c r="AA264" s="1232"/>
      <c r="AB264" s="1099">
        <v>45293</v>
      </c>
      <c r="AC264" s="1099">
        <v>45293</v>
      </c>
      <c r="AD264" s="1226">
        <f>455+400</f>
        <v>855</v>
      </c>
      <c r="AE264" s="1264">
        <f t="shared" ref="AE264:AE274" si="24">AD264/875</f>
        <v>0.97714285714285709</v>
      </c>
      <c r="AF264" s="1315" t="s">
        <v>64</v>
      </c>
      <c r="AG264" s="1317">
        <v>1</v>
      </c>
      <c r="AH264" s="1076" t="s">
        <v>162</v>
      </c>
      <c r="AI264" s="1266">
        <v>45296</v>
      </c>
      <c r="AJ264" s="1266">
        <v>45300</v>
      </c>
      <c r="AK264" s="1267">
        <f>68052+39560+95228+70506+10948</f>
        <v>284294</v>
      </c>
      <c r="AL264" s="1264">
        <f t="shared" ref="AL264:AL274" si="25">AK264/291000</f>
        <v>0.97695532646048111</v>
      </c>
      <c r="AM264" s="1265" t="s">
        <v>62</v>
      </c>
      <c r="AN264" s="1261">
        <v>1</v>
      </c>
      <c r="AO264" s="1276"/>
      <c r="AP264" s="1277"/>
      <c r="AQ264" s="1276"/>
      <c r="AR264" s="1278"/>
      <c r="AS264" s="1278"/>
    </row>
    <row r="265" spans="1:45" ht="15.6">
      <c r="A265" s="1097" t="s">
        <v>53</v>
      </c>
      <c r="B265" s="1103" t="s">
        <v>583</v>
      </c>
      <c r="C265" s="1098" t="s">
        <v>584</v>
      </c>
      <c r="D265" s="1098" t="s">
        <v>585</v>
      </c>
      <c r="E265" s="1461" t="s">
        <v>125</v>
      </c>
      <c r="F265" s="856">
        <v>2024</v>
      </c>
      <c r="G265" s="1099">
        <v>45290</v>
      </c>
      <c r="H265" s="1192">
        <v>200104497</v>
      </c>
      <c r="I265" s="1462" t="s">
        <v>589</v>
      </c>
      <c r="J265" s="1109">
        <v>2</v>
      </c>
      <c r="K265" s="3" t="s">
        <v>60</v>
      </c>
      <c r="L265" s="3" t="s">
        <v>60</v>
      </c>
      <c r="M265" s="786">
        <v>530.70000000000005</v>
      </c>
      <c r="N265" s="762">
        <v>304.25</v>
      </c>
      <c r="O265" s="1205">
        <v>45289</v>
      </c>
      <c r="P265" s="1205">
        <v>45288</v>
      </c>
      <c r="Q265" s="3" t="s">
        <v>590</v>
      </c>
      <c r="R265" s="3" t="s">
        <v>591</v>
      </c>
      <c r="S265" s="856" t="s">
        <v>62</v>
      </c>
      <c r="T265" s="1212"/>
      <c r="U265" s="3" t="s">
        <v>130</v>
      </c>
      <c r="V265" s="825"/>
      <c r="W265" s="762">
        <v>320.2</v>
      </c>
      <c r="X265" s="1311"/>
      <c r="Y265" s="1205">
        <v>45288</v>
      </c>
      <c r="Z265" s="851" t="s">
        <v>62</v>
      </c>
      <c r="AA265" s="1232"/>
      <c r="AB265" s="1099">
        <v>45293</v>
      </c>
      <c r="AC265" s="1099">
        <v>45294</v>
      </c>
      <c r="AD265" s="1226">
        <f>50+600+210</f>
        <v>860</v>
      </c>
      <c r="AE265" s="1264">
        <f t="shared" si="24"/>
        <v>0.98285714285714287</v>
      </c>
      <c r="AF265" s="1315" t="s">
        <v>64</v>
      </c>
      <c r="AG265" s="1317">
        <v>1</v>
      </c>
      <c r="AH265" s="1076" t="s">
        <v>162</v>
      </c>
      <c r="AI265" s="1266">
        <v>45300</v>
      </c>
      <c r="AJ265" s="1266">
        <v>45301</v>
      </c>
      <c r="AK265" s="1267">
        <f>86250+100000+76114+21059</f>
        <v>283423</v>
      </c>
      <c r="AL265" s="1264">
        <f t="shared" si="25"/>
        <v>0.97396219931271477</v>
      </c>
      <c r="AM265" s="1265" t="s">
        <v>62</v>
      </c>
      <c r="AN265" s="1261">
        <v>1</v>
      </c>
      <c r="AO265" s="1276"/>
      <c r="AP265" s="1277"/>
      <c r="AQ265" s="1276"/>
      <c r="AR265" s="1278"/>
      <c r="AS265" s="1278"/>
    </row>
    <row r="266" spans="1:45" ht="15.6">
      <c r="A266" s="1097" t="s">
        <v>53</v>
      </c>
      <c r="B266" s="1103" t="s">
        <v>583</v>
      </c>
      <c r="C266" s="1098" t="s">
        <v>584</v>
      </c>
      <c r="D266" s="1098" t="s">
        <v>585</v>
      </c>
      <c r="E266" s="1461" t="s">
        <v>125</v>
      </c>
      <c r="F266" s="856">
        <v>2024</v>
      </c>
      <c r="G266" s="1099">
        <v>45290</v>
      </c>
      <c r="H266" s="1192">
        <v>200104498</v>
      </c>
      <c r="I266" s="1462" t="s">
        <v>592</v>
      </c>
      <c r="J266" s="1109">
        <v>3</v>
      </c>
      <c r="K266" s="3" t="s">
        <v>60</v>
      </c>
      <c r="L266" s="3" t="s">
        <v>60</v>
      </c>
      <c r="M266" s="762">
        <v>536.20000000000005</v>
      </c>
      <c r="N266" s="762">
        <v>304</v>
      </c>
      <c r="O266" s="1205">
        <v>45289</v>
      </c>
      <c r="P266" s="1205">
        <v>45288</v>
      </c>
      <c r="Q266" s="3" t="s">
        <v>593</v>
      </c>
      <c r="R266" s="3" t="s">
        <v>594</v>
      </c>
      <c r="S266" s="856" t="s">
        <v>62</v>
      </c>
      <c r="T266" s="1212"/>
      <c r="U266" s="3" t="s">
        <v>130</v>
      </c>
      <c r="V266" s="825"/>
      <c r="W266" s="762">
        <v>320.2</v>
      </c>
      <c r="X266" s="1311"/>
      <c r="Y266" s="1205">
        <v>45289</v>
      </c>
      <c r="Z266" s="851" t="s">
        <v>62</v>
      </c>
      <c r="AA266" s="1232"/>
      <c r="AB266" s="1099">
        <v>45294</v>
      </c>
      <c r="AC266" s="1099">
        <v>45294</v>
      </c>
      <c r="AD266" s="1226">
        <f>310+405+141</f>
        <v>856</v>
      </c>
      <c r="AE266" s="1264">
        <f t="shared" si="24"/>
        <v>0.97828571428571431</v>
      </c>
      <c r="AF266" s="1315" t="s">
        <v>64</v>
      </c>
      <c r="AG266" s="1317">
        <v>1</v>
      </c>
      <c r="AH266" s="1076" t="s">
        <v>162</v>
      </c>
      <c r="AI266" s="1266">
        <v>45301</v>
      </c>
      <c r="AJ266" s="1266">
        <v>45302</v>
      </c>
      <c r="AK266" s="1267">
        <f>58141+97111+98504+31426</f>
        <v>285182</v>
      </c>
      <c r="AL266" s="1264">
        <f t="shared" si="25"/>
        <v>0.98000687285223365</v>
      </c>
      <c r="AM266" s="1265" t="s">
        <v>62</v>
      </c>
      <c r="AN266" s="1261">
        <v>1</v>
      </c>
      <c r="AO266" s="1276"/>
      <c r="AP266" s="1277"/>
      <c r="AQ266" s="1276"/>
      <c r="AR266" s="1278"/>
      <c r="AS266" s="1278"/>
    </row>
    <row r="267" spans="1:45" ht="15.6">
      <c r="A267" s="1097" t="s">
        <v>53</v>
      </c>
      <c r="B267" s="1103" t="s">
        <v>583</v>
      </c>
      <c r="C267" s="1098" t="s">
        <v>584</v>
      </c>
      <c r="D267" s="1098" t="s">
        <v>585</v>
      </c>
      <c r="E267" s="1461" t="s">
        <v>125</v>
      </c>
      <c r="F267" s="856">
        <v>2024</v>
      </c>
      <c r="G267" s="1099">
        <v>45290</v>
      </c>
      <c r="H267" s="1192">
        <v>200104499</v>
      </c>
      <c r="I267" s="1462" t="s">
        <v>595</v>
      </c>
      <c r="J267" s="1109">
        <v>4</v>
      </c>
      <c r="K267" s="3" t="s">
        <v>60</v>
      </c>
      <c r="L267" s="3" t="s">
        <v>60</v>
      </c>
      <c r="M267" s="762">
        <v>542.5</v>
      </c>
      <c r="N267" s="762">
        <v>308.02</v>
      </c>
      <c r="O267" s="1205">
        <v>45289</v>
      </c>
      <c r="P267" s="1205">
        <v>45288</v>
      </c>
      <c r="Q267" s="3" t="s">
        <v>596</v>
      </c>
      <c r="R267" s="3" t="s">
        <v>597</v>
      </c>
      <c r="S267" s="856" t="s">
        <v>62</v>
      </c>
      <c r="T267" s="1212"/>
      <c r="U267" s="3" t="s">
        <v>130</v>
      </c>
      <c r="V267" s="825"/>
      <c r="W267" s="762">
        <v>324.10000000000002</v>
      </c>
      <c r="X267" s="1311"/>
      <c r="Y267" s="1205">
        <v>45289</v>
      </c>
      <c r="Z267" s="851" t="s">
        <v>62</v>
      </c>
      <c r="AA267" s="1232"/>
      <c r="AB267" s="1099">
        <v>45294</v>
      </c>
      <c r="AC267" s="1099">
        <v>45295</v>
      </c>
      <c r="AD267" s="1226">
        <f>410+452</f>
        <v>862</v>
      </c>
      <c r="AE267" s="1264">
        <f t="shared" si="24"/>
        <v>0.9851428571428571</v>
      </c>
      <c r="AF267" s="1315" t="s">
        <v>64</v>
      </c>
      <c r="AG267" s="1317">
        <v>1</v>
      </c>
      <c r="AH267" s="1076" t="s">
        <v>162</v>
      </c>
      <c r="AI267" s="1266">
        <v>45302</v>
      </c>
      <c r="AJ267" s="1266">
        <v>45303</v>
      </c>
      <c r="AK267" s="1267">
        <f>48600+100500+98560+39131</f>
        <v>286791</v>
      </c>
      <c r="AL267" s="1264">
        <f t="shared" si="25"/>
        <v>0.98553608247422675</v>
      </c>
      <c r="AM267" s="1265" t="s">
        <v>62</v>
      </c>
      <c r="AN267" s="1261">
        <v>1</v>
      </c>
      <c r="AO267" s="1276"/>
      <c r="AP267" s="1277"/>
      <c r="AQ267" s="1276"/>
      <c r="AR267" s="1278"/>
      <c r="AS267" s="1278"/>
    </row>
    <row r="268" spans="1:45" ht="15.6">
      <c r="A268" s="1097" t="s">
        <v>53</v>
      </c>
      <c r="B268" s="1103" t="s">
        <v>583</v>
      </c>
      <c r="C268" s="1098" t="s">
        <v>584</v>
      </c>
      <c r="D268" s="1098" t="s">
        <v>585</v>
      </c>
      <c r="E268" s="1461" t="s">
        <v>125</v>
      </c>
      <c r="F268" s="856">
        <v>2024</v>
      </c>
      <c r="G268" s="1099">
        <v>45290</v>
      </c>
      <c r="H268" s="1192">
        <v>200104500</v>
      </c>
      <c r="I268" s="1462" t="s">
        <v>598</v>
      </c>
      <c r="J268" s="1109">
        <v>5</v>
      </c>
      <c r="K268" s="3" t="s">
        <v>128</v>
      </c>
      <c r="L268" s="3" t="s">
        <v>128</v>
      </c>
      <c r="M268" s="786">
        <v>534.1</v>
      </c>
      <c r="N268" s="786">
        <v>303.82</v>
      </c>
      <c r="O268" s="1205">
        <v>45295</v>
      </c>
      <c r="P268" s="1205">
        <v>45293</v>
      </c>
      <c r="Q268" s="3" t="s">
        <v>599</v>
      </c>
      <c r="R268" s="3" t="s">
        <v>600</v>
      </c>
      <c r="S268" s="856" t="s">
        <v>62</v>
      </c>
      <c r="T268" s="1212"/>
      <c r="U268" s="3" t="s">
        <v>130</v>
      </c>
      <c r="V268" s="825"/>
      <c r="W268" s="786">
        <v>320</v>
      </c>
      <c r="X268" s="1311"/>
      <c r="Y268" s="1205">
        <v>45294</v>
      </c>
      <c r="Z268" s="851" t="s">
        <v>62</v>
      </c>
      <c r="AA268" s="1232"/>
      <c r="AB268" s="1099">
        <v>45295</v>
      </c>
      <c r="AC268" s="1099">
        <v>45295</v>
      </c>
      <c r="AD268" s="1226">
        <f>485+368</f>
        <v>853</v>
      </c>
      <c r="AE268" s="1264">
        <f t="shared" si="24"/>
        <v>0.97485714285714287</v>
      </c>
      <c r="AF268" s="1315" t="s">
        <v>64</v>
      </c>
      <c r="AG268" s="1317">
        <v>1</v>
      </c>
      <c r="AH268" s="1076" t="s">
        <v>162</v>
      </c>
      <c r="AI268" s="1266">
        <v>45303</v>
      </c>
      <c r="AJ268" s="1266">
        <v>45306</v>
      </c>
      <c r="AK268" s="1267">
        <f>28750+90196+95782+68817</f>
        <v>283545</v>
      </c>
      <c r="AL268" s="1264">
        <f t="shared" si="25"/>
        <v>0.97438144329896903</v>
      </c>
      <c r="AM268" s="1265" t="s">
        <v>62</v>
      </c>
      <c r="AN268" s="1261">
        <v>1</v>
      </c>
      <c r="AO268" s="1276">
        <v>5521</v>
      </c>
      <c r="AP268" s="1277">
        <v>45442</v>
      </c>
      <c r="AQ268" s="1276" t="s">
        <v>162</v>
      </c>
      <c r="AR268" s="1278"/>
      <c r="AS268" s="1278"/>
    </row>
    <row r="269" spans="1:45" ht="15.6">
      <c r="A269" s="1097" t="s">
        <v>53</v>
      </c>
      <c r="B269" s="1103" t="s">
        <v>583</v>
      </c>
      <c r="C269" s="1098" t="s">
        <v>584</v>
      </c>
      <c r="D269" s="1098" t="s">
        <v>585</v>
      </c>
      <c r="E269" s="1461" t="s">
        <v>125</v>
      </c>
      <c r="F269" s="856">
        <v>2024</v>
      </c>
      <c r="G269" s="1099">
        <v>45290</v>
      </c>
      <c r="H269" s="1192">
        <v>200104501</v>
      </c>
      <c r="I269" s="1462" t="s">
        <v>601</v>
      </c>
      <c r="J269" s="1109">
        <v>6</v>
      </c>
      <c r="K269" s="3" t="s">
        <v>128</v>
      </c>
      <c r="L269" s="3" t="s">
        <v>128</v>
      </c>
      <c r="M269" s="786">
        <v>537.5</v>
      </c>
      <c r="N269" s="786">
        <v>306.47000000000003</v>
      </c>
      <c r="O269" s="1205">
        <v>45295</v>
      </c>
      <c r="P269" s="1205">
        <v>45293</v>
      </c>
      <c r="Q269" s="3" t="s">
        <v>602</v>
      </c>
      <c r="R269" s="3" t="s">
        <v>603</v>
      </c>
      <c r="S269" s="856" t="s">
        <v>62</v>
      </c>
      <c r="T269" s="1212"/>
      <c r="U269" s="3" t="s">
        <v>130</v>
      </c>
      <c r="V269" s="825"/>
      <c r="W269" s="786">
        <v>322.39999999999998</v>
      </c>
      <c r="X269" s="1311"/>
      <c r="Y269" s="1205">
        <v>45294</v>
      </c>
      <c r="Z269" s="851" t="s">
        <v>62</v>
      </c>
      <c r="AA269" s="1232"/>
      <c r="AB269" s="1099">
        <v>45295</v>
      </c>
      <c r="AC269" s="1099">
        <v>45296</v>
      </c>
      <c r="AD269" s="1226">
        <f>245+520+92</f>
        <v>857</v>
      </c>
      <c r="AE269" s="1264">
        <f t="shared" si="24"/>
        <v>0.97942857142857143</v>
      </c>
      <c r="AF269" s="1315" t="s">
        <v>64</v>
      </c>
      <c r="AG269" s="1317">
        <v>1</v>
      </c>
      <c r="AH269" s="1076" t="s">
        <v>162</v>
      </c>
      <c r="AI269" s="1266">
        <v>45306</v>
      </c>
      <c r="AJ269" s="1266">
        <v>45308</v>
      </c>
      <c r="AK269" s="1267">
        <f>90210+85000+98700+11500</f>
        <v>285410</v>
      </c>
      <c r="AL269" s="1264">
        <f t="shared" si="25"/>
        <v>0.98079037800687285</v>
      </c>
      <c r="AM269" s="1265" t="s">
        <v>62</v>
      </c>
      <c r="AN269" s="1261">
        <v>1</v>
      </c>
      <c r="AO269" s="1276"/>
      <c r="AP269" s="1277"/>
      <c r="AQ269" s="1276"/>
      <c r="AR269" s="1278"/>
      <c r="AS269" s="1278"/>
    </row>
    <row r="270" spans="1:45" ht="15.6">
      <c r="A270" s="1097" t="s">
        <v>53</v>
      </c>
      <c r="B270" s="1103" t="s">
        <v>583</v>
      </c>
      <c r="C270" s="1098" t="s">
        <v>584</v>
      </c>
      <c r="D270" s="1098" t="s">
        <v>585</v>
      </c>
      <c r="E270" s="1461" t="s">
        <v>125</v>
      </c>
      <c r="F270" s="856">
        <v>2024</v>
      </c>
      <c r="G270" s="1099">
        <v>45290</v>
      </c>
      <c r="H270" s="1192">
        <v>200104502</v>
      </c>
      <c r="I270" s="1462" t="s">
        <v>604</v>
      </c>
      <c r="J270" s="1109">
        <v>7</v>
      </c>
      <c r="K270" s="3" t="s">
        <v>128</v>
      </c>
      <c r="L270" s="3" t="s">
        <v>60</v>
      </c>
      <c r="M270" s="786">
        <v>533.70000000000005</v>
      </c>
      <c r="N270" s="786">
        <v>303.86</v>
      </c>
      <c r="O270" s="1205">
        <v>45296</v>
      </c>
      <c r="P270" s="1205">
        <v>45295</v>
      </c>
      <c r="Q270" s="3" t="s">
        <v>605</v>
      </c>
      <c r="R270" s="3" t="s">
        <v>606</v>
      </c>
      <c r="S270" s="856" t="s">
        <v>62</v>
      </c>
      <c r="T270" s="1212"/>
      <c r="U270" s="3" t="s">
        <v>130</v>
      </c>
      <c r="V270" s="825"/>
      <c r="W270" s="786">
        <v>319.5</v>
      </c>
      <c r="X270" s="1311"/>
      <c r="Y270" s="1205">
        <v>45295</v>
      </c>
      <c r="Z270" s="851" t="s">
        <v>62</v>
      </c>
      <c r="AA270" s="1232"/>
      <c r="AB270" s="1099">
        <v>45296</v>
      </c>
      <c r="AC270" s="1099">
        <v>45296</v>
      </c>
      <c r="AD270" s="1226">
        <f>350+505</f>
        <v>855</v>
      </c>
      <c r="AE270" s="1264">
        <f t="shared" si="24"/>
        <v>0.97714285714285709</v>
      </c>
      <c r="AF270" s="1315" t="s">
        <v>64</v>
      </c>
      <c r="AG270" s="1317">
        <v>1</v>
      </c>
      <c r="AH270" s="1076" t="s">
        <v>162</v>
      </c>
      <c r="AI270" s="1266">
        <v>45308</v>
      </c>
      <c r="AJ270" s="1266">
        <v>45309</v>
      </c>
      <c r="AK270" s="1267">
        <f>61828+90010+73100+59836</f>
        <v>284774</v>
      </c>
      <c r="AL270" s="1264">
        <f t="shared" si="25"/>
        <v>0.9786048109965636</v>
      </c>
      <c r="AM270" s="1265" t="s">
        <v>62</v>
      </c>
      <c r="AN270" s="1261">
        <v>1</v>
      </c>
      <c r="AO270" s="1276"/>
      <c r="AP270" s="1277"/>
      <c r="AQ270" s="1276"/>
      <c r="AR270" s="1278"/>
      <c r="AS270" s="1278"/>
    </row>
    <row r="271" spans="1:45" ht="15.6">
      <c r="A271" s="1097" t="s">
        <v>53</v>
      </c>
      <c r="B271" s="1103" t="s">
        <v>583</v>
      </c>
      <c r="C271" s="1098" t="s">
        <v>584</v>
      </c>
      <c r="D271" s="1098" t="s">
        <v>585</v>
      </c>
      <c r="E271" s="1461" t="s">
        <v>125</v>
      </c>
      <c r="F271" s="856">
        <v>2024</v>
      </c>
      <c r="G271" s="3" t="s">
        <v>607</v>
      </c>
      <c r="H271" s="3">
        <v>200104640</v>
      </c>
      <c r="I271" s="1463" t="s">
        <v>608</v>
      </c>
      <c r="J271" s="1109">
        <v>8</v>
      </c>
      <c r="K271" s="3" t="s">
        <v>60</v>
      </c>
      <c r="L271" s="3" t="s">
        <v>60</v>
      </c>
      <c r="M271" s="762">
        <v>535.4</v>
      </c>
      <c r="N271" s="762">
        <v>304.08</v>
      </c>
      <c r="O271" s="1205">
        <v>45306</v>
      </c>
      <c r="P271" s="1205">
        <v>45303</v>
      </c>
      <c r="Q271" s="3" t="s">
        <v>609</v>
      </c>
      <c r="R271" s="3" t="s">
        <v>610</v>
      </c>
      <c r="S271" s="856" t="s">
        <v>62</v>
      </c>
      <c r="T271" s="1212"/>
      <c r="U271" s="3" t="s">
        <v>130</v>
      </c>
      <c r="V271" s="825"/>
      <c r="W271" s="762">
        <v>319.83999999999997</v>
      </c>
      <c r="X271" s="1311"/>
      <c r="Y271" s="1205">
        <v>45306</v>
      </c>
      <c r="Z271" s="851" t="s">
        <v>62</v>
      </c>
      <c r="AA271" s="851"/>
      <c r="AB271" s="1099">
        <v>45307</v>
      </c>
      <c r="AC271" s="1099">
        <v>45307</v>
      </c>
      <c r="AD271" s="1226">
        <f>380+190+285</f>
        <v>855</v>
      </c>
      <c r="AE271" s="1264">
        <f t="shared" si="24"/>
        <v>0.97714285714285709</v>
      </c>
      <c r="AF271" s="1315" t="s">
        <v>64</v>
      </c>
      <c r="AG271" s="1317">
        <v>1</v>
      </c>
      <c r="AH271" s="1076" t="s">
        <v>162</v>
      </c>
      <c r="AI271" s="1266">
        <v>45309</v>
      </c>
      <c r="AJ271" s="1266">
        <v>45313</v>
      </c>
      <c r="AK271" s="1267">
        <f>11200+86650+81220+88210+17657</f>
        <v>284937</v>
      </c>
      <c r="AL271" s="1264">
        <f t="shared" si="25"/>
        <v>0.97916494845360824</v>
      </c>
      <c r="AM271" s="1265" t="s">
        <v>62</v>
      </c>
      <c r="AN271" s="1261">
        <v>1</v>
      </c>
      <c r="AO271" s="1276"/>
      <c r="AP271" s="1277"/>
      <c r="AQ271" s="1276"/>
      <c r="AR271" s="1278"/>
      <c r="AS271" s="1278"/>
    </row>
    <row r="272" spans="1:45" ht="15.6">
      <c r="A272" s="1097" t="s">
        <v>53</v>
      </c>
      <c r="B272" s="1103" t="s">
        <v>583</v>
      </c>
      <c r="C272" s="1098" t="s">
        <v>584</v>
      </c>
      <c r="D272" s="1098" t="s">
        <v>585</v>
      </c>
      <c r="E272" s="1461" t="s">
        <v>125</v>
      </c>
      <c r="F272" s="856">
        <v>2024</v>
      </c>
      <c r="G272" s="3" t="s">
        <v>607</v>
      </c>
      <c r="H272" s="3">
        <v>200104641</v>
      </c>
      <c r="I272" s="1463" t="s">
        <v>611</v>
      </c>
      <c r="J272" s="1109">
        <v>9</v>
      </c>
      <c r="K272" s="3" t="s">
        <v>60</v>
      </c>
      <c r="L272" s="3" t="s">
        <v>60</v>
      </c>
      <c r="M272" s="762">
        <v>536.20000000000005</v>
      </c>
      <c r="N272" s="762">
        <v>304.85000000000002</v>
      </c>
      <c r="O272" s="1205">
        <v>45306</v>
      </c>
      <c r="P272" s="1205">
        <v>45303</v>
      </c>
      <c r="Q272" s="3" t="s">
        <v>612</v>
      </c>
      <c r="R272" s="3" t="s">
        <v>613</v>
      </c>
      <c r="S272" s="856" t="s">
        <v>62</v>
      </c>
      <c r="T272" s="1212"/>
      <c r="U272" s="3" t="s">
        <v>130</v>
      </c>
      <c r="V272" s="825"/>
      <c r="W272" s="762">
        <v>320.3</v>
      </c>
      <c r="X272" s="1311"/>
      <c r="Y272" s="1205">
        <v>45306</v>
      </c>
      <c r="Z272" s="851" t="s">
        <v>62</v>
      </c>
      <c r="AA272" s="851"/>
      <c r="AB272" s="1099">
        <v>45308</v>
      </c>
      <c r="AC272" s="1099">
        <v>45308</v>
      </c>
      <c r="AD272" s="1226">
        <f>635+220</f>
        <v>855</v>
      </c>
      <c r="AE272" s="1264">
        <f t="shared" si="24"/>
        <v>0.97714285714285709</v>
      </c>
      <c r="AF272" s="1315" t="s">
        <v>64</v>
      </c>
      <c r="AG272" s="1317">
        <v>1</v>
      </c>
      <c r="AH272" s="1076" t="s">
        <v>162</v>
      </c>
      <c r="AI272" s="1266">
        <v>45313</v>
      </c>
      <c r="AJ272" s="1266">
        <v>45317</v>
      </c>
      <c r="AK272" s="1267">
        <f>66860+92725+70050+55066</f>
        <v>284701</v>
      </c>
      <c r="AL272" s="1264">
        <f t="shared" si="25"/>
        <v>0.97835395189003438</v>
      </c>
      <c r="AM272" s="1265" t="s">
        <v>62</v>
      </c>
      <c r="AN272" s="1261">
        <v>1</v>
      </c>
      <c r="AO272" s="1276"/>
      <c r="AP272" s="1277"/>
      <c r="AQ272" s="1276"/>
      <c r="AR272" s="1278"/>
      <c r="AS272" s="1278"/>
    </row>
    <row r="273" spans="1:45" ht="15.6">
      <c r="A273" s="1097" t="s">
        <v>53</v>
      </c>
      <c r="B273" s="1103" t="s">
        <v>583</v>
      </c>
      <c r="C273" s="1098" t="s">
        <v>584</v>
      </c>
      <c r="D273" s="1098" t="s">
        <v>585</v>
      </c>
      <c r="E273" s="1461" t="s">
        <v>125</v>
      </c>
      <c r="F273" s="856">
        <v>2024</v>
      </c>
      <c r="G273" s="3" t="s">
        <v>607</v>
      </c>
      <c r="H273" s="3">
        <v>200104642</v>
      </c>
      <c r="I273" s="1463" t="s">
        <v>614</v>
      </c>
      <c r="J273" s="1109">
        <v>10</v>
      </c>
      <c r="K273" s="3" t="s">
        <v>60</v>
      </c>
      <c r="L273" s="3" t="s">
        <v>60</v>
      </c>
      <c r="M273" s="762">
        <v>540.5</v>
      </c>
      <c r="N273" s="762">
        <v>307.45999999999998</v>
      </c>
      <c r="O273" s="1205">
        <v>45306</v>
      </c>
      <c r="P273" s="1205">
        <v>45303</v>
      </c>
      <c r="Q273" s="3" t="s">
        <v>615</v>
      </c>
      <c r="R273" s="3" t="s">
        <v>616</v>
      </c>
      <c r="S273" s="856" t="s">
        <v>62</v>
      </c>
      <c r="T273" s="1212"/>
      <c r="U273" s="3" t="s">
        <v>130</v>
      </c>
      <c r="V273" s="825"/>
      <c r="W273" s="762">
        <v>323</v>
      </c>
      <c r="X273" s="1311"/>
      <c r="Y273" s="1205">
        <v>45306</v>
      </c>
      <c r="Z273" s="851" t="s">
        <v>62</v>
      </c>
      <c r="AA273" s="851"/>
      <c r="AB273" s="1099">
        <v>45308</v>
      </c>
      <c r="AC273" s="1099">
        <v>45309</v>
      </c>
      <c r="AD273" s="1226">
        <f>305+455+100</f>
        <v>860</v>
      </c>
      <c r="AE273" s="1264">
        <f t="shared" si="24"/>
        <v>0.98285714285714287</v>
      </c>
      <c r="AF273" s="1315" t="s">
        <v>64</v>
      </c>
      <c r="AG273" s="1317">
        <v>1</v>
      </c>
      <c r="AH273" s="1076" t="s">
        <v>617</v>
      </c>
      <c r="AI273" s="1266">
        <v>45313</v>
      </c>
      <c r="AJ273" s="1266">
        <v>45313</v>
      </c>
      <c r="AK273" s="1267">
        <f>11600+22000+10200</f>
        <v>43800</v>
      </c>
      <c r="AL273" s="1264">
        <f t="shared" si="25"/>
        <v>0.15051546391752577</v>
      </c>
      <c r="AM273" s="1265" t="s">
        <v>62</v>
      </c>
      <c r="AN273" s="1261">
        <v>1</v>
      </c>
      <c r="AO273" s="1276"/>
      <c r="AP273" s="1277"/>
      <c r="AQ273" s="1276"/>
      <c r="AR273" s="1278"/>
      <c r="AS273" s="1278"/>
    </row>
    <row r="274" spans="1:45" ht="15.6">
      <c r="A274" s="1097" t="s">
        <v>53</v>
      </c>
      <c r="B274" s="1103" t="s">
        <v>583</v>
      </c>
      <c r="C274" s="1098" t="s">
        <v>584</v>
      </c>
      <c r="D274" s="1098" t="s">
        <v>585</v>
      </c>
      <c r="E274" s="1461" t="s">
        <v>125</v>
      </c>
      <c r="F274" s="856">
        <v>2024</v>
      </c>
      <c r="G274" s="3" t="s">
        <v>607</v>
      </c>
      <c r="H274" s="3">
        <v>200104643</v>
      </c>
      <c r="I274" s="1463" t="s">
        <v>618</v>
      </c>
      <c r="J274" s="1109">
        <v>11</v>
      </c>
      <c r="K274" s="3" t="s">
        <v>60</v>
      </c>
      <c r="L274" s="3" t="s">
        <v>128</v>
      </c>
      <c r="M274" s="762">
        <v>530.1</v>
      </c>
      <c r="N274" s="762">
        <v>305.14</v>
      </c>
      <c r="O274" s="1205">
        <v>45307</v>
      </c>
      <c r="P274" s="1205">
        <v>45307</v>
      </c>
      <c r="Q274" s="3" t="s">
        <v>619</v>
      </c>
      <c r="R274" s="3" t="s">
        <v>620</v>
      </c>
      <c r="S274" s="856" t="s">
        <v>62</v>
      </c>
      <c r="T274" s="1212"/>
      <c r="U274" s="3" t="s">
        <v>130</v>
      </c>
      <c r="V274" s="825"/>
      <c r="W274" s="762">
        <v>320.8</v>
      </c>
      <c r="X274" s="1311"/>
      <c r="Y274" s="1205">
        <v>45309</v>
      </c>
      <c r="Z274" s="851" t="s">
        <v>62</v>
      </c>
      <c r="AA274" s="851"/>
      <c r="AB274" s="1099">
        <v>45309</v>
      </c>
      <c r="AC274" s="1099">
        <v>45310</v>
      </c>
      <c r="AD274" s="1226">
        <f>390+463</f>
        <v>853</v>
      </c>
      <c r="AE274" s="1264">
        <f t="shared" si="24"/>
        <v>0.97485714285714287</v>
      </c>
      <c r="AF274" s="1315" t="s">
        <v>64</v>
      </c>
      <c r="AG274" s="1317">
        <v>1</v>
      </c>
      <c r="AH274" s="1076" t="s">
        <v>162</v>
      </c>
      <c r="AI274" s="1266">
        <v>45320</v>
      </c>
      <c r="AJ274" s="1266">
        <v>45321</v>
      </c>
      <c r="AK274" s="1267">
        <f>53550+94350+102410+33524</f>
        <v>283834</v>
      </c>
      <c r="AL274" s="1264">
        <f t="shared" si="25"/>
        <v>0.97537457044673537</v>
      </c>
      <c r="AM274" s="1265" t="s">
        <v>62</v>
      </c>
      <c r="AN274" s="1261">
        <v>1</v>
      </c>
      <c r="AO274" s="1276"/>
      <c r="AP274" s="1277"/>
      <c r="AQ274" s="1276"/>
      <c r="AR274" s="1278"/>
      <c r="AS274" s="1278"/>
    </row>
    <row r="275" spans="1:45" ht="15.6">
      <c r="A275" s="1097" t="s">
        <v>53</v>
      </c>
      <c r="B275" s="1103"/>
      <c r="C275" s="1098"/>
      <c r="D275" s="1098"/>
      <c r="E275" s="1076"/>
      <c r="F275" s="1073"/>
      <c r="G275" s="1307"/>
      <c r="H275" s="1308"/>
      <c r="I275" s="1308"/>
      <c r="J275" s="1109"/>
      <c r="K275" s="851"/>
      <c r="L275" s="851"/>
      <c r="M275" s="851"/>
      <c r="N275" s="851"/>
      <c r="O275" s="1205"/>
      <c r="P275" s="1205"/>
      <c r="Q275" s="851"/>
      <c r="R275" s="851"/>
      <c r="S275" s="856"/>
      <c r="T275" s="851"/>
      <c r="U275" s="851"/>
      <c r="V275" s="1312"/>
      <c r="W275" s="851"/>
      <c r="X275" s="1179"/>
      <c r="Y275" s="1205"/>
      <c r="Z275" s="851"/>
      <c r="AA275" s="1232"/>
      <c r="AB275" s="1099"/>
      <c r="AC275" s="1099"/>
      <c r="AD275" s="1226"/>
      <c r="AE275" s="1264"/>
      <c r="AF275" s="1315"/>
      <c r="AG275" s="1318"/>
      <c r="AH275" s="1109"/>
      <c r="AI275" s="1248"/>
      <c r="AJ275" s="1248"/>
      <c r="AK275" s="1263"/>
      <c r="AL275" s="1264"/>
      <c r="AM275" s="1260"/>
      <c r="AN275" s="1261"/>
      <c r="AO275" s="1276"/>
      <c r="AP275" s="1277"/>
      <c r="AQ275" s="1276"/>
      <c r="AR275" s="1278"/>
      <c r="AS275" s="1278"/>
    </row>
    <row r="276" spans="1:45" ht="15.6">
      <c r="A276" s="1097" t="s">
        <v>53</v>
      </c>
      <c r="B276" s="1103" t="s">
        <v>583</v>
      </c>
      <c r="C276" s="1098" t="s">
        <v>584</v>
      </c>
      <c r="D276" s="1098" t="s">
        <v>585</v>
      </c>
      <c r="E276" s="1461" t="s">
        <v>163</v>
      </c>
      <c r="F276" s="856">
        <v>2024</v>
      </c>
      <c r="G276" s="1099">
        <v>45308</v>
      </c>
      <c r="H276" s="12" t="s">
        <v>621</v>
      </c>
      <c r="I276" s="1310" t="s">
        <v>622</v>
      </c>
      <c r="J276" s="1109">
        <v>1</v>
      </c>
      <c r="K276" s="3" t="s">
        <v>60</v>
      </c>
      <c r="L276" s="3" t="s">
        <v>128</v>
      </c>
      <c r="M276" s="762">
        <v>535</v>
      </c>
      <c r="N276" s="762">
        <v>306.63</v>
      </c>
      <c r="O276" s="1205">
        <v>45316</v>
      </c>
      <c r="P276" s="1205">
        <v>45317</v>
      </c>
      <c r="Q276" s="3" t="s">
        <v>623</v>
      </c>
      <c r="R276" s="3" t="s">
        <v>624</v>
      </c>
      <c r="S276" s="856" t="s">
        <v>62</v>
      </c>
      <c r="T276" s="1212"/>
      <c r="U276" s="3" t="s">
        <v>130</v>
      </c>
      <c r="V276" s="825"/>
      <c r="W276" s="762">
        <v>322.39999999999998</v>
      </c>
      <c r="X276" s="1311"/>
      <c r="Y276" s="1205">
        <v>45317</v>
      </c>
      <c r="Z276" s="851" t="s">
        <v>62</v>
      </c>
      <c r="AA276" s="851"/>
      <c r="AB276" s="1099">
        <v>45320</v>
      </c>
      <c r="AC276" s="1099">
        <v>45323</v>
      </c>
      <c r="AD276" s="1226">
        <f>350+32+170+302</f>
        <v>854</v>
      </c>
      <c r="AE276" s="1264">
        <f t="shared" ref="AE276:AE285" si="26">AD276/875</f>
        <v>0.97599999999999998</v>
      </c>
      <c r="AF276" s="1315" t="s">
        <v>64</v>
      </c>
      <c r="AG276" s="1317">
        <v>1</v>
      </c>
      <c r="AH276" s="1109" t="s">
        <v>617</v>
      </c>
      <c r="AI276" s="1266">
        <v>45338</v>
      </c>
      <c r="AJ276" s="1266">
        <v>45338</v>
      </c>
      <c r="AK276" s="1267">
        <f>9200+22500+26800+14500+51000+68300+53000+22700</f>
        <v>268000</v>
      </c>
      <c r="AL276" s="1264">
        <f t="shared" ref="AL276:AL285" si="27">AK276/291000</f>
        <v>0.92096219931271472</v>
      </c>
      <c r="AM276" s="1265" t="s">
        <v>62</v>
      </c>
      <c r="AN276" s="1261">
        <v>1</v>
      </c>
      <c r="AO276" s="1276">
        <v>2688</v>
      </c>
      <c r="AP276" s="1321">
        <v>45400</v>
      </c>
      <c r="AQ276" s="1276" t="s">
        <v>617</v>
      </c>
      <c r="AR276" s="1278"/>
      <c r="AS276" s="1278"/>
    </row>
    <row r="277" spans="1:45" ht="15.6">
      <c r="A277" s="1097" t="s">
        <v>53</v>
      </c>
      <c r="B277" s="1103" t="s">
        <v>583</v>
      </c>
      <c r="C277" s="1098" t="s">
        <v>584</v>
      </c>
      <c r="D277" s="1098" t="s">
        <v>585</v>
      </c>
      <c r="E277" s="1461" t="s">
        <v>163</v>
      </c>
      <c r="F277" s="856">
        <v>2024</v>
      </c>
      <c r="G277" s="1099">
        <v>45308</v>
      </c>
      <c r="H277" s="12" t="s">
        <v>625</v>
      </c>
      <c r="I277" s="1310" t="s">
        <v>626</v>
      </c>
      <c r="J277" s="1109">
        <v>2</v>
      </c>
      <c r="K277" s="3" t="s">
        <v>60</v>
      </c>
      <c r="L277" s="3" t="s">
        <v>128</v>
      </c>
      <c r="M277" s="762">
        <v>537.79999999999995</v>
      </c>
      <c r="N277" s="762">
        <v>305.20999999999998</v>
      </c>
      <c r="O277" s="1205">
        <v>45316</v>
      </c>
      <c r="P277" s="1205">
        <v>45317</v>
      </c>
      <c r="Q277" s="3" t="s">
        <v>627</v>
      </c>
      <c r="R277" s="3" t="s">
        <v>628</v>
      </c>
      <c r="S277" s="856" t="s">
        <v>62</v>
      </c>
      <c r="T277" s="1212"/>
      <c r="U277" s="3" t="s">
        <v>130</v>
      </c>
      <c r="V277" s="825"/>
      <c r="W277" s="762">
        <v>321.10000000000002</v>
      </c>
      <c r="X277" s="1311"/>
      <c r="Y277" s="1205">
        <v>45317</v>
      </c>
      <c r="Z277" s="851" t="s">
        <v>62</v>
      </c>
      <c r="AA277" s="851"/>
      <c r="AB277" s="1099">
        <v>45320</v>
      </c>
      <c r="AC277" s="1099">
        <v>45321</v>
      </c>
      <c r="AD277" s="1226">
        <f>455+401</f>
        <v>856</v>
      </c>
      <c r="AE277" s="1264">
        <f t="shared" si="26"/>
        <v>0.97828571428571431</v>
      </c>
      <c r="AF277" s="1315" t="s">
        <v>64</v>
      </c>
      <c r="AG277" s="1317">
        <v>1</v>
      </c>
      <c r="AH277" s="1076" t="s">
        <v>162</v>
      </c>
      <c r="AI277" s="1266">
        <v>45322</v>
      </c>
      <c r="AJ277" s="1266">
        <v>45323</v>
      </c>
      <c r="AK277" s="1267">
        <f>60750+99249+96114+28671</f>
        <v>284784</v>
      </c>
      <c r="AL277" s="1264">
        <f t="shared" si="27"/>
        <v>0.97863917525773192</v>
      </c>
      <c r="AM277" s="1265" t="s">
        <v>62</v>
      </c>
      <c r="AN277" s="1261">
        <v>1</v>
      </c>
      <c r="AO277" s="1276"/>
      <c r="AP277" s="1277"/>
      <c r="AQ277" s="1276"/>
      <c r="AR277" s="1278"/>
      <c r="AS277" s="1278"/>
    </row>
    <row r="278" spans="1:45" ht="15.6">
      <c r="A278" s="1097" t="s">
        <v>53</v>
      </c>
      <c r="B278" s="1103" t="s">
        <v>583</v>
      </c>
      <c r="C278" s="1098" t="s">
        <v>584</v>
      </c>
      <c r="D278" s="1098" t="s">
        <v>585</v>
      </c>
      <c r="E278" s="1461" t="s">
        <v>163</v>
      </c>
      <c r="F278" s="856">
        <v>2024</v>
      </c>
      <c r="G278" s="1099">
        <v>45308</v>
      </c>
      <c r="H278" s="12" t="s">
        <v>629</v>
      </c>
      <c r="I278" s="1310" t="s">
        <v>630</v>
      </c>
      <c r="J278" s="1109">
        <v>3</v>
      </c>
      <c r="K278" s="3" t="s">
        <v>60</v>
      </c>
      <c r="L278" s="3" t="s">
        <v>128</v>
      </c>
      <c r="M278" s="762">
        <v>543.9</v>
      </c>
      <c r="N278" s="762">
        <v>305.72000000000003</v>
      </c>
      <c r="O278" s="1205">
        <v>45316</v>
      </c>
      <c r="P278" s="1205">
        <v>45317</v>
      </c>
      <c r="Q278" s="3" t="s">
        <v>631</v>
      </c>
      <c r="R278" s="3" t="s">
        <v>632</v>
      </c>
      <c r="S278" s="856" t="s">
        <v>62</v>
      </c>
      <c r="T278" s="1212"/>
      <c r="U278" s="3" t="s">
        <v>130</v>
      </c>
      <c r="V278" s="825"/>
      <c r="W278" s="762">
        <v>321.2</v>
      </c>
      <c r="X278" s="1311"/>
      <c r="Y278" s="1205">
        <v>45317</v>
      </c>
      <c r="Z278" s="851" t="s">
        <v>62</v>
      </c>
      <c r="AA278" s="851"/>
      <c r="AB278" s="1099">
        <v>45321</v>
      </c>
      <c r="AC278" s="1099">
        <v>45321</v>
      </c>
      <c r="AD278" s="1226">
        <f>150+630+80</f>
        <v>860</v>
      </c>
      <c r="AE278" s="1264">
        <f t="shared" si="26"/>
        <v>0.98285714285714287</v>
      </c>
      <c r="AF278" s="1315" t="s">
        <v>64</v>
      </c>
      <c r="AG278" s="1317">
        <v>1</v>
      </c>
      <c r="AH278" s="1076" t="s">
        <v>162</v>
      </c>
      <c r="AI278" s="1266">
        <v>45323</v>
      </c>
      <c r="AJ278" s="1266">
        <v>45324</v>
      </c>
      <c r="AK278" s="1267">
        <f>5000+96523+77460+81000+26600</f>
        <v>286583</v>
      </c>
      <c r="AL278" s="1264">
        <f t="shared" si="27"/>
        <v>0.9848213058419244</v>
      </c>
      <c r="AM278" s="1265" t="s">
        <v>62</v>
      </c>
      <c r="AN278" s="1261">
        <v>1</v>
      </c>
      <c r="AO278" s="1276"/>
      <c r="AP278" s="1277"/>
      <c r="AQ278" s="1276"/>
      <c r="AR278" s="1278"/>
      <c r="AS278" s="1278"/>
    </row>
    <row r="279" spans="1:45" ht="15.6">
      <c r="A279" s="1097" t="s">
        <v>53</v>
      </c>
      <c r="B279" s="1103" t="s">
        <v>583</v>
      </c>
      <c r="C279" s="1098" t="s">
        <v>584</v>
      </c>
      <c r="D279" s="1098" t="s">
        <v>585</v>
      </c>
      <c r="E279" s="1461" t="s">
        <v>163</v>
      </c>
      <c r="F279" s="856">
        <v>2024</v>
      </c>
      <c r="G279" s="1099">
        <v>45308</v>
      </c>
      <c r="H279" s="12" t="s">
        <v>633</v>
      </c>
      <c r="I279" s="1310" t="s">
        <v>634</v>
      </c>
      <c r="J279" s="1109">
        <v>4</v>
      </c>
      <c r="K279" s="3" t="s">
        <v>60</v>
      </c>
      <c r="L279" s="3" t="s">
        <v>128</v>
      </c>
      <c r="M279" s="762">
        <v>537.79999999999995</v>
      </c>
      <c r="N279" s="762">
        <v>308.08999999999997</v>
      </c>
      <c r="O279" s="1205">
        <v>45320</v>
      </c>
      <c r="P279" s="1205">
        <v>45317</v>
      </c>
      <c r="Q279" s="3" t="s">
        <v>635</v>
      </c>
      <c r="R279" s="3" t="s">
        <v>636</v>
      </c>
      <c r="S279" s="856" t="s">
        <v>62</v>
      </c>
      <c r="T279" s="1212"/>
      <c r="U279" s="3" t="s">
        <v>130</v>
      </c>
      <c r="V279" s="825"/>
      <c r="W279" s="762">
        <v>324.2</v>
      </c>
      <c r="X279" s="1311"/>
      <c r="Y279" s="1205">
        <v>45320</v>
      </c>
      <c r="Z279" s="851" t="s">
        <v>62</v>
      </c>
      <c r="AA279" s="851"/>
      <c r="AB279" s="1099">
        <v>45321</v>
      </c>
      <c r="AC279" s="1099">
        <v>45322</v>
      </c>
      <c r="AD279" s="1226">
        <f>545+314</f>
        <v>859</v>
      </c>
      <c r="AE279" s="1264">
        <f t="shared" si="26"/>
        <v>0.98171428571428576</v>
      </c>
      <c r="AF279" s="1315" t="s">
        <v>64</v>
      </c>
      <c r="AG279" s="1317">
        <v>1</v>
      </c>
      <c r="AH279" s="1109" t="s">
        <v>617</v>
      </c>
      <c r="AI279" s="1266">
        <v>45324</v>
      </c>
      <c r="AJ279" s="1266">
        <v>45329</v>
      </c>
      <c r="AK279" s="1267">
        <f>1600+12000+9300+5100+600+28600+52900+60000+47600+43200+4500+20600+693</f>
        <v>286693</v>
      </c>
      <c r="AL279" s="1264">
        <f t="shared" si="27"/>
        <v>0.98519931271477668</v>
      </c>
      <c r="AM279" s="1265" t="s">
        <v>62</v>
      </c>
      <c r="AN279" s="1261">
        <v>1</v>
      </c>
      <c r="AO279" s="1276">
        <v>3270</v>
      </c>
      <c r="AP279" s="1321">
        <v>45400</v>
      </c>
      <c r="AQ279" s="1276" t="s">
        <v>617</v>
      </c>
      <c r="AR279" s="1278"/>
      <c r="AS279" s="1278"/>
    </row>
    <row r="280" spans="1:45" ht="15.6">
      <c r="A280" s="1097" t="s">
        <v>53</v>
      </c>
      <c r="B280" s="1103" t="s">
        <v>583</v>
      </c>
      <c r="C280" s="1098" t="s">
        <v>584</v>
      </c>
      <c r="D280" s="1098" t="s">
        <v>585</v>
      </c>
      <c r="E280" s="1461" t="s">
        <v>163</v>
      </c>
      <c r="F280" s="856">
        <v>2024</v>
      </c>
      <c r="G280" s="1099">
        <v>45308</v>
      </c>
      <c r="H280" s="12" t="s">
        <v>637</v>
      </c>
      <c r="I280" s="1310" t="s">
        <v>638</v>
      </c>
      <c r="J280" s="1109">
        <v>5</v>
      </c>
      <c r="K280" s="3" t="s">
        <v>60</v>
      </c>
      <c r="L280" s="3" t="s">
        <v>128</v>
      </c>
      <c r="M280" s="762">
        <v>542.5</v>
      </c>
      <c r="N280" s="762">
        <v>306.56</v>
      </c>
      <c r="O280" s="1205">
        <v>45320</v>
      </c>
      <c r="P280" s="1205">
        <v>45321</v>
      </c>
      <c r="Q280" s="3" t="s">
        <v>639</v>
      </c>
      <c r="R280" s="3" t="s">
        <v>640</v>
      </c>
      <c r="S280" s="856" t="s">
        <v>62</v>
      </c>
      <c r="T280" s="1212"/>
      <c r="U280" s="3" t="s">
        <v>130</v>
      </c>
      <c r="V280" s="825"/>
      <c r="W280" s="762">
        <v>322.3</v>
      </c>
      <c r="X280" s="1311"/>
      <c r="Y280" s="1205">
        <v>45321</v>
      </c>
      <c r="Z280" s="851" t="s">
        <v>62</v>
      </c>
      <c r="AA280" s="851"/>
      <c r="AB280" s="1099">
        <v>45322</v>
      </c>
      <c r="AC280" s="1099">
        <v>45322</v>
      </c>
      <c r="AD280" s="1226">
        <f>195+570+95</f>
        <v>860</v>
      </c>
      <c r="AE280" s="1264">
        <f t="shared" si="26"/>
        <v>0.98285714285714287</v>
      </c>
      <c r="AF280" s="1315" t="s">
        <v>64</v>
      </c>
      <c r="AG280" s="1317">
        <v>1</v>
      </c>
      <c r="AH280" s="1076" t="s">
        <v>162</v>
      </c>
      <c r="AI280" s="1266">
        <v>45324</v>
      </c>
      <c r="AJ280" s="1266">
        <v>45327</v>
      </c>
      <c r="AK280" s="1267">
        <f>64400+81000+96250+44703</f>
        <v>286353</v>
      </c>
      <c r="AL280" s="1264">
        <f t="shared" si="27"/>
        <v>0.98403092783505153</v>
      </c>
      <c r="AM280" s="1265" t="s">
        <v>62</v>
      </c>
      <c r="AN280" s="1261">
        <v>1</v>
      </c>
      <c r="AO280" s="1276"/>
      <c r="AP280" s="1277"/>
      <c r="AQ280" s="1276"/>
      <c r="AR280" s="1278"/>
      <c r="AS280" s="1278"/>
    </row>
    <row r="281" spans="1:45" ht="15.6">
      <c r="A281" s="1097" t="s">
        <v>53</v>
      </c>
      <c r="B281" s="1103" t="s">
        <v>583</v>
      </c>
      <c r="C281" s="1098" t="s">
        <v>584</v>
      </c>
      <c r="D281" s="1098" t="s">
        <v>585</v>
      </c>
      <c r="E281" s="1461" t="s">
        <v>163</v>
      </c>
      <c r="F281" s="856">
        <v>2024</v>
      </c>
      <c r="G281" s="1099">
        <v>45308</v>
      </c>
      <c r="H281" s="12" t="s">
        <v>641</v>
      </c>
      <c r="I281" s="1310" t="s">
        <v>642</v>
      </c>
      <c r="J281" s="1109">
        <v>6</v>
      </c>
      <c r="K281" s="3" t="s">
        <v>60</v>
      </c>
      <c r="L281" s="3" t="s">
        <v>128</v>
      </c>
      <c r="M281" s="762">
        <v>534.79999999999995</v>
      </c>
      <c r="N281" s="762">
        <v>307.60000000000002</v>
      </c>
      <c r="O281" s="1205">
        <v>45321</v>
      </c>
      <c r="P281" s="1205">
        <v>45321</v>
      </c>
      <c r="Q281" s="3" t="s">
        <v>643</v>
      </c>
      <c r="R281" s="3" t="s">
        <v>644</v>
      </c>
      <c r="S281" s="856" t="s">
        <v>62</v>
      </c>
      <c r="T281" s="1212"/>
      <c r="U281" s="3" t="s">
        <v>130</v>
      </c>
      <c r="V281" s="825"/>
      <c r="W281" s="762">
        <v>323.8</v>
      </c>
      <c r="X281" s="1311"/>
      <c r="Y281" s="1205">
        <v>45321</v>
      </c>
      <c r="Z281" s="851" t="s">
        <v>62</v>
      </c>
      <c r="AA281" s="851"/>
      <c r="AB281" s="1099">
        <v>45322</v>
      </c>
      <c r="AC281" s="1099">
        <v>45323</v>
      </c>
      <c r="AD281" s="1226">
        <f>440+416</f>
        <v>856</v>
      </c>
      <c r="AE281" s="1264">
        <f t="shared" si="26"/>
        <v>0.97828571428571431</v>
      </c>
      <c r="AF281" s="1315" t="s">
        <v>64</v>
      </c>
      <c r="AG281" s="1317">
        <v>1</v>
      </c>
      <c r="AH281" s="1076" t="s">
        <v>162</v>
      </c>
      <c r="AI281" s="1266">
        <v>45324</v>
      </c>
      <c r="AJ281" s="1266">
        <v>45328</v>
      </c>
      <c r="AK281" s="1267">
        <f>46948+97500+94010+46457</f>
        <v>284915</v>
      </c>
      <c r="AL281" s="1264">
        <f t="shared" si="27"/>
        <v>0.97908934707903783</v>
      </c>
      <c r="AM281" s="1265" t="s">
        <v>62</v>
      </c>
      <c r="AN281" s="1261">
        <v>1</v>
      </c>
      <c r="AO281" s="1276"/>
      <c r="AP281" s="1277"/>
      <c r="AQ281" s="1276"/>
      <c r="AR281" s="1278"/>
      <c r="AS281" s="1278"/>
    </row>
    <row r="282" spans="1:45" ht="15.6">
      <c r="A282" s="1097" t="s">
        <v>53</v>
      </c>
      <c r="B282" s="1103" t="s">
        <v>583</v>
      </c>
      <c r="C282" s="1098" t="s">
        <v>584</v>
      </c>
      <c r="D282" s="1098" t="s">
        <v>585</v>
      </c>
      <c r="E282" s="1461" t="s">
        <v>163</v>
      </c>
      <c r="F282" s="856">
        <v>2024</v>
      </c>
      <c r="G282" s="1099">
        <v>45308</v>
      </c>
      <c r="H282" s="12" t="s">
        <v>645</v>
      </c>
      <c r="I282" s="1310" t="s">
        <v>646</v>
      </c>
      <c r="J282" s="1109">
        <v>7</v>
      </c>
      <c r="K282" s="3" t="s">
        <v>60</v>
      </c>
      <c r="L282" s="3" t="s">
        <v>128</v>
      </c>
      <c r="M282" s="762">
        <v>535.4</v>
      </c>
      <c r="N282" s="762">
        <v>305.08999999999997</v>
      </c>
      <c r="O282" s="1205">
        <v>45321</v>
      </c>
      <c r="P282" s="1205">
        <v>45322</v>
      </c>
      <c r="Q282" s="3" t="s">
        <v>647</v>
      </c>
      <c r="R282" s="3" t="s">
        <v>648</v>
      </c>
      <c r="S282" s="856" t="s">
        <v>62</v>
      </c>
      <c r="T282" s="1212"/>
      <c r="U282" s="3" t="s">
        <v>130</v>
      </c>
      <c r="V282" s="825"/>
      <c r="W282" s="762">
        <v>320.89999999999998</v>
      </c>
      <c r="X282" s="1311"/>
      <c r="Y282" s="1205">
        <v>45322</v>
      </c>
      <c r="Z282" s="851" t="s">
        <v>62</v>
      </c>
      <c r="AA282" s="851"/>
      <c r="AB282" s="1099">
        <v>45323</v>
      </c>
      <c r="AC282" s="1099">
        <v>45323</v>
      </c>
      <c r="AD282" s="1226">
        <f>245+610</f>
        <v>855</v>
      </c>
      <c r="AE282" s="1264">
        <f t="shared" si="26"/>
        <v>0.97714285714285709</v>
      </c>
      <c r="AF282" s="1315" t="s">
        <v>64</v>
      </c>
      <c r="AG282" s="1317">
        <v>1</v>
      </c>
      <c r="AH282" s="1076" t="s">
        <v>162</v>
      </c>
      <c r="AI282" s="1266">
        <v>45328</v>
      </c>
      <c r="AJ282" s="1266">
        <v>45331</v>
      </c>
      <c r="AK282" s="1267">
        <f>33058+75000+82210+89225+4937</f>
        <v>284430</v>
      </c>
      <c r="AL282" s="1264">
        <f t="shared" si="27"/>
        <v>0.97742268041237113</v>
      </c>
      <c r="AM282" s="1265" t="s">
        <v>62</v>
      </c>
      <c r="AN282" s="1261">
        <v>1</v>
      </c>
      <c r="AO282" s="1276"/>
      <c r="AP282" s="1277"/>
      <c r="AQ282" s="1276"/>
      <c r="AR282" s="1278"/>
      <c r="AS282" s="1278"/>
    </row>
    <row r="283" spans="1:45" ht="15.6">
      <c r="A283" s="1097" t="s">
        <v>53</v>
      </c>
      <c r="B283" s="1103" t="s">
        <v>583</v>
      </c>
      <c r="C283" s="1098" t="s">
        <v>584</v>
      </c>
      <c r="D283" s="1098" t="s">
        <v>585</v>
      </c>
      <c r="E283" s="1461" t="s">
        <v>163</v>
      </c>
      <c r="F283" s="856">
        <v>2024</v>
      </c>
      <c r="G283" s="1099">
        <v>45308</v>
      </c>
      <c r="H283" s="12" t="s">
        <v>649</v>
      </c>
      <c r="I283" s="1310" t="s">
        <v>650</v>
      </c>
      <c r="J283" s="1109">
        <v>8</v>
      </c>
      <c r="K283" s="3" t="s">
        <v>60</v>
      </c>
      <c r="L283" s="3" t="s">
        <v>128</v>
      </c>
      <c r="M283" s="762">
        <v>536.1</v>
      </c>
      <c r="N283" s="762">
        <v>306.22000000000003</v>
      </c>
      <c r="O283" s="1205">
        <v>45322</v>
      </c>
      <c r="P283" s="1205">
        <v>45322</v>
      </c>
      <c r="Q283" s="3" t="s">
        <v>651</v>
      </c>
      <c r="R283" s="3" t="s">
        <v>652</v>
      </c>
      <c r="S283" s="856" t="s">
        <v>62</v>
      </c>
      <c r="T283" s="1212"/>
      <c r="U283" s="3" t="s">
        <v>130</v>
      </c>
      <c r="V283" s="825"/>
      <c r="W283" s="762">
        <v>322</v>
      </c>
      <c r="X283" s="1311"/>
      <c r="Y283" s="1205">
        <v>45322</v>
      </c>
      <c r="Z283" s="851" t="s">
        <v>62</v>
      </c>
      <c r="AA283" s="851"/>
      <c r="AB283" s="1099">
        <v>45324</v>
      </c>
      <c r="AC283" s="1099">
        <v>45324</v>
      </c>
      <c r="AD283" s="1226">
        <f>525+330</f>
        <v>855</v>
      </c>
      <c r="AE283" s="1264">
        <f t="shared" si="26"/>
        <v>0.97714285714285709</v>
      </c>
      <c r="AF283" s="1315" t="s">
        <v>64</v>
      </c>
      <c r="AG283" s="1317">
        <v>1</v>
      </c>
      <c r="AH283" s="1076" t="s">
        <v>162</v>
      </c>
      <c r="AI283" s="1266">
        <v>45331</v>
      </c>
      <c r="AJ283" s="1266">
        <v>45334</v>
      </c>
      <c r="AK283" s="1267">
        <f>42000+66215+60000+66790+49713</f>
        <v>284718</v>
      </c>
      <c r="AL283" s="1264">
        <f t="shared" si="27"/>
        <v>0.97841237113402058</v>
      </c>
      <c r="AM283" s="1265" t="s">
        <v>62</v>
      </c>
      <c r="AN283" s="1261">
        <v>1</v>
      </c>
      <c r="AO283" s="1276"/>
      <c r="AP283" s="1277"/>
      <c r="AQ283" s="1276"/>
      <c r="AR283" s="1278"/>
      <c r="AS283" s="1278"/>
    </row>
    <row r="284" spans="1:45" ht="15.6">
      <c r="A284" s="1097" t="s">
        <v>53</v>
      </c>
      <c r="B284" s="1103" t="s">
        <v>583</v>
      </c>
      <c r="C284" s="1098" t="s">
        <v>584</v>
      </c>
      <c r="D284" s="1098" t="s">
        <v>585</v>
      </c>
      <c r="E284" s="1461" t="s">
        <v>163</v>
      </c>
      <c r="F284" s="856">
        <v>2024</v>
      </c>
      <c r="G284" s="1099">
        <v>45314</v>
      </c>
      <c r="H284" s="3">
        <v>200104611</v>
      </c>
      <c r="I284" s="1437" t="s">
        <v>653</v>
      </c>
      <c r="J284" s="1109">
        <v>9</v>
      </c>
      <c r="K284" s="3" t="s">
        <v>128</v>
      </c>
      <c r="L284" s="3" t="s">
        <v>128</v>
      </c>
      <c r="M284" s="3">
        <v>535.1</v>
      </c>
      <c r="N284" s="762">
        <v>305.17</v>
      </c>
      <c r="O284" s="1205">
        <v>45325</v>
      </c>
      <c r="P284" s="1205">
        <v>45337</v>
      </c>
      <c r="Q284" s="3" t="s">
        <v>654</v>
      </c>
      <c r="R284" s="3" t="s">
        <v>655</v>
      </c>
      <c r="S284" s="856" t="s">
        <v>62</v>
      </c>
      <c r="T284" s="1212"/>
      <c r="U284" s="3" t="s">
        <v>130</v>
      </c>
      <c r="V284" s="825"/>
      <c r="W284" s="762">
        <v>320.7</v>
      </c>
      <c r="X284" s="1311"/>
      <c r="Y284" s="1205">
        <v>45337</v>
      </c>
      <c r="Z284" s="851" t="s">
        <v>62</v>
      </c>
      <c r="AA284" s="851"/>
      <c r="AB284" s="1099">
        <v>45341</v>
      </c>
      <c r="AC284" s="1099">
        <v>45341</v>
      </c>
      <c r="AD284" s="1226">
        <f>355+501</f>
        <v>856</v>
      </c>
      <c r="AE284" s="1264">
        <f t="shared" si="26"/>
        <v>0.97828571428571431</v>
      </c>
      <c r="AF284" s="1315" t="s">
        <v>64</v>
      </c>
      <c r="AG284" s="1317">
        <v>1</v>
      </c>
      <c r="AH284" s="1076" t="s">
        <v>162</v>
      </c>
      <c r="AI284" s="1266">
        <v>45343</v>
      </c>
      <c r="AJ284" s="1266">
        <v>45363</v>
      </c>
      <c r="AK284" s="1267">
        <f>50200+86206+15390+3500+82500+40174+6987</f>
        <v>284957</v>
      </c>
      <c r="AL284" s="1264">
        <f t="shared" si="27"/>
        <v>0.97923367697594499</v>
      </c>
      <c r="AM284" s="1265" t="s">
        <v>62</v>
      </c>
      <c r="AN284" s="1261">
        <v>1</v>
      </c>
      <c r="AO284" s="1276"/>
      <c r="AP284" s="1277"/>
      <c r="AQ284" s="1276"/>
      <c r="AR284" s="1278"/>
      <c r="AS284" s="1278"/>
    </row>
    <row r="285" spans="1:45" ht="15.6">
      <c r="A285" s="1097" t="s">
        <v>53</v>
      </c>
      <c r="B285" s="1103" t="s">
        <v>583</v>
      </c>
      <c r="C285" s="1098" t="s">
        <v>584</v>
      </c>
      <c r="D285" s="1098" t="s">
        <v>585</v>
      </c>
      <c r="E285" s="1461" t="s">
        <v>163</v>
      </c>
      <c r="F285" s="856">
        <v>2024</v>
      </c>
      <c r="G285" s="1099">
        <v>45314</v>
      </c>
      <c r="H285" s="3">
        <v>200104612</v>
      </c>
      <c r="I285" s="1437" t="s">
        <v>656</v>
      </c>
      <c r="J285" s="1109">
        <v>10</v>
      </c>
      <c r="K285" s="3" t="s">
        <v>128</v>
      </c>
      <c r="L285" s="3" t="s">
        <v>128</v>
      </c>
      <c r="M285" s="3">
        <v>543.1</v>
      </c>
      <c r="N285" s="762">
        <v>306.62</v>
      </c>
      <c r="O285" s="1205">
        <v>45325</v>
      </c>
      <c r="P285" s="1205">
        <v>45337</v>
      </c>
      <c r="Q285" s="3" t="s">
        <v>657</v>
      </c>
      <c r="R285" s="3" t="s">
        <v>658</v>
      </c>
      <c r="S285" s="856" t="s">
        <v>62</v>
      </c>
      <c r="T285" s="1212"/>
      <c r="U285" s="3" t="s">
        <v>130</v>
      </c>
      <c r="V285" s="825"/>
      <c r="W285" s="762">
        <v>322.60000000000002</v>
      </c>
      <c r="X285" s="1311"/>
      <c r="Y285" s="1205">
        <v>45337</v>
      </c>
      <c r="Z285" s="851" t="s">
        <v>62</v>
      </c>
      <c r="AA285" s="851"/>
      <c r="AB285" s="1099">
        <v>45341</v>
      </c>
      <c r="AC285" s="1099">
        <v>45342</v>
      </c>
      <c r="AD285" s="1226">
        <f>45+670+150</f>
        <v>865</v>
      </c>
      <c r="AE285" s="1264">
        <f t="shared" si="26"/>
        <v>0.98857142857142855</v>
      </c>
      <c r="AF285" s="1315" t="s">
        <v>64</v>
      </c>
      <c r="AG285" s="1317">
        <v>1</v>
      </c>
      <c r="AH285" s="1076" t="s">
        <v>162</v>
      </c>
      <c r="AI285" s="1266">
        <v>45344</v>
      </c>
      <c r="AJ285" s="1266">
        <v>45345</v>
      </c>
      <c r="AK285" s="1267">
        <f>25500+98188+58776+63000+42264</f>
        <v>287728</v>
      </c>
      <c r="AL285" s="1264">
        <f t="shared" si="27"/>
        <v>0.98875601374570443</v>
      </c>
      <c r="AM285" s="1265" t="s">
        <v>62</v>
      </c>
      <c r="AN285" s="1261">
        <v>1</v>
      </c>
      <c r="AO285" s="1276"/>
      <c r="AP285" s="1277"/>
      <c r="AQ285" s="1276"/>
      <c r="AR285" s="1278"/>
      <c r="AS285" s="1278"/>
    </row>
    <row r="286" spans="1:45" ht="15.6">
      <c r="A286" s="1097" t="s">
        <v>53</v>
      </c>
      <c r="B286" s="1103"/>
      <c r="C286" s="1098"/>
      <c r="D286" s="1098"/>
      <c r="E286" s="1076"/>
      <c r="F286" s="1073"/>
      <c r="G286" s="1074"/>
      <c r="H286" s="2"/>
      <c r="I286" s="2"/>
      <c r="J286" s="1109"/>
      <c r="K286" s="851"/>
      <c r="L286" s="851"/>
      <c r="M286" s="851"/>
      <c r="N286" s="851"/>
      <c r="O286" s="1205"/>
      <c r="P286" s="1205"/>
      <c r="Q286" s="851"/>
      <c r="R286" s="851"/>
      <c r="S286" s="851"/>
      <c r="T286" s="851"/>
      <c r="U286" s="851"/>
      <c r="V286" s="1312"/>
      <c r="W286" s="851"/>
      <c r="X286" s="1179"/>
      <c r="Y286" s="1205"/>
      <c r="Z286" s="851"/>
      <c r="AA286" s="851"/>
      <c r="AB286" s="1099"/>
      <c r="AC286" s="1099"/>
      <c r="AD286" s="1226"/>
      <c r="AE286" s="1264"/>
      <c r="AF286" s="1315"/>
      <c r="AG286" s="1317"/>
      <c r="AH286" s="1076"/>
      <c r="AI286" s="1266"/>
      <c r="AJ286" s="1266"/>
      <c r="AK286" s="1267"/>
      <c r="AL286" s="1264"/>
      <c r="AM286" s="1287"/>
      <c r="AN286" s="1261"/>
      <c r="AO286" s="1276"/>
      <c r="AP286" s="1277"/>
      <c r="AQ286" s="1276"/>
      <c r="AR286" s="1278"/>
      <c r="AS286" s="1278"/>
    </row>
    <row r="287" spans="1:45" ht="15.6">
      <c r="A287" s="1097" t="s">
        <v>53</v>
      </c>
      <c r="B287" s="1103" t="s">
        <v>583</v>
      </c>
      <c r="C287" s="1098" t="s">
        <v>584</v>
      </c>
      <c r="D287" s="1098" t="s">
        <v>585</v>
      </c>
      <c r="E287" s="1461" t="s">
        <v>213</v>
      </c>
      <c r="F287" s="856">
        <v>2024</v>
      </c>
      <c r="G287" s="1099">
        <v>45337</v>
      </c>
      <c r="H287" s="1192">
        <v>200105036</v>
      </c>
      <c r="I287" s="1440" t="s">
        <v>659</v>
      </c>
      <c r="J287" s="1109">
        <v>1</v>
      </c>
      <c r="K287" s="3" t="s">
        <v>60</v>
      </c>
      <c r="L287" s="3" t="s">
        <v>128</v>
      </c>
      <c r="M287" s="762">
        <v>532.29999999999995</v>
      </c>
      <c r="N287" s="762">
        <v>299.61</v>
      </c>
      <c r="O287" s="1205">
        <v>45338</v>
      </c>
      <c r="P287" s="1205">
        <v>45338</v>
      </c>
      <c r="Q287" s="3" t="s">
        <v>660</v>
      </c>
      <c r="R287" s="3" t="s">
        <v>661</v>
      </c>
      <c r="S287" s="856" t="s">
        <v>62</v>
      </c>
      <c r="T287" s="825"/>
      <c r="U287" s="3" t="s">
        <v>130</v>
      </c>
      <c r="V287" s="825"/>
      <c r="W287" s="762">
        <v>317.7</v>
      </c>
      <c r="X287" s="1311"/>
      <c r="Y287" s="1205">
        <v>45338</v>
      </c>
      <c r="Z287" s="851" t="s">
        <v>62</v>
      </c>
      <c r="AA287" s="851"/>
      <c r="AB287" s="1099">
        <v>45342</v>
      </c>
      <c r="AC287" s="1099">
        <v>45342</v>
      </c>
      <c r="AD287" s="1226">
        <f>340+513</f>
        <v>853</v>
      </c>
      <c r="AE287" s="1264">
        <f t="shared" ref="AE287:AE296" si="28">AD287/875</f>
        <v>0.97485714285714287</v>
      </c>
      <c r="AF287" s="1315" t="s">
        <v>64</v>
      </c>
      <c r="AG287" s="1317">
        <v>1</v>
      </c>
      <c r="AH287" s="1076" t="s">
        <v>162</v>
      </c>
      <c r="AI287" s="1266">
        <v>45345</v>
      </c>
      <c r="AJ287" s="1266">
        <v>45348</v>
      </c>
      <c r="AK287" s="1267">
        <f>43000+73600+85084+82409</f>
        <v>284093</v>
      </c>
      <c r="AL287" s="1264">
        <f t="shared" ref="AL287:AL296" si="29">AK287/291000</f>
        <v>0.97626460481099653</v>
      </c>
      <c r="AM287" s="1265" t="s">
        <v>62</v>
      </c>
      <c r="AN287" s="1261">
        <v>1</v>
      </c>
      <c r="AO287" s="1276"/>
      <c r="AP287" s="1277"/>
      <c r="AQ287" s="1276"/>
      <c r="AR287" s="1278"/>
      <c r="AS287" s="1278"/>
    </row>
    <row r="288" spans="1:45" ht="15.6">
      <c r="A288" s="1097" t="s">
        <v>53</v>
      </c>
      <c r="B288" s="1103" t="s">
        <v>583</v>
      </c>
      <c r="C288" s="1098" t="s">
        <v>584</v>
      </c>
      <c r="D288" s="1098" t="s">
        <v>585</v>
      </c>
      <c r="E288" s="1461" t="s">
        <v>213</v>
      </c>
      <c r="F288" s="856">
        <v>2024</v>
      </c>
      <c r="G288" s="1099">
        <v>45337</v>
      </c>
      <c r="H288" s="1192">
        <v>200105037</v>
      </c>
      <c r="I288" s="1440" t="s">
        <v>662</v>
      </c>
      <c r="J288" s="1109">
        <v>2</v>
      </c>
      <c r="K288" s="3" t="s">
        <v>60</v>
      </c>
      <c r="L288" s="3" t="s">
        <v>128</v>
      </c>
      <c r="M288" s="762">
        <v>531</v>
      </c>
      <c r="N288" s="762">
        <v>303.85000000000002</v>
      </c>
      <c r="O288" s="1205">
        <v>45341</v>
      </c>
      <c r="P288" s="1205">
        <v>45338</v>
      </c>
      <c r="Q288" s="3" t="s">
        <v>663</v>
      </c>
      <c r="R288" s="3" t="s">
        <v>664</v>
      </c>
      <c r="S288" s="856" t="s">
        <v>62</v>
      </c>
      <c r="T288" s="825"/>
      <c r="U288" s="3" t="s">
        <v>130</v>
      </c>
      <c r="V288" s="825"/>
      <c r="W288" s="762">
        <v>321</v>
      </c>
      <c r="X288" s="1311"/>
      <c r="Y288" s="1205">
        <v>45338</v>
      </c>
      <c r="Z288" s="851" t="s">
        <v>62</v>
      </c>
      <c r="AA288" s="851"/>
      <c r="AB288" s="1099">
        <v>45342</v>
      </c>
      <c r="AC288" s="1099">
        <v>45343</v>
      </c>
      <c r="AD288" s="1226">
        <f>50+615+192</f>
        <v>857</v>
      </c>
      <c r="AE288" s="1264">
        <f t="shared" si="28"/>
        <v>0.97942857142857143</v>
      </c>
      <c r="AF288" s="1315" t="s">
        <v>64</v>
      </c>
      <c r="AG288" s="1317">
        <v>1</v>
      </c>
      <c r="AH288" s="1076" t="s">
        <v>162</v>
      </c>
      <c r="AI288" s="1266">
        <v>45349</v>
      </c>
      <c r="AJ288" s="1266">
        <v>45350</v>
      </c>
      <c r="AK288" s="1267">
        <f>90100+84250+87750+23147</f>
        <v>285247</v>
      </c>
      <c r="AL288" s="1264">
        <f t="shared" si="29"/>
        <v>0.98023024054982821</v>
      </c>
      <c r="AM288" s="1265" t="s">
        <v>62</v>
      </c>
      <c r="AN288" s="1261">
        <v>1</v>
      </c>
      <c r="AO288" s="1276"/>
      <c r="AP288" s="1277"/>
      <c r="AQ288" s="1276"/>
      <c r="AR288" s="1278"/>
      <c r="AS288" s="1278"/>
    </row>
    <row r="289" spans="1:45" ht="15.6">
      <c r="A289" s="1097" t="s">
        <v>53</v>
      </c>
      <c r="B289" s="1103" t="s">
        <v>583</v>
      </c>
      <c r="C289" s="1098" t="s">
        <v>584</v>
      </c>
      <c r="D289" s="1098" t="s">
        <v>585</v>
      </c>
      <c r="E289" s="1461" t="s">
        <v>213</v>
      </c>
      <c r="F289" s="856">
        <v>2024</v>
      </c>
      <c r="G289" s="1099">
        <v>45337</v>
      </c>
      <c r="H289" s="1192">
        <v>200105038</v>
      </c>
      <c r="I289" s="1440" t="s">
        <v>665</v>
      </c>
      <c r="J289" s="1109">
        <v>3</v>
      </c>
      <c r="K289" s="3" t="s">
        <v>60</v>
      </c>
      <c r="L289" s="3" t="s">
        <v>128</v>
      </c>
      <c r="M289" s="762">
        <v>540.1</v>
      </c>
      <c r="N289" s="762">
        <v>303.8</v>
      </c>
      <c r="O289" s="1205">
        <v>45341</v>
      </c>
      <c r="P289" s="1205">
        <v>45341</v>
      </c>
      <c r="Q289" s="3" t="s">
        <v>666</v>
      </c>
      <c r="R289" s="3" t="s">
        <v>667</v>
      </c>
      <c r="S289" s="856" t="s">
        <v>62</v>
      </c>
      <c r="T289" s="825"/>
      <c r="U289" s="3" t="s">
        <v>130</v>
      </c>
      <c r="V289" s="825"/>
      <c r="W289" s="762">
        <v>319.7</v>
      </c>
      <c r="X289" s="1311"/>
      <c r="Y289" s="1205">
        <v>45342</v>
      </c>
      <c r="Z289" s="851" t="s">
        <v>62</v>
      </c>
      <c r="AA289" s="851"/>
      <c r="AB289" s="1099">
        <v>45343</v>
      </c>
      <c r="AC289" s="1099">
        <v>45343</v>
      </c>
      <c r="AD289" s="1226">
        <f>370+490</f>
        <v>860</v>
      </c>
      <c r="AE289" s="1264">
        <f t="shared" si="28"/>
        <v>0.98285714285714287</v>
      </c>
      <c r="AF289" s="1315" t="s">
        <v>64</v>
      </c>
      <c r="AG289" s="1317">
        <v>1</v>
      </c>
      <c r="AH289" s="1076" t="s">
        <v>162</v>
      </c>
      <c r="AI289" s="1266">
        <v>45350</v>
      </c>
      <c r="AJ289" s="1266">
        <v>45351</v>
      </c>
      <c r="AK289" s="1267">
        <f>42000+82636+78530+25500+41220+16234</f>
        <v>286120</v>
      </c>
      <c r="AL289" s="1264">
        <f t="shared" si="29"/>
        <v>0.98323024054982822</v>
      </c>
      <c r="AM289" s="1265" t="s">
        <v>62</v>
      </c>
      <c r="AN289" s="1261">
        <v>1</v>
      </c>
      <c r="AO289" s="1276"/>
      <c r="AP289" s="1277"/>
      <c r="AQ289" s="1276"/>
      <c r="AR289" s="1278"/>
      <c r="AS289" s="1278"/>
    </row>
    <row r="290" spans="1:45" ht="15.6">
      <c r="A290" s="1097" t="s">
        <v>53</v>
      </c>
      <c r="B290" s="1103" t="s">
        <v>583</v>
      </c>
      <c r="C290" s="1098" t="s">
        <v>584</v>
      </c>
      <c r="D290" s="1098" t="s">
        <v>585</v>
      </c>
      <c r="E290" s="1461" t="s">
        <v>213</v>
      </c>
      <c r="F290" s="856">
        <v>2024</v>
      </c>
      <c r="G290" s="1099">
        <v>45337</v>
      </c>
      <c r="H290" s="1192">
        <v>200105039</v>
      </c>
      <c r="I290" s="1440" t="s">
        <v>668</v>
      </c>
      <c r="J290" s="1109">
        <v>4</v>
      </c>
      <c r="K290" s="3" t="s">
        <v>60</v>
      </c>
      <c r="L290" s="3" t="s">
        <v>128</v>
      </c>
      <c r="M290" s="762">
        <v>537.29999999999995</v>
      </c>
      <c r="N290" s="762">
        <v>306.38</v>
      </c>
      <c r="O290" s="1205">
        <v>45341</v>
      </c>
      <c r="P290" s="1205">
        <v>45341</v>
      </c>
      <c r="Q290" s="3" t="s">
        <v>669</v>
      </c>
      <c r="R290" s="3" t="s">
        <v>670</v>
      </c>
      <c r="S290" s="856" t="s">
        <v>62</v>
      </c>
      <c r="T290" s="825"/>
      <c r="U290" s="3" t="s">
        <v>130</v>
      </c>
      <c r="V290" s="825"/>
      <c r="W290" s="762">
        <v>319.7</v>
      </c>
      <c r="X290" s="1311"/>
      <c r="Y290" s="1205">
        <v>45342</v>
      </c>
      <c r="Z290" s="851" t="s">
        <v>62</v>
      </c>
      <c r="AA290" s="851"/>
      <c r="AB290" s="1099">
        <v>45343</v>
      </c>
      <c r="AC290" s="1099">
        <v>45344</v>
      </c>
      <c r="AD290" s="1226">
        <f>65+675+123</f>
        <v>863</v>
      </c>
      <c r="AE290" s="1264">
        <f t="shared" si="28"/>
        <v>0.98628571428571432</v>
      </c>
      <c r="AF290" s="1315" t="s">
        <v>64</v>
      </c>
      <c r="AG290" s="1317">
        <v>1</v>
      </c>
      <c r="AH290" s="1076" t="s">
        <v>162</v>
      </c>
      <c r="AI290" s="1266">
        <v>45351</v>
      </c>
      <c r="AJ290" s="1266">
        <v>45355</v>
      </c>
      <c r="AK290" s="1267">
        <f>57300+70500+66994+76326+16179</f>
        <v>287299</v>
      </c>
      <c r="AL290" s="1264">
        <f t="shared" si="29"/>
        <v>0.98728178694158075</v>
      </c>
      <c r="AM290" s="1265" t="s">
        <v>62</v>
      </c>
      <c r="AN290" s="1261">
        <v>1</v>
      </c>
      <c r="AO290" s="1276"/>
      <c r="AP290" s="1277"/>
      <c r="AQ290" s="1276"/>
      <c r="AR290" s="1278"/>
      <c r="AS290" s="1278"/>
    </row>
    <row r="291" spans="1:45" ht="15.6">
      <c r="A291" s="1097" t="s">
        <v>53</v>
      </c>
      <c r="B291" s="1103" t="s">
        <v>583</v>
      </c>
      <c r="C291" s="1098" t="s">
        <v>584</v>
      </c>
      <c r="D291" s="1098" t="s">
        <v>585</v>
      </c>
      <c r="E291" s="1461" t="s">
        <v>213</v>
      </c>
      <c r="F291" s="856">
        <v>2024</v>
      </c>
      <c r="G291" s="1099">
        <v>45337</v>
      </c>
      <c r="H291" s="1192">
        <v>200105040</v>
      </c>
      <c r="I291" s="1440" t="s">
        <v>671</v>
      </c>
      <c r="J291" s="1109">
        <v>5</v>
      </c>
      <c r="K291" s="3" t="s">
        <v>60</v>
      </c>
      <c r="L291" s="3" t="s">
        <v>128</v>
      </c>
      <c r="M291" s="762">
        <v>534.79999999999995</v>
      </c>
      <c r="N291" s="762">
        <v>304.44</v>
      </c>
      <c r="O291" s="1205">
        <v>45342</v>
      </c>
      <c r="P291" s="1205">
        <v>45342</v>
      </c>
      <c r="Q291" s="3" t="s">
        <v>672</v>
      </c>
      <c r="R291" s="3" t="s">
        <v>673</v>
      </c>
      <c r="S291" s="856" t="s">
        <v>62</v>
      </c>
      <c r="T291" s="825"/>
      <c r="U291" s="3" t="s">
        <v>130</v>
      </c>
      <c r="V291" s="825"/>
      <c r="W291" s="762">
        <v>320.3</v>
      </c>
      <c r="X291" s="1311"/>
      <c r="Y291" s="1205">
        <v>45343</v>
      </c>
      <c r="Z291" s="851" t="s">
        <v>62</v>
      </c>
      <c r="AA291" s="851"/>
      <c r="AB291" s="1099">
        <v>45344</v>
      </c>
      <c r="AC291" s="1099">
        <v>45344</v>
      </c>
      <c r="AD291" s="1226">
        <f>505+352</f>
        <v>857</v>
      </c>
      <c r="AE291" s="1264">
        <f t="shared" si="28"/>
        <v>0.97942857142857143</v>
      </c>
      <c r="AF291" s="1315" t="s">
        <v>64</v>
      </c>
      <c r="AG291" s="1317">
        <v>1</v>
      </c>
      <c r="AH291" s="1076" t="s">
        <v>162</v>
      </c>
      <c r="AI291" s="1266">
        <v>45355</v>
      </c>
      <c r="AJ291" s="1266">
        <v>45356</v>
      </c>
      <c r="AK291" s="1267">
        <f>48446+53348+101201+82330</f>
        <v>285325</v>
      </c>
      <c r="AL291" s="1264">
        <f t="shared" si="29"/>
        <v>0.98049828178694154</v>
      </c>
      <c r="AM291" s="1265" t="s">
        <v>62</v>
      </c>
      <c r="AN291" s="1261">
        <v>1</v>
      </c>
      <c r="AO291" s="1276"/>
      <c r="AP291" s="1277"/>
      <c r="AQ291" s="1276"/>
      <c r="AR291" s="1278"/>
      <c r="AS291" s="1278"/>
    </row>
    <row r="292" spans="1:45" ht="15.6">
      <c r="A292" s="1097" t="s">
        <v>53</v>
      </c>
      <c r="B292" s="1103" t="s">
        <v>583</v>
      </c>
      <c r="C292" s="1098" t="s">
        <v>584</v>
      </c>
      <c r="D292" s="1098" t="s">
        <v>585</v>
      </c>
      <c r="E292" s="1461" t="s">
        <v>213</v>
      </c>
      <c r="F292" s="856">
        <v>2024</v>
      </c>
      <c r="G292" s="1099">
        <v>45337</v>
      </c>
      <c r="H292" s="1192">
        <v>200105041</v>
      </c>
      <c r="I292" s="1440" t="s">
        <v>674</v>
      </c>
      <c r="J292" s="1109">
        <v>6</v>
      </c>
      <c r="K292" s="3" t="s">
        <v>60</v>
      </c>
      <c r="L292" s="3" t="s">
        <v>128</v>
      </c>
      <c r="M292" s="762">
        <v>533.70000000000005</v>
      </c>
      <c r="N292" s="762">
        <v>306.06</v>
      </c>
      <c r="O292" s="1205">
        <v>45343</v>
      </c>
      <c r="P292" s="1205">
        <v>45342</v>
      </c>
      <c r="Q292" s="3" t="s">
        <v>675</v>
      </c>
      <c r="R292" s="3" t="s">
        <v>676</v>
      </c>
      <c r="S292" s="856" t="s">
        <v>62</v>
      </c>
      <c r="T292" s="825"/>
      <c r="U292" s="3" t="s">
        <v>130</v>
      </c>
      <c r="V292" s="825"/>
      <c r="W292" s="762">
        <v>322</v>
      </c>
      <c r="X292" s="1311"/>
      <c r="Y292" s="1205">
        <v>45344</v>
      </c>
      <c r="Z292" s="851" t="s">
        <v>62</v>
      </c>
      <c r="AA292" s="851"/>
      <c r="AB292" s="1099">
        <v>45344</v>
      </c>
      <c r="AC292" s="1099">
        <v>45344</v>
      </c>
      <c r="AD292" s="1226">
        <f>205+652</f>
        <v>857</v>
      </c>
      <c r="AE292" s="1264">
        <f t="shared" si="28"/>
        <v>0.97942857142857143</v>
      </c>
      <c r="AF292" s="1315" t="s">
        <v>64</v>
      </c>
      <c r="AG292" s="1317">
        <v>1</v>
      </c>
      <c r="AH292" s="1076" t="s">
        <v>162</v>
      </c>
      <c r="AI292" s="1266">
        <v>45356</v>
      </c>
      <c r="AJ292" s="1266">
        <v>45357</v>
      </c>
      <c r="AK292" s="1267">
        <f>96232+102201+87018</f>
        <v>285451</v>
      </c>
      <c r="AL292" s="1264">
        <f t="shared" si="29"/>
        <v>0.98093127147766324</v>
      </c>
      <c r="AM292" s="1265" t="s">
        <v>62</v>
      </c>
      <c r="AN292" s="1261">
        <v>1</v>
      </c>
      <c r="AO292" s="1276"/>
      <c r="AP292" s="1277"/>
      <c r="AQ292" s="1276"/>
      <c r="AR292" s="1278"/>
      <c r="AS292" s="1278"/>
    </row>
    <row r="293" spans="1:45" ht="15.6">
      <c r="A293" s="1097" t="s">
        <v>53</v>
      </c>
      <c r="B293" s="1103" t="s">
        <v>583</v>
      </c>
      <c r="C293" s="1098" t="s">
        <v>584</v>
      </c>
      <c r="D293" s="1098" t="s">
        <v>585</v>
      </c>
      <c r="E293" s="1461" t="s">
        <v>213</v>
      </c>
      <c r="F293" s="856">
        <v>2024</v>
      </c>
      <c r="G293" s="1099">
        <v>45349</v>
      </c>
      <c r="H293" s="1192">
        <v>200105166</v>
      </c>
      <c r="I293" s="1442" t="s">
        <v>677</v>
      </c>
      <c r="J293" s="1109">
        <v>7</v>
      </c>
      <c r="K293" s="3" t="s">
        <v>60</v>
      </c>
      <c r="L293" s="3" t="s">
        <v>128</v>
      </c>
      <c r="M293" s="786">
        <v>533.4</v>
      </c>
      <c r="N293" s="762">
        <v>302.64</v>
      </c>
      <c r="O293" s="1205">
        <v>45352</v>
      </c>
      <c r="P293" s="1205">
        <v>45351</v>
      </c>
      <c r="Q293" s="3" t="s">
        <v>678</v>
      </c>
      <c r="R293" s="3" t="s">
        <v>679</v>
      </c>
      <c r="S293" s="856" t="s">
        <v>62</v>
      </c>
      <c r="T293" s="825"/>
      <c r="U293" s="3" t="s">
        <v>130</v>
      </c>
      <c r="V293" s="825"/>
      <c r="W293" s="762">
        <v>318.39999999999998</v>
      </c>
      <c r="X293" s="1311"/>
      <c r="Y293" s="1205">
        <v>45351</v>
      </c>
      <c r="Z293" s="851" t="s">
        <v>62</v>
      </c>
      <c r="AA293" s="851"/>
      <c r="AB293" s="1099">
        <v>45355</v>
      </c>
      <c r="AC293" s="1099">
        <v>45355</v>
      </c>
      <c r="AD293" s="1226">
        <f>375+478</f>
        <v>853</v>
      </c>
      <c r="AE293" s="1264">
        <f t="shared" si="28"/>
        <v>0.97485714285714287</v>
      </c>
      <c r="AF293" s="1315" t="s">
        <v>64</v>
      </c>
      <c r="AG293" s="1317">
        <v>1</v>
      </c>
      <c r="AH293" s="1076" t="s">
        <v>162</v>
      </c>
      <c r="AI293" s="1266">
        <v>45357</v>
      </c>
      <c r="AJ293" s="1266">
        <v>45358</v>
      </c>
      <c r="AK293" s="1267">
        <f>3000+86242+100000+95265</f>
        <v>284507</v>
      </c>
      <c r="AL293" s="1264">
        <f t="shared" si="29"/>
        <v>0.97768728522336767</v>
      </c>
      <c r="AM293" s="1265" t="s">
        <v>62</v>
      </c>
      <c r="AN293" s="1261">
        <v>1</v>
      </c>
      <c r="AO293" s="1276"/>
      <c r="AP293" s="1277"/>
      <c r="AQ293" s="1276"/>
      <c r="AR293" s="1278"/>
      <c r="AS293" s="1278"/>
    </row>
    <row r="294" spans="1:45" ht="15.6">
      <c r="A294" s="1097" t="s">
        <v>53</v>
      </c>
      <c r="B294" s="1103" t="s">
        <v>583</v>
      </c>
      <c r="C294" s="1098" t="s">
        <v>584</v>
      </c>
      <c r="D294" s="1098" t="s">
        <v>585</v>
      </c>
      <c r="E294" s="1461" t="s">
        <v>213</v>
      </c>
      <c r="F294" s="856">
        <v>2024</v>
      </c>
      <c r="G294" s="1099">
        <v>45349</v>
      </c>
      <c r="H294" s="1192">
        <v>200105167</v>
      </c>
      <c r="I294" s="1442" t="s">
        <v>680</v>
      </c>
      <c r="J294" s="1109">
        <v>8</v>
      </c>
      <c r="K294" s="3" t="s">
        <v>60</v>
      </c>
      <c r="L294" s="3" t="s">
        <v>128</v>
      </c>
      <c r="M294" s="762">
        <v>538.20000000000005</v>
      </c>
      <c r="N294" s="762">
        <v>303.58999999999997</v>
      </c>
      <c r="O294" s="1205">
        <v>45352</v>
      </c>
      <c r="P294" s="1205">
        <v>45351</v>
      </c>
      <c r="Q294" s="3" t="s">
        <v>681</v>
      </c>
      <c r="R294" s="3" t="s">
        <v>682</v>
      </c>
      <c r="S294" s="856" t="s">
        <v>62</v>
      </c>
      <c r="T294" s="825"/>
      <c r="U294" s="3" t="s">
        <v>130</v>
      </c>
      <c r="V294" s="825"/>
      <c r="W294" s="762">
        <v>319.60000000000002</v>
      </c>
      <c r="X294" s="1311"/>
      <c r="Y294" s="1205">
        <v>45351</v>
      </c>
      <c r="Z294" s="851" t="s">
        <v>62</v>
      </c>
      <c r="AA294" s="851"/>
      <c r="AB294" s="1099">
        <v>45355</v>
      </c>
      <c r="AC294" s="1099">
        <v>45356</v>
      </c>
      <c r="AD294" s="1226">
        <f>75+540+245</f>
        <v>860</v>
      </c>
      <c r="AE294" s="1264">
        <f t="shared" si="28"/>
        <v>0.98285714285714287</v>
      </c>
      <c r="AF294" s="1315" t="s">
        <v>64</v>
      </c>
      <c r="AG294" s="1317">
        <v>1</v>
      </c>
      <c r="AH294" s="1076" t="s">
        <v>162</v>
      </c>
      <c r="AI294" s="1266">
        <v>45358</v>
      </c>
      <c r="AJ294" s="1266">
        <v>45359</v>
      </c>
      <c r="AK294" s="1267">
        <f>90349+65580+73880+55972</f>
        <v>285781</v>
      </c>
      <c r="AL294" s="1264">
        <f t="shared" si="29"/>
        <v>0.98206529209621996</v>
      </c>
      <c r="AM294" s="1265" t="s">
        <v>62</v>
      </c>
      <c r="AN294" s="1261">
        <v>1</v>
      </c>
      <c r="AO294" s="1276"/>
      <c r="AP294" s="1277"/>
      <c r="AQ294" s="1276"/>
      <c r="AR294" s="1278"/>
      <c r="AS294" s="1278"/>
    </row>
    <row r="295" spans="1:45" ht="15.6">
      <c r="A295" s="1097" t="s">
        <v>53</v>
      </c>
      <c r="B295" s="1103" t="s">
        <v>583</v>
      </c>
      <c r="C295" s="1098" t="s">
        <v>584</v>
      </c>
      <c r="D295" s="1098" t="s">
        <v>585</v>
      </c>
      <c r="E295" s="1461" t="s">
        <v>213</v>
      </c>
      <c r="F295" s="856">
        <v>2024</v>
      </c>
      <c r="G295" s="1099">
        <v>45349</v>
      </c>
      <c r="H295" s="1192">
        <v>200105168</v>
      </c>
      <c r="I295" s="1442" t="s">
        <v>683</v>
      </c>
      <c r="J295" s="1109">
        <v>9</v>
      </c>
      <c r="K295" s="3" t="s">
        <v>60</v>
      </c>
      <c r="L295" s="3" t="s">
        <v>128</v>
      </c>
      <c r="M295" s="762">
        <v>539.54</v>
      </c>
      <c r="N295" s="762">
        <v>306.18</v>
      </c>
      <c r="O295" s="1205">
        <v>45352</v>
      </c>
      <c r="P295" s="1205">
        <v>45351</v>
      </c>
      <c r="Q295" s="3" t="s">
        <v>684</v>
      </c>
      <c r="R295" s="785" t="s">
        <v>685</v>
      </c>
      <c r="S295" s="856" t="s">
        <v>62</v>
      </c>
      <c r="T295" s="825"/>
      <c r="U295" s="3" t="s">
        <v>130</v>
      </c>
      <c r="V295" s="825"/>
      <c r="W295" s="762">
        <v>322.10000000000002</v>
      </c>
      <c r="X295" s="1311"/>
      <c r="Y295" s="1205">
        <v>45351</v>
      </c>
      <c r="Z295" s="851" t="s">
        <v>62</v>
      </c>
      <c r="AA295" s="851"/>
      <c r="AB295" s="1099">
        <v>45356</v>
      </c>
      <c r="AC295" s="1099">
        <v>45356</v>
      </c>
      <c r="AD295" s="1226">
        <f>361+499</f>
        <v>860</v>
      </c>
      <c r="AE295" s="1264">
        <f t="shared" si="28"/>
        <v>0.98285714285714287</v>
      </c>
      <c r="AF295" s="1315" t="s">
        <v>64</v>
      </c>
      <c r="AG295" s="1317">
        <v>1</v>
      </c>
      <c r="AH295" s="1076" t="s">
        <v>162</v>
      </c>
      <c r="AI295" s="1266">
        <v>45359</v>
      </c>
      <c r="AJ295" s="1266">
        <v>45443</v>
      </c>
      <c r="AK295" s="1267">
        <f>12790+101876+94502+65194+11767</f>
        <v>286129</v>
      </c>
      <c r="AL295" s="1264">
        <f t="shared" si="29"/>
        <v>0.98326116838487976</v>
      </c>
      <c r="AM295" s="1265" t="s">
        <v>62</v>
      </c>
      <c r="AN295" s="1261">
        <v>1</v>
      </c>
      <c r="AO295" s="1276"/>
      <c r="AP295" s="1277"/>
      <c r="AQ295" s="1276"/>
      <c r="AR295" s="1278"/>
      <c r="AS295" s="1278"/>
    </row>
    <row r="296" spans="1:45" ht="15.6">
      <c r="A296" s="1097" t="s">
        <v>53</v>
      </c>
      <c r="B296" s="1103" t="s">
        <v>583</v>
      </c>
      <c r="C296" s="1098" t="s">
        <v>584</v>
      </c>
      <c r="D296" s="1098" t="s">
        <v>585</v>
      </c>
      <c r="E296" s="1461" t="s">
        <v>213</v>
      </c>
      <c r="F296" s="856">
        <v>2024</v>
      </c>
      <c r="G296" s="1099">
        <v>45349</v>
      </c>
      <c r="H296" s="1192">
        <v>200105169</v>
      </c>
      <c r="I296" s="1442" t="s">
        <v>686</v>
      </c>
      <c r="J296" s="1109">
        <v>10</v>
      </c>
      <c r="K296" s="3" t="s">
        <v>60</v>
      </c>
      <c r="L296" s="3" t="s">
        <v>128</v>
      </c>
      <c r="M296" s="786">
        <v>532.4</v>
      </c>
      <c r="N296" s="762">
        <v>306.82</v>
      </c>
      <c r="O296" s="1205">
        <v>45355</v>
      </c>
      <c r="P296" s="1205">
        <v>45351</v>
      </c>
      <c r="Q296" s="3" t="s">
        <v>687</v>
      </c>
      <c r="R296" s="3" t="s">
        <v>688</v>
      </c>
      <c r="S296" s="856" t="s">
        <v>62</v>
      </c>
      <c r="T296" s="825"/>
      <c r="U296" s="3" t="s">
        <v>130</v>
      </c>
      <c r="V296" s="825"/>
      <c r="W296" s="762">
        <v>323</v>
      </c>
      <c r="X296" s="1311"/>
      <c r="Y296" s="1205">
        <v>45351</v>
      </c>
      <c r="Z296" s="851" t="s">
        <v>62</v>
      </c>
      <c r="AA296" s="851"/>
      <c r="AB296" s="1099">
        <v>45356</v>
      </c>
      <c r="AC296" s="1099">
        <v>45357</v>
      </c>
      <c r="AD296" s="1226">
        <f>55+560+245</f>
        <v>860</v>
      </c>
      <c r="AE296" s="1264">
        <f t="shared" si="28"/>
        <v>0.98285714285714287</v>
      </c>
      <c r="AF296" s="1315" t="s">
        <v>64</v>
      </c>
      <c r="AG296" s="1317">
        <v>1</v>
      </c>
      <c r="AH296" s="1076" t="s">
        <v>162</v>
      </c>
      <c r="AI296" s="1266">
        <v>45363</v>
      </c>
      <c r="AJ296" s="1266">
        <v>45364</v>
      </c>
      <c r="AK296" s="1267">
        <f>64440+100100+102700+18655</f>
        <v>285895</v>
      </c>
      <c r="AL296" s="1264">
        <f t="shared" si="29"/>
        <v>0.98245704467353956</v>
      </c>
      <c r="AM296" s="1265" t="s">
        <v>62</v>
      </c>
      <c r="AN296" s="1261">
        <v>1</v>
      </c>
      <c r="AO296" s="1276"/>
      <c r="AP296" s="1277"/>
      <c r="AQ296" s="1276"/>
      <c r="AR296" s="1278"/>
      <c r="AS296" s="1278"/>
    </row>
    <row r="297" spans="1:45" ht="15.6">
      <c r="A297" s="1097" t="s">
        <v>53</v>
      </c>
      <c r="B297" s="1103"/>
      <c r="C297" s="1098"/>
      <c r="D297" s="1098"/>
      <c r="E297" s="1076"/>
      <c r="F297" s="1076"/>
      <c r="G297" s="1099"/>
      <c r="H297" s="1192"/>
      <c r="I297" s="1192"/>
      <c r="J297" s="1144"/>
      <c r="K297" s="851"/>
      <c r="L297" s="851"/>
      <c r="M297" s="851"/>
      <c r="N297" s="851"/>
      <c r="O297" s="1205"/>
      <c r="P297" s="1205"/>
      <c r="Q297" s="851"/>
      <c r="R297" s="851"/>
      <c r="S297" s="851"/>
      <c r="T297" s="851"/>
      <c r="U297" s="851"/>
      <c r="V297" s="1312"/>
      <c r="W297" s="851"/>
      <c r="X297" s="1179"/>
      <c r="Y297" s="1205"/>
      <c r="Z297" s="851"/>
      <c r="AA297" s="851"/>
      <c r="AB297" s="1099"/>
      <c r="AC297" s="1099"/>
      <c r="AD297" s="1226"/>
      <c r="AE297" s="1264"/>
      <c r="AF297" s="1315"/>
      <c r="AG297" s="1317"/>
      <c r="AH297" s="1076"/>
      <c r="AI297" s="1266"/>
      <c r="AJ297" s="1266"/>
      <c r="AK297" s="1267"/>
      <c r="AL297" s="1264"/>
      <c r="AM297" s="1287"/>
      <c r="AN297" s="1261"/>
      <c r="AO297" s="1276"/>
      <c r="AP297" s="1277"/>
      <c r="AQ297" s="1276"/>
      <c r="AR297" s="1278"/>
      <c r="AS297" s="1278"/>
    </row>
    <row r="298" spans="1:45" ht="15.6">
      <c r="A298" s="1097" t="s">
        <v>53</v>
      </c>
      <c r="B298" s="1103" t="s">
        <v>583</v>
      </c>
      <c r="C298" s="1098" t="s">
        <v>584</v>
      </c>
      <c r="D298" s="1098" t="s">
        <v>585</v>
      </c>
      <c r="E298" s="1461" t="s">
        <v>277</v>
      </c>
      <c r="F298" s="856">
        <v>2024</v>
      </c>
      <c r="G298" s="1099">
        <v>45369</v>
      </c>
      <c r="H298" s="3">
        <v>200105383</v>
      </c>
      <c r="I298" s="1444" t="s">
        <v>689</v>
      </c>
      <c r="J298" s="1109">
        <v>1</v>
      </c>
      <c r="K298" s="3" t="s">
        <v>60</v>
      </c>
      <c r="L298" s="3" t="s">
        <v>128</v>
      </c>
      <c r="M298" s="786">
        <v>532.67999999999995</v>
      </c>
      <c r="N298" s="786">
        <v>303</v>
      </c>
      <c r="O298" s="958">
        <v>45372</v>
      </c>
      <c r="P298" s="958">
        <v>45372</v>
      </c>
      <c r="Q298" s="785" t="s">
        <v>690</v>
      </c>
      <c r="R298" s="3" t="s">
        <v>691</v>
      </c>
      <c r="S298" s="856" t="s">
        <v>62</v>
      </c>
      <c r="T298" s="825"/>
      <c r="U298" s="3" t="s">
        <v>130</v>
      </c>
      <c r="V298" s="825"/>
      <c r="W298" s="762">
        <v>319.10000000000002</v>
      </c>
      <c r="X298" s="1311"/>
      <c r="Y298" s="958">
        <v>45373</v>
      </c>
      <c r="Z298" s="851" t="s">
        <v>62</v>
      </c>
      <c r="AA298" s="851"/>
      <c r="AB298" s="1099">
        <v>45379</v>
      </c>
      <c r="AC298" s="1099">
        <v>45379</v>
      </c>
      <c r="AD298" s="1226">
        <f>550+303</f>
        <v>853</v>
      </c>
      <c r="AE298" s="1264">
        <f t="shared" ref="AE298:AE308" si="30">AD298/875</f>
        <v>0.97485714285714287</v>
      </c>
      <c r="AF298" s="1315" t="s">
        <v>64</v>
      </c>
      <c r="AG298" s="1317">
        <v>1</v>
      </c>
      <c r="AH298" s="1076" t="s">
        <v>132</v>
      </c>
      <c r="AI298" s="1248">
        <v>45383</v>
      </c>
      <c r="AJ298" s="1248">
        <v>45383</v>
      </c>
      <c r="AK298" s="1285">
        <f>86500+75000+122902</f>
        <v>284402</v>
      </c>
      <c r="AL298" s="1319">
        <f t="shared" ref="AL298:AL308" si="31">AK298/291000</f>
        <v>0.97732646048109961</v>
      </c>
      <c r="AM298" s="1265" t="s">
        <v>62</v>
      </c>
      <c r="AN298" s="1261">
        <v>1</v>
      </c>
      <c r="AO298" s="1276"/>
      <c r="AP298" s="1277"/>
      <c r="AQ298" s="1276"/>
      <c r="AR298" s="1278"/>
      <c r="AS298" s="1278"/>
    </row>
    <row r="299" spans="1:45" ht="15.6">
      <c r="A299" s="1097" t="s">
        <v>53</v>
      </c>
      <c r="B299" s="1103" t="s">
        <v>583</v>
      </c>
      <c r="C299" s="1098" t="s">
        <v>584</v>
      </c>
      <c r="D299" s="1098" t="s">
        <v>585</v>
      </c>
      <c r="E299" s="1461" t="s">
        <v>277</v>
      </c>
      <c r="F299" s="856">
        <v>2024</v>
      </c>
      <c r="G299" s="1099">
        <v>45369</v>
      </c>
      <c r="H299" s="3">
        <v>200105384</v>
      </c>
      <c r="I299" s="1444" t="s">
        <v>692</v>
      </c>
      <c r="J299" s="1109">
        <v>2</v>
      </c>
      <c r="K299" s="3" t="s">
        <v>60</v>
      </c>
      <c r="L299" s="3" t="s">
        <v>128</v>
      </c>
      <c r="M299" s="786">
        <v>539.66999999999996</v>
      </c>
      <c r="N299" s="786">
        <v>308</v>
      </c>
      <c r="O299" s="958">
        <v>45376</v>
      </c>
      <c r="P299" s="958">
        <v>45372</v>
      </c>
      <c r="Q299" s="3" t="s">
        <v>693</v>
      </c>
      <c r="R299" s="3" t="s">
        <v>694</v>
      </c>
      <c r="S299" s="856" t="s">
        <v>62</v>
      </c>
      <c r="T299" s="825"/>
      <c r="U299" s="3" t="s">
        <v>130</v>
      </c>
      <c r="V299" s="825"/>
      <c r="W299" s="762">
        <v>324</v>
      </c>
      <c r="X299" s="1311"/>
      <c r="Y299" s="958">
        <v>45373</v>
      </c>
      <c r="Z299" s="851" t="s">
        <v>62</v>
      </c>
      <c r="AA299" s="851"/>
      <c r="AB299" s="1099">
        <v>45378</v>
      </c>
      <c r="AC299" s="1099">
        <v>45379</v>
      </c>
      <c r="AD299" s="1226">
        <f>135+665+66</f>
        <v>866</v>
      </c>
      <c r="AE299" s="1264">
        <f t="shared" si="30"/>
        <v>0.98971428571428577</v>
      </c>
      <c r="AF299" s="1315" t="s">
        <v>64</v>
      </c>
      <c r="AG299" s="1317">
        <v>1</v>
      </c>
      <c r="AH299" s="1076" t="s">
        <v>132</v>
      </c>
      <c r="AI299" s="1248">
        <v>45383</v>
      </c>
      <c r="AJ299" s="1248">
        <v>45384</v>
      </c>
      <c r="AK299" s="1285">
        <f>21500+148500+118452</f>
        <v>288452</v>
      </c>
      <c r="AL299" s="1319">
        <f t="shared" si="31"/>
        <v>0.99124398625429555</v>
      </c>
      <c r="AM299" s="1265" t="s">
        <v>62</v>
      </c>
      <c r="AN299" s="1261">
        <v>1</v>
      </c>
      <c r="AO299" s="1276"/>
      <c r="AP299" s="1277"/>
      <c r="AQ299" s="1276"/>
      <c r="AR299" s="1278"/>
      <c r="AS299" s="1278"/>
    </row>
    <row r="300" spans="1:45" ht="15.6">
      <c r="A300" s="1097" t="s">
        <v>53</v>
      </c>
      <c r="B300" s="1103" t="s">
        <v>583</v>
      </c>
      <c r="C300" s="1098" t="s">
        <v>584</v>
      </c>
      <c r="D300" s="1098" t="s">
        <v>585</v>
      </c>
      <c r="E300" s="1461" t="s">
        <v>277</v>
      </c>
      <c r="F300" s="856">
        <v>2024</v>
      </c>
      <c r="G300" s="1099">
        <v>45369</v>
      </c>
      <c r="H300" s="3">
        <v>200105385</v>
      </c>
      <c r="I300" s="1444" t="s">
        <v>695</v>
      </c>
      <c r="J300" s="1109">
        <v>3</v>
      </c>
      <c r="K300" s="3" t="s">
        <v>60</v>
      </c>
      <c r="L300" s="3" t="s">
        <v>128</v>
      </c>
      <c r="M300" s="786">
        <v>536.6</v>
      </c>
      <c r="N300" s="762">
        <v>304.94</v>
      </c>
      <c r="O300" s="958">
        <v>45376</v>
      </c>
      <c r="P300" s="958">
        <v>45373</v>
      </c>
      <c r="Q300" s="3" t="s">
        <v>696</v>
      </c>
      <c r="R300" s="785" t="s">
        <v>697</v>
      </c>
      <c r="S300" s="856" t="s">
        <v>62</v>
      </c>
      <c r="T300" s="825"/>
      <c r="U300" s="3" t="s">
        <v>130</v>
      </c>
      <c r="V300" s="825"/>
      <c r="W300" s="762">
        <v>320.5</v>
      </c>
      <c r="X300" s="1311"/>
      <c r="Y300" s="958">
        <v>45373</v>
      </c>
      <c r="Z300" s="851" t="s">
        <v>62</v>
      </c>
      <c r="AA300" s="851"/>
      <c r="AB300" s="1099">
        <v>45378</v>
      </c>
      <c r="AC300" s="1099">
        <v>45378</v>
      </c>
      <c r="AD300" s="1226">
        <f>420+437</f>
        <v>857</v>
      </c>
      <c r="AE300" s="1264">
        <f t="shared" si="30"/>
        <v>0.97942857142857143</v>
      </c>
      <c r="AF300" s="1315" t="s">
        <v>64</v>
      </c>
      <c r="AG300" s="1317">
        <v>1</v>
      </c>
      <c r="AH300" s="1076" t="s">
        <v>132</v>
      </c>
      <c r="AI300" s="1248">
        <v>45379</v>
      </c>
      <c r="AJ300" s="1248"/>
      <c r="AK300" s="1285">
        <f>13300+138500+118000</f>
        <v>269800</v>
      </c>
      <c r="AL300" s="1319">
        <f t="shared" si="31"/>
        <v>0.92714776632302409</v>
      </c>
      <c r="AM300" s="1304" t="s">
        <v>698</v>
      </c>
      <c r="AN300" s="1261">
        <f>AL300/1</f>
        <v>0.92714776632302409</v>
      </c>
      <c r="AO300" s="1276"/>
      <c r="AP300" s="1277"/>
      <c r="AQ300" s="1276"/>
      <c r="AR300" s="1278"/>
      <c r="AS300" s="1278"/>
    </row>
    <row r="301" spans="1:45" ht="15.6">
      <c r="A301" s="1097" t="s">
        <v>53</v>
      </c>
      <c r="B301" s="1103" t="s">
        <v>583</v>
      </c>
      <c r="C301" s="1098" t="s">
        <v>584</v>
      </c>
      <c r="D301" s="1098" t="s">
        <v>585</v>
      </c>
      <c r="E301" s="1461" t="s">
        <v>277</v>
      </c>
      <c r="F301" s="856">
        <v>2024</v>
      </c>
      <c r="G301" s="1099">
        <v>45369</v>
      </c>
      <c r="H301" s="3">
        <v>200105386</v>
      </c>
      <c r="I301" s="1444" t="s">
        <v>699</v>
      </c>
      <c r="J301" s="1109">
        <v>4</v>
      </c>
      <c r="K301" s="3" t="s">
        <v>60</v>
      </c>
      <c r="L301" s="3" t="s">
        <v>128</v>
      </c>
      <c r="M301" s="786">
        <v>542.1</v>
      </c>
      <c r="N301" s="762">
        <v>306.48</v>
      </c>
      <c r="O301" s="958">
        <v>45376</v>
      </c>
      <c r="P301" s="958">
        <v>45373</v>
      </c>
      <c r="Q301" s="3" t="s">
        <v>700</v>
      </c>
      <c r="R301" s="3" t="s">
        <v>701</v>
      </c>
      <c r="S301" s="856" t="s">
        <v>62</v>
      </c>
      <c r="T301" s="825"/>
      <c r="U301" s="3" t="s">
        <v>130</v>
      </c>
      <c r="V301" s="825"/>
      <c r="W301" s="762">
        <v>322</v>
      </c>
      <c r="X301" s="1311"/>
      <c r="Y301" s="958">
        <v>45373</v>
      </c>
      <c r="Z301" s="851" t="s">
        <v>62</v>
      </c>
      <c r="AA301" s="851"/>
      <c r="AB301" s="1099">
        <v>45379</v>
      </c>
      <c r="AC301" s="1099">
        <v>45379</v>
      </c>
      <c r="AD301" s="1226">
        <f>270+595</f>
        <v>865</v>
      </c>
      <c r="AE301" s="1264">
        <f t="shared" si="30"/>
        <v>0.98857142857142855</v>
      </c>
      <c r="AF301" s="1315" t="s">
        <v>64</v>
      </c>
      <c r="AG301" s="1317">
        <v>1</v>
      </c>
      <c r="AH301" s="1076" t="s">
        <v>132</v>
      </c>
      <c r="AI301" s="1248">
        <v>45384</v>
      </c>
      <c r="AJ301" s="1248">
        <v>45385</v>
      </c>
      <c r="AK301" s="1285">
        <f>158000+130270</f>
        <v>288270</v>
      </c>
      <c r="AL301" s="1319">
        <f t="shared" si="31"/>
        <v>0.99061855670103094</v>
      </c>
      <c r="AM301" s="1265" t="s">
        <v>62</v>
      </c>
      <c r="AN301" s="1261">
        <v>1</v>
      </c>
      <c r="AO301" s="1276"/>
      <c r="AP301" s="1277"/>
      <c r="AQ301" s="1276"/>
      <c r="AR301" s="1278"/>
      <c r="AS301" s="1278"/>
    </row>
    <row r="302" spans="1:45" ht="15.6">
      <c r="A302" s="1097" t="s">
        <v>53</v>
      </c>
      <c r="B302" s="1103" t="s">
        <v>583</v>
      </c>
      <c r="C302" s="1098" t="s">
        <v>584</v>
      </c>
      <c r="D302" s="1098" t="s">
        <v>585</v>
      </c>
      <c r="E302" s="1461" t="s">
        <v>277</v>
      </c>
      <c r="F302" s="856">
        <v>2024</v>
      </c>
      <c r="G302" s="1099">
        <v>45369</v>
      </c>
      <c r="H302" s="3">
        <v>200105387</v>
      </c>
      <c r="I302" s="1444" t="s">
        <v>702</v>
      </c>
      <c r="J302" s="1109">
        <v>5</v>
      </c>
      <c r="K302" s="3" t="s">
        <v>60</v>
      </c>
      <c r="L302" s="3" t="s">
        <v>128</v>
      </c>
      <c r="M302" s="762">
        <v>532.79999999999995</v>
      </c>
      <c r="N302" s="762">
        <v>303.98</v>
      </c>
      <c r="O302" s="958">
        <v>45379</v>
      </c>
      <c r="P302" s="958">
        <v>45377</v>
      </c>
      <c r="Q302" s="3" t="s">
        <v>703</v>
      </c>
      <c r="R302" s="3" t="s">
        <v>704</v>
      </c>
      <c r="S302" s="856" t="s">
        <v>62</v>
      </c>
      <c r="T302" s="825"/>
      <c r="U302" s="3" t="s">
        <v>130</v>
      </c>
      <c r="V302" s="825"/>
      <c r="W302" s="762">
        <v>320.3</v>
      </c>
      <c r="X302" s="1311"/>
      <c r="Y302" s="958">
        <v>45377</v>
      </c>
      <c r="Z302" s="851" t="s">
        <v>62</v>
      </c>
      <c r="AA302" s="851"/>
      <c r="AB302" s="1099">
        <v>45397</v>
      </c>
      <c r="AC302" s="1099">
        <v>45397</v>
      </c>
      <c r="AD302" s="1226">
        <f>285+570</f>
        <v>855</v>
      </c>
      <c r="AE302" s="1264">
        <f t="shared" si="30"/>
        <v>0.97714285714285709</v>
      </c>
      <c r="AF302" s="1315" t="s">
        <v>64</v>
      </c>
      <c r="AG302" s="1317">
        <v>1</v>
      </c>
      <c r="AH302" s="1076" t="s">
        <v>617</v>
      </c>
      <c r="AI302" s="1248">
        <v>45399</v>
      </c>
      <c r="AJ302" s="1248">
        <v>45400</v>
      </c>
      <c r="AK302" s="1285">
        <f>20600+65700+64900+73000+60306</f>
        <v>284506</v>
      </c>
      <c r="AL302" s="1319">
        <f t="shared" si="31"/>
        <v>0.9776838487972509</v>
      </c>
      <c r="AM302" s="1265" t="s">
        <v>62</v>
      </c>
      <c r="AN302" s="1261">
        <v>1</v>
      </c>
      <c r="AO302" s="1276"/>
      <c r="AP302" s="1277"/>
      <c r="AQ302" s="1276"/>
      <c r="AR302" s="1278"/>
      <c r="AS302" s="1278"/>
    </row>
    <row r="303" spans="1:45" ht="15.6">
      <c r="A303" s="1097" t="s">
        <v>53</v>
      </c>
      <c r="B303" s="1103" t="s">
        <v>583</v>
      </c>
      <c r="C303" s="1098" t="s">
        <v>584</v>
      </c>
      <c r="D303" s="1098" t="s">
        <v>585</v>
      </c>
      <c r="E303" s="1461" t="s">
        <v>277</v>
      </c>
      <c r="F303" s="856">
        <v>2024</v>
      </c>
      <c r="G303" s="1099">
        <v>45369</v>
      </c>
      <c r="H303" s="3">
        <v>200105388</v>
      </c>
      <c r="I303" s="1444" t="s">
        <v>705</v>
      </c>
      <c r="J303" s="1109">
        <v>6</v>
      </c>
      <c r="K303" s="3" t="s">
        <v>60</v>
      </c>
      <c r="L303" s="3" t="s">
        <v>128</v>
      </c>
      <c r="M303" s="762">
        <v>537.20000000000005</v>
      </c>
      <c r="N303" s="762">
        <v>307.38</v>
      </c>
      <c r="O303" s="958">
        <v>45379</v>
      </c>
      <c r="P303" s="958">
        <v>45377</v>
      </c>
      <c r="Q303" s="785" t="s">
        <v>706</v>
      </c>
      <c r="R303" s="3" t="s">
        <v>707</v>
      </c>
      <c r="S303" s="856" t="s">
        <v>62</v>
      </c>
      <c r="T303" s="825"/>
      <c r="U303" s="3" t="s">
        <v>130</v>
      </c>
      <c r="V303" s="825"/>
      <c r="W303" s="786">
        <v>323.60000000000002</v>
      </c>
      <c r="X303" s="1311"/>
      <c r="Y303" s="958">
        <v>45377</v>
      </c>
      <c r="Z303" s="851" t="s">
        <v>62</v>
      </c>
      <c r="AA303" s="851"/>
      <c r="AB303" s="1099">
        <v>45397</v>
      </c>
      <c r="AC303" s="1099">
        <v>45398</v>
      </c>
      <c r="AD303" s="1226">
        <f>65+665+135</f>
        <v>865</v>
      </c>
      <c r="AE303" s="1264">
        <f t="shared" si="30"/>
        <v>0.98857142857142855</v>
      </c>
      <c r="AF303" s="1315" t="s">
        <v>64</v>
      </c>
      <c r="AG303" s="1317">
        <v>1</v>
      </c>
      <c r="AH303" s="1076" t="s">
        <v>617</v>
      </c>
      <c r="AI303" s="1248">
        <v>45400</v>
      </c>
      <c r="AJ303" s="1248">
        <v>45404</v>
      </c>
      <c r="AK303" s="1285">
        <f>26400+44500+60000+38600+34700+30500+52950</f>
        <v>287650</v>
      </c>
      <c r="AL303" s="1319">
        <f t="shared" si="31"/>
        <v>0.98848797250859111</v>
      </c>
      <c r="AM303" s="1265" t="s">
        <v>62</v>
      </c>
      <c r="AN303" s="1261">
        <v>1</v>
      </c>
      <c r="AO303" s="1276"/>
      <c r="AP303" s="1277"/>
      <c r="AQ303" s="1276"/>
      <c r="AR303" s="1278"/>
      <c r="AS303" s="1278"/>
    </row>
    <row r="304" spans="1:45" ht="15.6">
      <c r="A304" s="1097" t="s">
        <v>53</v>
      </c>
      <c r="B304" s="1103" t="s">
        <v>583</v>
      </c>
      <c r="C304" s="1098" t="s">
        <v>584</v>
      </c>
      <c r="D304" s="1098" t="s">
        <v>585</v>
      </c>
      <c r="E304" s="1461" t="s">
        <v>277</v>
      </c>
      <c r="F304" s="856">
        <v>2024</v>
      </c>
      <c r="G304" s="1099">
        <v>45369</v>
      </c>
      <c r="H304" s="3">
        <v>200105389</v>
      </c>
      <c r="I304" s="1444" t="s">
        <v>708</v>
      </c>
      <c r="J304" s="1109">
        <v>7</v>
      </c>
      <c r="K304" s="3" t="s">
        <v>60</v>
      </c>
      <c r="L304" s="3" t="s">
        <v>128</v>
      </c>
      <c r="M304" s="863">
        <v>532.5</v>
      </c>
      <c r="N304" s="762">
        <v>303.01</v>
      </c>
      <c r="O304" s="958">
        <v>45385</v>
      </c>
      <c r="P304" s="958">
        <v>45397</v>
      </c>
      <c r="Q304" s="785" t="s">
        <v>709</v>
      </c>
      <c r="R304" s="3" t="s">
        <v>710</v>
      </c>
      <c r="S304" s="856" t="s">
        <v>62</v>
      </c>
      <c r="T304" s="825"/>
      <c r="U304" s="3" t="s">
        <v>130</v>
      </c>
      <c r="V304" s="825"/>
      <c r="W304" s="3">
        <v>319.10000000000002</v>
      </c>
      <c r="X304" s="1311"/>
      <c r="Y304" s="958">
        <v>45397</v>
      </c>
      <c r="Z304" s="851" t="s">
        <v>62</v>
      </c>
      <c r="AA304" s="851"/>
      <c r="AB304" s="1099">
        <v>45398</v>
      </c>
      <c r="AC304" s="1099">
        <v>45398</v>
      </c>
      <c r="AD304" s="1226">
        <f>435+418</f>
        <v>853</v>
      </c>
      <c r="AE304" s="1264">
        <f t="shared" si="30"/>
        <v>0.97485714285714287</v>
      </c>
      <c r="AF304" s="1315" t="s">
        <v>64</v>
      </c>
      <c r="AG304" s="1317">
        <v>1</v>
      </c>
      <c r="AH304" s="1076" t="s">
        <v>162</v>
      </c>
      <c r="AI304" s="1248">
        <v>45400</v>
      </c>
      <c r="AJ304" s="1248">
        <v>45401</v>
      </c>
      <c r="AK304" s="1285">
        <f>24084+80000+80253+99453</f>
        <v>283790</v>
      </c>
      <c r="AL304" s="1319">
        <f t="shared" si="31"/>
        <v>0.97522336769759455</v>
      </c>
      <c r="AM304" s="1265" t="s">
        <v>62</v>
      </c>
      <c r="AN304" s="1261">
        <v>1</v>
      </c>
      <c r="AO304" s="1276"/>
      <c r="AP304" s="1277"/>
      <c r="AQ304" s="1276"/>
      <c r="AR304" s="1278"/>
      <c r="AS304" s="1278"/>
    </row>
    <row r="305" spans="1:45" ht="15.6">
      <c r="A305" s="1097" t="s">
        <v>53</v>
      </c>
      <c r="B305" s="1103" t="s">
        <v>583</v>
      </c>
      <c r="C305" s="1098" t="s">
        <v>584</v>
      </c>
      <c r="D305" s="1098" t="s">
        <v>585</v>
      </c>
      <c r="E305" s="1461" t="s">
        <v>277</v>
      </c>
      <c r="F305" s="856">
        <v>2024</v>
      </c>
      <c r="G305" s="1099">
        <v>45369</v>
      </c>
      <c r="H305" s="3">
        <v>200105390</v>
      </c>
      <c r="I305" s="1444" t="s">
        <v>711</v>
      </c>
      <c r="J305" s="1109">
        <v>8</v>
      </c>
      <c r="K305" s="3" t="s">
        <v>60</v>
      </c>
      <c r="L305" s="3" t="s">
        <v>128</v>
      </c>
      <c r="M305" s="786">
        <v>535.70000000000005</v>
      </c>
      <c r="N305" s="762">
        <v>305.83</v>
      </c>
      <c r="O305" s="958">
        <v>45386</v>
      </c>
      <c r="P305" s="958">
        <v>45397</v>
      </c>
      <c r="Q305" s="3" t="s">
        <v>712</v>
      </c>
      <c r="R305" s="3" t="s">
        <v>713</v>
      </c>
      <c r="S305" s="856" t="s">
        <v>62</v>
      </c>
      <c r="T305" s="825"/>
      <c r="U305" s="3" t="s">
        <v>130</v>
      </c>
      <c r="V305" s="825"/>
      <c r="W305" s="3">
        <v>322</v>
      </c>
      <c r="X305" s="1311"/>
      <c r="Y305" s="958">
        <v>45397</v>
      </c>
      <c r="Z305" s="851" t="s">
        <v>62</v>
      </c>
      <c r="AA305" s="851"/>
      <c r="AB305" s="1099">
        <v>45398</v>
      </c>
      <c r="AC305" s="1099">
        <v>45399</v>
      </c>
      <c r="AD305" s="1226">
        <f>190+635+36</f>
        <v>861</v>
      </c>
      <c r="AE305" s="1264">
        <f t="shared" si="30"/>
        <v>0.98399999999999999</v>
      </c>
      <c r="AF305" s="1315" t="s">
        <v>64</v>
      </c>
      <c r="AG305" s="1317">
        <v>1</v>
      </c>
      <c r="AH305" s="1076" t="s">
        <v>162</v>
      </c>
      <c r="AI305" s="1248">
        <v>45404</v>
      </c>
      <c r="AJ305" s="1248">
        <v>45405</v>
      </c>
      <c r="AK305" s="1285">
        <f>57054+106800+45000+60875+16697</f>
        <v>286426</v>
      </c>
      <c r="AL305" s="1319">
        <f t="shared" si="31"/>
        <v>0.98428178694158075</v>
      </c>
      <c r="AM305" s="1265" t="s">
        <v>62</v>
      </c>
      <c r="AN305" s="1261">
        <v>1</v>
      </c>
      <c r="AO305" s="1276"/>
      <c r="AP305" s="1277"/>
      <c r="AQ305" s="1276"/>
      <c r="AR305" s="1278"/>
      <c r="AS305" s="1278"/>
    </row>
    <row r="306" spans="1:45" ht="15.6">
      <c r="A306" s="1097" t="s">
        <v>53</v>
      </c>
      <c r="B306" s="1103" t="s">
        <v>583</v>
      </c>
      <c r="C306" s="1098" t="s">
        <v>584</v>
      </c>
      <c r="D306" s="1098" t="s">
        <v>585</v>
      </c>
      <c r="E306" s="1461" t="s">
        <v>277</v>
      </c>
      <c r="F306" s="856">
        <v>2024</v>
      </c>
      <c r="G306" s="1099">
        <v>45369</v>
      </c>
      <c r="H306" s="3">
        <v>200105391</v>
      </c>
      <c r="I306" s="1444" t="s">
        <v>714</v>
      </c>
      <c r="J306" s="1109">
        <v>9</v>
      </c>
      <c r="K306" s="3" t="s">
        <v>60</v>
      </c>
      <c r="L306" s="3" t="s">
        <v>128</v>
      </c>
      <c r="M306" s="786">
        <v>534.9</v>
      </c>
      <c r="N306" s="3">
        <v>307.86</v>
      </c>
      <c r="O306" s="958">
        <v>45386</v>
      </c>
      <c r="P306" s="958">
        <v>45397</v>
      </c>
      <c r="Q306" s="3" t="s">
        <v>715</v>
      </c>
      <c r="R306" s="3" t="s">
        <v>716</v>
      </c>
      <c r="S306" s="856" t="s">
        <v>62</v>
      </c>
      <c r="T306" s="825"/>
      <c r="U306" s="3" t="s">
        <v>130</v>
      </c>
      <c r="V306" s="825"/>
      <c r="W306" s="3">
        <v>323.3</v>
      </c>
      <c r="X306" s="1311"/>
      <c r="Y306" s="958">
        <v>45397</v>
      </c>
      <c r="Z306" s="851" t="s">
        <v>62</v>
      </c>
      <c r="AA306" s="851"/>
      <c r="AB306" s="1099">
        <v>45399</v>
      </c>
      <c r="AC306" s="1099">
        <v>45399</v>
      </c>
      <c r="AD306" s="1226">
        <f>430+425</f>
        <v>855</v>
      </c>
      <c r="AE306" s="1264">
        <f t="shared" si="30"/>
        <v>0.97714285714285709</v>
      </c>
      <c r="AF306" s="1315" t="s">
        <v>64</v>
      </c>
      <c r="AG306" s="1317">
        <v>1</v>
      </c>
      <c r="AH306" s="1076" t="s">
        <v>162</v>
      </c>
      <c r="AI306" s="1248">
        <v>45405</v>
      </c>
      <c r="AJ306" s="1248">
        <v>45406</v>
      </c>
      <c r="AK306" s="1249">
        <f>55810+101000+89326+38879</f>
        <v>285015</v>
      </c>
      <c r="AL306" s="1319">
        <f t="shared" si="31"/>
        <v>0.97943298969072168</v>
      </c>
      <c r="AM306" s="1265" t="s">
        <v>62</v>
      </c>
      <c r="AN306" s="1261">
        <v>1</v>
      </c>
      <c r="AO306" s="1276"/>
      <c r="AP306" s="1277"/>
      <c r="AQ306" s="1276"/>
      <c r="AR306" s="1278"/>
      <c r="AS306" s="1278"/>
    </row>
    <row r="307" spans="1:45" ht="15.6">
      <c r="A307" s="1097" t="s">
        <v>53</v>
      </c>
      <c r="B307" s="1103" t="s">
        <v>583</v>
      </c>
      <c r="C307" s="1098" t="s">
        <v>584</v>
      </c>
      <c r="D307" s="1098" t="s">
        <v>585</v>
      </c>
      <c r="E307" s="1461" t="s">
        <v>277</v>
      </c>
      <c r="F307" s="856">
        <v>2024</v>
      </c>
      <c r="G307" s="1099">
        <v>45387</v>
      </c>
      <c r="H307" s="3">
        <v>200105624</v>
      </c>
      <c r="I307" s="1457" t="s">
        <v>717</v>
      </c>
      <c r="J307" s="1109">
        <v>10</v>
      </c>
      <c r="K307" s="3" t="s">
        <v>60</v>
      </c>
      <c r="L307" s="3" t="s">
        <v>60</v>
      </c>
      <c r="M307" s="762">
        <v>536.9</v>
      </c>
      <c r="N307" s="762">
        <v>302.66000000000003</v>
      </c>
      <c r="O307" s="958">
        <v>45399</v>
      </c>
      <c r="P307" s="958">
        <v>45398</v>
      </c>
      <c r="Q307" s="3" t="s">
        <v>718</v>
      </c>
      <c r="R307" s="784" t="s">
        <v>719</v>
      </c>
      <c r="S307" s="856" t="s">
        <v>62</v>
      </c>
      <c r="T307" s="825"/>
      <c r="U307" s="3" t="s">
        <v>130</v>
      </c>
      <c r="V307" s="825"/>
      <c r="W307" s="762">
        <v>318.10000000000002</v>
      </c>
      <c r="X307" s="1311"/>
      <c r="Y307" s="958">
        <v>45398</v>
      </c>
      <c r="Z307" s="851" t="s">
        <v>62</v>
      </c>
      <c r="AA307" s="851"/>
      <c r="AB307" s="1099">
        <v>45399</v>
      </c>
      <c r="AC307" s="1099">
        <v>45400</v>
      </c>
      <c r="AD307" s="1226">
        <f>205+649</f>
        <v>854</v>
      </c>
      <c r="AE307" s="1264">
        <f t="shared" si="30"/>
        <v>0.97599999999999998</v>
      </c>
      <c r="AF307" s="1315" t="s">
        <v>64</v>
      </c>
      <c r="AG307" s="1317">
        <v>1</v>
      </c>
      <c r="AH307" s="1076" t="s">
        <v>617</v>
      </c>
      <c r="AI307" s="1248">
        <v>45405</v>
      </c>
      <c r="AJ307" s="1248">
        <v>45406</v>
      </c>
      <c r="AK307" s="1285">
        <f>64900+60300+32300+61000+60500+5108</f>
        <v>284108</v>
      </c>
      <c r="AL307" s="1319">
        <f t="shared" si="31"/>
        <v>0.97631615120274917</v>
      </c>
      <c r="AM307" s="1265" t="s">
        <v>62</v>
      </c>
      <c r="AN307" s="1261">
        <v>1</v>
      </c>
      <c r="AO307" s="1276"/>
      <c r="AP307" s="1277"/>
      <c r="AQ307" s="1276"/>
      <c r="AR307" s="1278"/>
      <c r="AS307" s="1278"/>
    </row>
    <row r="308" spans="1:45" ht="15.6">
      <c r="A308" s="1097" t="s">
        <v>53</v>
      </c>
      <c r="B308" s="1103" t="s">
        <v>583</v>
      </c>
      <c r="C308" s="1098" t="s">
        <v>584</v>
      </c>
      <c r="D308" s="1098" t="s">
        <v>585</v>
      </c>
      <c r="E308" s="1461" t="s">
        <v>277</v>
      </c>
      <c r="F308" s="856">
        <v>2024</v>
      </c>
      <c r="G308" s="1099">
        <v>45387</v>
      </c>
      <c r="H308" s="3">
        <v>200105625</v>
      </c>
      <c r="I308" s="1457" t="s">
        <v>720</v>
      </c>
      <c r="J308" s="1109">
        <v>11</v>
      </c>
      <c r="K308" s="3" t="s">
        <v>60</v>
      </c>
      <c r="L308" s="3" t="s">
        <v>60</v>
      </c>
      <c r="M308" s="3">
        <v>539.29999999999995</v>
      </c>
      <c r="N308" s="762">
        <v>305.61200000000002</v>
      </c>
      <c r="O308" s="958">
        <v>45399</v>
      </c>
      <c r="P308" s="958">
        <v>45398</v>
      </c>
      <c r="Q308" s="784" t="s">
        <v>721</v>
      </c>
      <c r="R308" s="784" t="s">
        <v>722</v>
      </c>
      <c r="S308" s="856" t="s">
        <v>62</v>
      </c>
      <c r="T308" s="825"/>
      <c r="U308" s="3" t="s">
        <v>130</v>
      </c>
      <c r="V308" s="825"/>
      <c r="W308" s="762">
        <v>321.60000000000002</v>
      </c>
      <c r="X308" s="1311"/>
      <c r="Y308" s="958">
        <v>45398</v>
      </c>
      <c r="Z308" s="851" t="s">
        <v>62</v>
      </c>
      <c r="AA308" s="851"/>
      <c r="AB308" s="1099">
        <v>45400</v>
      </c>
      <c r="AC308" s="1099">
        <v>45400</v>
      </c>
      <c r="AD308" s="1226">
        <f>620+240</f>
        <v>860</v>
      </c>
      <c r="AE308" s="1264">
        <f t="shared" si="30"/>
        <v>0.98285714285714287</v>
      </c>
      <c r="AF308" s="1315" t="s">
        <v>64</v>
      </c>
      <c r="AG308" s="1317">
        <v>1</v>
      </c>
      <c r="AH308" s="1076" t="s">
        <v>162</v>
      </c>
      <c r="AI308" s="1248">
        <v>45406</v>
      </c>
      <c r="AJ308" s="1248">
        <v>45407</v>
      </c>
      <c r="AK308" s="1249">
        <f>35542+102000+103050+45469</f>
        <v>286061</v>
      </c>
      <c r="AL308" s="1319">
        <f t="shared" si="31"/>
        <v>0.98302749140893475</v>
      </c>
      <c r="AM308" s="1265" t="s">
        <v>62</v>
      </c>
      <c r="AN308" s="1261">
        <v>1</v>
      </c>
      <c r="AO308" s="1276"/>
      <c r="AP308" s="1277"/>
      <c r="AQ308" s="1276"/>
      <c r="AR308" s="1278"/>
      <c r="AS308" s="1278"/>
    </row>
    <row r="309" spans="1:45" ht="15.6">
      <c r="A309" s="1097" t="s">
        <v>53</v>
      </c>
      <c r="B309" s="1103"/>
      <c r="C309" s="1098"/>
      <c r="D309" s="1098"/>
      <c r="E309" s="1076"/>
      <c r="F309" s="1076"/>
      <c r="G309" s="1099"/>
      <c r="H309" s="3"/>
      <c r="I309" s="3"/>
      <c r="J309" s="1109"/>
      <c r="K309" s="851"/>
      <c r="L309" s="851"/>
      <c r="M309" s="851"/>
      <c r="N309" s="851"/>
      <c r="O309" s="1205"/>
      <c r="P309" s="1205"/>
      <c r="Q309" s="851"/>
      <c r="R309" s="851"/>
      <c r="S309" s="851"/>
      <c r="T309" s="851"/>
      <c r="U309" s="851"/>
      <c r="V309" s="1312"/>
      <c r="W309" s="851"/>
      <c r="X309" s="1179"/>
      <c r="Y309" s="1205"/>
      <c r="Z309" s="851"/>
      <c r="AA309" s="851"/>
      <c r="AB309" s="1099"/>
      <c r="AC309" s="1099"/>
      <c r="AD309" s="1226"/>
      <c r="AE309" s="1264"/>
      <c r="AF309" s="1315"/>
      <c r="AG309" s="1320"/>
      <c r="AH309" s="1076"/>
      <c r="AI309" s="1266"/>
      <c r="AJ309" s="1266"/>
      <c r="AK309" s="1267"/>
      <c r="AL309" s="1319"/>
      <c r="AM309" s="1287"/>
      <c r="AN309" s="1261"/>
      <c r="AO309" s="1276"/>
      <c r="AP309" s="1277"/>
      <c r="AQ309" s="1276"/>
      <c r="AR309" s="1278"/>
      <c r="AS309" s="1278"/>
    </row>
    <row r="310" spans="1:45" ht="15.6">
      <c r="A310" s="1097" t="s">
        <v>53</v>
      </c>
      <c r="B310" s="1103" t="s">
        <v>583</v>
      </c>
      <c r="C310" s="1098" t="s">
        <v>584</v>
      </c>
      <c r="D310" s="1098" t="s">
        <v>585</v>
      </c>
      <c r="E310" s="1461" t="s">
        <v>57</v>
      </c>
      <c r="F310" s="856">
        <v>2024</v>
      </c>
      <c r="G310" s="1099">
        <v>45387</v>
      </c>
      <c r="H310" s="3">
        <v>200105643</v>
      </c>
      <c r="I310" s="1449" t="s">
        <v>723</v>
      </c>
      <c r="J310" s="1109">
        <v>1</v>
      </c>
      <c r="K310" s="3" t="s">
        <v>60</v>
      </c>
      <c r="L310" s="3" t="s">
        <v>60</v>
      </c>
      <c r="M310" s="13">
        <v>543.1</v>
      </c>
      <c r="N310" s="13">
        <v>300.91000000000003</v>
      </c>
      <c r="O310" s="958">
        <v>45399</v>
      </c>
      <c r="P310" s="958">
        <v>45400</v>
      </c>
      <c r="Q310" s="935" t="s">
        <v>724</v>
      </c>
      <c r="R310" s="935" t="s">
        <v>725</v>
      </c>
      <c r="S310" s="856" t="s">
        <v>62</v>
      </c>
      <c r="T310" s="825"/>
      <c r="U310" s="3" t="s">
        <v>130</v>
      </c>
      <c r="V310" s="825"/>
      <c r="W310" s="3">
        <v>317.10000000000002</v>
      </c>
      <c r="X310" s="1311"/>
      <c r="Y310" s="958">
        <v>45400</v>
      </c>
      <c r="Z310" s="851" t="s">
        <v>62</v>
      </c>
      <c r="AA310" s="851"/>
      <c r="AB310" s="1099">
        <v>45400</v>
      </c>
      <c r="AC310" s="1099">
        <v>45401</v>
      </c>
      <c r="AD310" s="1226">
        <f>480+379</f>
        <v>859</v>
      </c>
      <c r="AE310" s="1264">
        <f t="shared" ref="AE310:AE319" si="32">AD310/875</f>
        <v>0.98171428571428576</v>
      </c>
      <c r="AF310" s="1315" t="s">
        <v>64</v>
      </c>
      <c r="AG310" s="1317">
        <v>1</v>
      </c>
      <c r="AH310" s="1076" t="s">
        <v>162</v>
      </c>
      <c r="AI310" s="1248">
        <v>45407</v>
      </c>
      <c r="AJ310" s="1248">
        <v>45408</v>
      </c>
      <c r="AK310" s="1249">
        <f>40000+106500+77550+62479</f>
        <v>286529</v>
      </c>
      <c r="AL310" s="1319">
        <f t="shared" ref="AL310:AL319" si="33">AK310/291000</f>
        <v>0.98463573883161515</v>
      </c>
      <c r="AM310" s="1265" t="s">
        <v>62</v>
      </c>
      <c r="AN310" s="1261">
        <v>1</v>
      </c>
      <c r="AO310" s="1276"/>
      <c r="AP310" s="1277"/>
      <c r="AQ310" s="1276"/>
      <c r="AR310" s="1278"/>
      <c r="AS310" s="1278"/>
    </row>
    <row r="311" spans="1:45" ht="15.6">
      <c r="A311" s="1097" t="s">
        <v>53</v>
      </c>
      <c r="B311" s="1103" t="s">
        <v>583</v>
      </c>
      <c r="C311" s="1098" t="s">
        <v>584</v>
      </c>
      <c r="D311" s="1098" t="s">
        <v>585</v>
      </c>
      <c r="E311" s="1461" t="s">
        <v>57</v>
      </c>
      <c r="F311" s="856">
        <v>2024</v>
      </c>
      <c r="G311" s="1099">
        <v>45387</v>
      </c>
      <c r="H311" s="3">
        <v>200105644</v>
      </c>
      <c r="I311" s="1449" t="s">
        <v>726</v>
      </c>
      <c r="J311" s="1109">
        <v>2</v>
      </c>
      <c r="K311" s="3" t="s">
        <v>60</v>
      </c>
      <c r="L311" s="3" t="s">
        <v>60</v>
      </c>
      <c r="M311" s="762">
        <v>535.79999999999995</v>
      </c>
      <c r="N311" s="3">
        <v>305.33</v>
      </c>
      <c r="O311" s="958">
        <v>45400</v>
      </c>
      <c r="P311" s="958">
        <v>45400</v>
      </c>
      <c r="Q311" s="3" t="s">
        <v>727</v>
      </c>
      <c r="R311" s="784" t="s">
        <v>728</v>
      </c>
      <c r="S311" s="856" t="s">
        <v>62</v>
      </c>
      <c r="T311" s="825"/>
      <c r="U311" s="3" t="s">
        <v>130</v>
      </c>
      <c r="V311" s="825"/>
      <c r="W311" s="3">
        <v>321.60000000000002</v>
      </c>
      <c r="X311" s="1311"/>
      <c r="Y311" s="958">
        <v>45400</v>
      </c>
      <c r="Z311" s="851" t="s">
        <v>62</v>
      </c>
      <c r="AA311" s="851"/>
      <c r="AB311" s="1099">
        <v>45401</v>
      </c>
      <c r="AC311" s="1099">
        <v>45401</v>
      </c>
      <c r="AD311" s="1226">
        <f>140+630+87</f>
        <v>857</v>
      </c>
      <c r="AE311" s="1264">
        <f t="shared" si="32"/>
        <v>0.97942857142857143</v>
      </c>
      <c r="AF311" s="1315" t="s">
        <v>64</v>
      </c>
      <c r="AG311" s="1317">
        <v>1</v>
      </c>
      <c r="AH311" s="1076" t="s">
        <v>617</v>
      </c>
      <c r="AI311" s="1248">
        <v>45406</v>
      </c>
      <c r="AJ311" s="1248">
        <v>45434</v>
      </c>
      <c r="AK311" s="1285">
        <f>21600+68900+62200+69000+56000+7557</f>
        <v>285257</v>
      </c>
      <c r="AL311" s="1319">
        <f t="shared" si="33"/>
        <v>0.98026460481099653</v>
      </c>
      <c r="AM311" s="1265" t="s">
        <v>62</v>
      </c>
      <c r="AN311" s="1261">
        <v>1</v>
      </c>
      <c r="AO311" s="1276"/>
      <c r="AP311" s="1277"/>
      <c r="AQ311" s="1276"/>
      <c r="AR311" s="1278"/>
      <c r="AS311" s="1278"/>
    </row>
    <row r="312" spans="1:45" ht="15.6">
      <c r="A312" s="1097" t="s">
        <v>53</v>
      </c>
      <c r="B312" s="1103" t="s">
        <v>583</v>
      </c>
      <c r="C312" s="1098" t="s">
        <v>584</v>
      </c>
      <c r="D312" s="1098" t="s">
        <v>585</v>
      </c>
      <c r="E312" s="1461" t="s">
        <v>57</v>
      </c>
      <c r="F312" s="856">
        <v>2024</v>
      </c>
      <c r="G312" s="1099">
        <v>45387</v>
      </c>
      <c r="H312" s="3">
        <v>200105645</v>
      </c>
      <c r="I312" s="1449" t="s">
        <v>729</v>
      </c>
      <c r="J312" s="1109">
        <v>3</v>
      </c>
      <c r="K312" s="3" t="s">
        <v>60</v>
      </c>
      <c r="L312" s="3" t="s">
        <v>60</v>
      </c>
      <c r="M312" s="786">
        <v>531.1</v>
      </c>
      <c r="N312" s="3">
        <v>307.42</v>
      </c>
      <c r="O312" s="958">
        <v>45401</v>
      </c>
      <c r="P312" s="958">
        <v>45400</v>
      </c>
      <c r="Q312" s="864" t="s">
        <v>730</v>
      </c>
      <c r="R312" s="784" t="s">
        <v>731</v>
      </c>
      <c r="S312" s="856" t="s">
        <v>62</v>
      </c>
      <c r="T312" s="825"/>
      <c r="U312" s="3" t="s">
        <v>130</v>
      </c>
      <c r="V312" s="825"/>
      <c r="W312" s="859">
        <v>323.39999999999998</v>
      </c>
      <c r="X312" s="1311"/>
      <c r="Y312" s="958">
        <v>45400</v>
      </c>
      <c r="Z312" s="851" t="s">
        <v>62</v>
      </c>
      <c r="AA312" s="851"/>
      <c r="AB312" s="1099">
        <v>45404</v>
      </c>
      <c r="AC312" s="1099">
        <v>45404</v>
      </c>
      <c r="AD312" s="1226">
        <f>520+338</f>
        <v>858</v>
      </c>
      <c r="AE312" s="1264">
        <f t="shared" si="32"/>
        <v>0.98057142857142854</v>
      </c>
      <c r="AF312" s="1315" t="s">
        <v>64</v>
      </c>
      <c r="AG312" s="1317">
        <v>1</v>
      </c>
      <c r="AH312" s="1076" t="s">
        <v>617</v>
      </c>
      <c r="AI312" s="1248">
        <v>45408</v>
      </c>
      <c r="AJ312" s="1248">
        <v>45412</v>
      </c>
      <c r="AK312" s="1285">
        <f>36000+70000+46600+57500+32800+42554</f>
        <v>285454</v>
      </c>
      <c r="AL312" s="1319">
        <f t="shared" si="33"/>
        <v>0.98094158075601379</v>
      </c>
      <c r="AM312" s="1265" t="s">
        <v>62</v>
      </c>
      <c r="AN312" s="1261">
        <v>1</v>
      </c>
      <c r="AO312" s="1276"/>
      <c r="AP312" s="1277"/>
      <c r="AQ312" s="1276"/>
      <c r="AR312" s="1278"/>
      <c r="AS312" s="1278"/>
    </row>
    <row r="313" spans="1:45" ht="15.6">
      <c r="A313" s="1097" t="s">
        <v>53</v>
      </c>
      <c r="B313" s="1103" t="s">
        <v>583</v>
      </c>
      <c r="C313" s="1098" t="s">
        <v>584</v>
      </c>
      <c r="D313" s="1098" t="s">
        <v>585</v>
      </c>
      <c r="E313" s="1461" t="s">
        <v>57</v>
      </c>
      <c r="F313" s="856">
        <v>2024</v>
      </c>
      <c r="G313" s="1099">
        <v>45399</v>
      </c>
      <c r="H313" s="3">
        <v>200105574</v>
      </c>
      <c r="I313" s="1438" t="s">
        <v>732</v>
      </c>
      <c r="J313" s="1109">
        <v>4</v>
      </c>
      <c r="K313" s="3" t="s">
        <v>60</v>
      </c>
      <c r="L313" s="3" t="s">
        <v>60</v>
      </c>
      <c r="M313" s="786">
        <v>541</v>
      </c>
      <c r="N313" s="859">
        <v>308</v>
      </c>
      <c r="O313" s="958">
        <v>45401</v>
      </c>
      <c r="P313" s="958">
        <v>45400</v>
      </c>
      <c r="Q313" s="784" t="s">
        <v>733</v>
      </c>
      <c r="R313" s="784" t="s">
        <v>734</v>
      </c>
      <c r="S313" s="856" t="s">
        <v>62</v>
      </c>
      <c r="T313" s="825"/>
      <c r="U313" s="3" t="s">
        <v>130</v>
      </c>
      <c r="V313" s="825"/>
      <c r="W313" s="859">
        <v>324</v>
      </c>
      <c r="X313" s="1311"/>
      <c r="Y313" s="958">
        <v>45400</v>
      </c>
      <c r="Z313" s="851" t="s">
        <v>62</v>
      </c>
      <c r="AA313" s="851"/>
      <c r="AB313" s="1099">
        <v>45404</v>
      </c>
      <c r="AC313" s="1099">
        <v>45404</v>
      </c>
      <c r="AD313" s="1226">
        <f>195+676</f>
        <v>871</v>
      </c>
      <c r="AE313" s="1264">
        <f t="shared" si="32"/>
        <v>0.99542857142857144</v>
      </c>
      <c r="AF313" s="1315" t="s">
        <v>64</v>
      </c>
      <c r="AG313" s="1317">
        <v>1</v>
      </c>
      <c r="AH313" s="1076" t="s">
        <v>162</v>
      </c>
      <c r="AI313" s="1248">
        <v>45408</v>
      </c>
      <c r="AJ313" s="1248">
        <v>45412</v>
      </c>
      <c r="AK313" s="1249">
        <f>7531+93000+30000+87050+54400+18445</f>
        <v>290426</v>
      </c>
      <c r="AL313" s="1319">
        <f t="shared" si="33"/>
        <v>0.99802749140893465</v>
      </c>
      <c r="AM313" s="1265" t="s">
        <v>62</v>
      </c>
      <c r="AN313" s="1261">
        <v>1</v>
      </c>
      <c r="AO313" s="1276">
        <v>3914</v>
      </c>
      <c r="AP313" s="1277">
        <v>45443</v>
      </c>
      <c r="AQ313" s="1276" t="s">
        <v>162</v>
      </c>
      <c r="AR313" s="1278"/>
      <c r="AS313" s="1278"/>
    </row>
    <row r="314" spans="1:45" ht="15.6">
      <c r="A314" s="1097" t="s">
        <v>53</v>
      </c>
      <c r="B314" s="1103" t="s">
        <v>583</v>
      </c>
      <c r="C314" s="1098" t="s">
        <v>584</v>
      </c>
      <c r="D314" s="1098" t="s">
        <v>585</v>
      </c>
      <c r="E314" s="1461" t="s">
        <v>57</v>
      </c>
      <c r="F314" s="856">
        <v>2024</v>
      </c>
      <c r="G314" s="1099">
        <v>45399</v>
      </c>
      <c r="H314" s="3">
        <v>200105575</v>
      </c>
      <c r="I314" s="1438" t="s">
        <v>735</v>
      </c>
      <c r="J314" s="1109">
        <v>5</v>
      </c>
      <c r="K314" s="3" t="s">
        <v>60</v>
      </c>
      <c r="L314" s="3" t="s">
        <v>60</v>
      </c>
      <c r="M314" s="786">
        <v>538.79999999999995</v>
      </c>
      <c r="N314" s="3">
        <v>302.97000000000003</v>
      </c>
      <c r="O314" s="958">
        <v>45401</v>
      </c>
      <c r="P314" s="958">
        <v>45401</v>
      </c>
      <c r="Q314" s="784" t="s">
        <v>736</v>
      </c>
      <c r="R314" s="784" t="s">
        <v>737</v>
      </c>
      <c r="S314" s="856" t="s">
        <v>62</v>
      </c>
      <c r="T314" s="825"/>
      <c r="U314" s="3" t="s">
        <v>130</v>
      </c>
      <c r="V314" s="825"/>
      <c r="W314" s="859">
        <v>318.89999999999998</v>
      </c>
      <c r="X314" s="1311"/>
      <c r="Y314" s="958">
        <v>45401</v>
      </c>
      <c r="Z314" s="851" t="s">
        <v>62</v>
      </c>
      <c r="AA314" s="851"/>
      <c r="AB314" s="1099">
        <v>45405</v>
      </c>
      <c r="AC314" s="1099">
        <v>45405</v>
      </c>
      <c r="AD314" s="1226">
        <f>560+302</f>
        <v>862</v>
      </c>
      <c r="AE314" s="1264">
        <f t="shared" si="32"/>
        <v>0.9851428571428571</v>
      </c>
      <c r="AF314" s="1315" t="s">
        <v>64</v>
      </c>
      <c r="AG314" s="1317">
        <v>1</v>
      </c>
      <c r="AH314" s="1076" t="s">
        <v>162</v>
      </c>
      <c r="AI314" s="1248">
        <v>45412</v>
      </c>
      <c r="AJ314" s="1248">
        <v>45414</v>
      </c>
      <c r="AK314" s="1249">
        <f>43500+95728+100700+46878</f>
        <v>286806</v>
      </c>
      <c r="AL314" s="1319">
        <f t="shared" si="33"/>
        <v>0.98558762886597939</v>
      </c>
      <c r="AM314" s="1265" t="s">
        <v>62</v>
      </c>
      <c r="AN314" s="1261">
        <v>1</v>
      </c>
      <c r="AO314" s="1276"/>
      <c r="AP314" s="1277"/>
      <c r="AQ314" s="1276"/>
      <c r="AR314" s="1278"/>
      <c r="AS314" s="1278"/>
    </row>
    <row r="315" spans="1:45" ht="15.6">
      <c r="A315" s="1097" t="s">
        <v>53</v>
      </c>
      <c r="B315" s="1103" t="s">
        <v>583</v>
      </c>
      <c r="C315" s="1098" t="s">
        <v>584</v>
      </c>
      <c r="D315" s="1098" t="s">
        <v>585</v>
      </c>
      <c r="E315" s="1461" t="s">
        <v>57</v>
      </c>
      <c r="F315" s="856">
        <v>2024</v>
      </c>
      <c r="G315" s="1099">
        <v>45399</v>
      </c>
      <c r="H315" s="3">
        <v>200105576</v>
      </c>
      <c r="I315" s="1438" t="s">
        <v>738</v>
      </c>
      <c r="J315" s="1109">
        <v>6</v>
      </c>
      <c r="K315" s="3" t="s">
        <v>60</v>
      </c>
      <c r="L315" s="3" t="s">
        <v>60</v>
      </c>
      <c r="M315" s="786">
        <v>536.29999999999995</v>
      </c>
      <c r="N315" s="3">
        <v>307.92</v>
      </c>
      <c r="O315" s="958">
        <v>45404</v>
      </c>
      <c r="P315" s="958">
        <v>45401</v>
      </c>
      <c r="Q315" s="3" t="s">
        <v>739</v>
      </c>
      <c r="R315" s="784" t="s">
        <v>740</v>
      </c>
      <c r="S315" s="856" t="s">
        <v>62</v>
      </c>
      <c r="T315" s="825"/>
      <c r="U315" s="3" t="s">
        <v>130</v>
      </c>
      <c r="V315" s="825"/>
      <c r="W315" s="859">
        <v>323.8</v>
      </c>
      <c r="X315" s="1311"/>
      <c r="Y315" s="958">
        <v>45401</v>
      </c>
      <c r="Z315" s="851" t="s">
        <v>62</v>
      </c>
      <c r="AA315" s="851"/>
      <c r="AB315" s="1099">
        <v>45405</v>
      </c>
      <c r="AC315" s="1099">
        <v>45405</v>
      </c>
      <c r="AD315" s="1226">
        <f>275+590</f>
        <v>865</v>
      </c>
      <c r="AE315" s="1264">
        <f t="shared" si="32"/>
        <v>0.98857142857142855</v>
      </c>
      <c r="AF315" s="1315" t="s">
        <v>64</v>
      </c>
      <c r="AG315" s="1317">
        <v>1</v>
      </c>
      <c r="AH315" s="1076" t="s">
        <v>132</v>
      </c>
      <c r="AI315" s="1248">
        <v>45411</v>
      </c>
      <c r="AJ315" s="1248">
        <v>45412</v>
      </c>
      <c r="AK315" s="1249">
        <f>113343+141900+29300</f>
        <v>284543</v>
      </c>
      <c r="AL315" s="1319">
        <f t="shared" si="33"/>
        <v>0.97781099656357384</v>
      </c>
      <c r="AM315" s="1265" t="s">
        <v>62</v>
      </c>
      <c r="AN315" s="1261">
        <v>1</v>
      </c>
      <c r="AO315" s="1276"/>
      <c r="AP315" s="1277"/>
      <c r="AQ315" s="1276"/>
      <c r="AR315" s="1278"/>
      <c r="AS315" s="1278"/>
    </row>
    <row r="316" spans="1:45" ht="15.6">
      <c r="A316" s="1097" t="s">
        <v>53</v>
      </c>
      <c r="B316" s="1103" t="s">
        <v>583</v>
      </c>
      <c r="C316" s="1098" t="s">
        <v>584</v>
      </c>
      <c r="D316" s="1098" t="s">
        <v>585</v>
      </c>
      <c r="E316" s="1461" t="s">
        <v>57</v>
      </c>
      <c r="F316" s="856">
        <v>2024</v>
      </c>
      <c r="G316" s="1099">
        <v>45399</v>
      </c>
      <c r="H316" s="3">
        <v>200105669</v>
      </c>
      <c r="I316" s="1444" t="s">
        <v>741</v>
      </c>
      <c r="J316" s="1109">
        <v>7</v>
      </c>
      <c r="K316" s="3" t="s">
        <v>60</v>
      </c>
      <c r="L316" s="3" t="s">
        <v>60</v>
      </c>
      <c r="M316" s="786">
        <v>539.20000000000005</v>
      </c>
      <c r="N316" s="786">
        <v>303.14</v>
      </c>
      <c r="O316" s="958">
        <v>45404</v>
      </c>
      <c r="P316" s="958">
        <v>45404</v>
      </c>
      <c r="Q316" s="828" t="s">
        <v>742</v>
      </c>
      <c r="R316" s="784" t="s">
        <v>743</v>
      </c>
      <c r="S316" s="856" t="s">
        <v>62</v>
      </c>
      <c r="T316" s="825"/>
      <c r="U316" s="3" t="s">
        <v>130</v>
      </c>
      <c r="V316" s="825"/>
      <c r="W316" s="786">
        <v>319</v>
      </c>
      <c r="X316" s="1311"/>
      <c r="Y316" s="958">
        <v>45405</v>
      </c>
      <c r="Z316" s="851" t="s">
        <v>62</v>
      </c>
      <c r="AA316" s="851"/>
      <c r="AB316" s="1099">
        <v>45405</v>
      </c>
      <c r="AC316" s="1099">
        <v>45406</v>
      </c>
      <c r="AD316" s="1226">
        <f>35+705+125</f>
        <v>865</v>
      </c>
      <c r="AE316" s="1264">
        <f t="shared" si="32"/>
        <v>0.98857142857142855</v>
      </c>
      <c r="AF316" s="1315" t="s">
        <v>64</v>
      </c>
      <c r="AG316" s="1317">
        <v>1</v>
      </c>
      <c r="AH316" s="1076" t="s">
        <v>132</v>
      </c>
      <c r="AI316" s="1248">
        <v>45412</v>
      </c>
      <c r="AJ316" s="1248">
        <v>45414</v>
      </c>
      <c r="AK316" s="1249">
        <f>123300+126500+9700+28186</f>
        <v>287686</v>
      </c>
      <c r="AL316" s="1319">
        <f t="shared" si="33"/>
        <v>0.98861168384879727</v>
      </c>
      <c r="AM316" s="1265" t="s">
        <v>62</v>
      </c>
      <c r="AN316" s="1261">
        <v>1</v>
      </c>
      <c r="AO316" s="1276"/>
      <c r="AP316" s="1277"/>
      <c r="AQ316" s="1276"/>
      <c r="AR316" s="1278"/>
      <c r="AS316" s="1278"/>
    </row>
    <row r="317" spans="1:45" ht="15.6">
      <c r="A317" s="1097" t="s">
        <v>53</v>
      </c>
      <c r="B317" s="1103" t="s">
        <v>583</v>
      </c>
      <c r="C317" s="1098" t="s">
        <v>584</v>
      </c>
      <c r="D317" s="1098" t="s">
        <v>585</v>
      </c>
      <c r="E317" s="1461" t="s">
        <v>57</v>
      </c>
      <c r="F317" s="856">
        <v>2024</v>
      </c>
      <c r="G317" s="1099">
        <v>45400</v>
      </c>
      <c r="H317" s="3">
        <v>200105696</v>
      </c>
      <c r="I317" s="1439" t="s">
        <v>744</v>
      </c>
      <c r="J317" s="1109">
        <v>8</v>
      </c>
      <c r="K317" s="3" t="s">
        <v>60</v>
      </c>
      <c r="L317" s="3" t="s">
        <v>60</v>
      </c>
      <c r="M317" s="786">
        <v>541.1</v>
      </c>
      <c r="N317" s="786">
        <v>306.98</v>
      </c>
      <c r="O317" s="958">
        <v>45404</v>
      </c>
      <c r="P317" s="958">
        <v>45404</v>
      </c>
      <c r="Q317" s="828" t="s">
        <v>745</v>
      </c>
      <c r="R317" s="784" t="s">
        <v>746</v>
      </c>
      <c r="S317" s="856" t="s">
        <v>62</v>
      </c>
      <c r="T317" s="825"/>
      <c r="U317" s="3" t="s">
        <v>130</v>
      </c>
      <c r="V317" s="825"/>
      <c r="W317" s="786">
        <v>323</v>
      </c>
      <c r="X317" s="1311"/>
      <c r="Y317" s="958">
        <v>45405</v>
      </c>
      <c r="Z317" s="851" t="s">
        <v>62</v>
      </c>
      <c r="AA317" s="851"/>
      <c r="AB317" s="1099">
        <v>45406</v>
      </c>
      <c r="AC317" s="1099">
        <v>45407</v>
      </c>
      <c r="AD317" s="1226">
        <f>465+405</f>
        <v>870</v>
      </c>
      <c r="AE317" s="1264">
        <f t="shared" si="32"/>
        <v>0.99428571428571433</v>
      </c>
      <c r="AF317" s="1315" t="s">
        <v>64</v>
      </c>
      <c r="AG317" s="1317">
        <v>1</v>
      </c>
      <c r="AH317" s="1076" t="s">
        <v>617</v>
      </c>
      <c r="AI317" s="1248">
        <v>45412</v>
      </c>
      <c r="AJ317" s="1248">
        <v>45415</v>
      </c>
      <c r="AK317" s="1285">
        <f>11700+66100+54000+61500+53000+43020</f>
        <v>289320</v>
      </c>
      <c r="AL317" s="1319">
        <f t="shared" si="33"/>
        <v>0.99422680412371134</v>
      </c>
      <c r="AM317" s="1265" t="s">
        <v>62</v>
      </c>
      <c r="AN317" s="1261">
        <v>1</v>
      </c>
      <c r="AO317" s="1276"/>
      <c r="AP317" s="1277"/>
      <c r="AQ317" s="1276"/>
      <c r="AR317" s="1278"/>
      <c r="AS317" s="1278"/>
    </row>
    <row r="318" spans="1:45" ht="15.6">
      <c r="A318" s="1097" t="s">
        <v>53</v>
      </c>
      <c r="B318" s="1103" t="s">
        <v>583</v>
      </c>
      <c r="C318" s="1098" t="s">
        <v>584</v>
      </c>
      <c r="D318" s="1098" t="s">
        <v>585</v>
      </c>
      <c r="E318" s="1461" t="s">
        <v>57</v>
      </c>
      <c r="F318" s="856">
        <v>2024</v>
      </c>
      <c r="G318" s="1099">
        <v>45404</v>
      </c>
      <c r="H318" s="3">
        <v>200105239</v>
      </c>
      <c r="I318" s="1449" t="s">
        <v>747</v>
      </c>
      <c r="J318" s="1109">
        <v>9</v>
      </c>
      <c r="K318" s="3" t="s">
        <v>60</v>
      </c>
      <c r="L318" s="3" t="s">
        <v>60</v>
      </c>
      <c r="M318" s="786">
        <v>535</v>
      </c>
      <c r="N318" s="786">
        <v>304.95999999999998</v>
      </c>
      <c r="O318" s="958">
        <v>45406</v>
      </c>
      <c r="P318" s="958">
        <v>45405</v>
      </c>
      <c r="Q318" s="784" t="s">
        <v>748</v>
      </c>
      <c r="R318" s="784" t="s">
        <v>749</v>
      </c>
      <c r="S318" s="856" t="s">
        <v>62</v>
      </c>
      <c r="T318" s="825"/>
      <c r="U318" s="3" t="s">
        <v>130</v>
      </c>
      <c r="V318" s="825"/>
      <c r="W318" s="786">
        <v>320.89999999999998</v>
      </c>
      <c r="X318" s="1311"/>
      <c r="Y318" s="958">
        <v>45406</v>
      </c>
      <c r="Z318" s="851" t="s">
        <v>62</v>
      </c>
      <c r="AA318" s="851"/>
      <c r="AB318" s="1099">
        <v>45407</v>
      </c>
      <c r="AC318" s="1099">
        <v>45407</v>
      </c>
      <c r="AD318" s="1226">
        <f>570+292</f>
        <v>862</v>
      </c>
      <c r="AE318" s="1264">
        <f t="shared" si="32"/>
        <v>0.9851428571428571</v>
      </c>
      <c r="AF318" s="1315" t="s">
        <v>64</v>
      </c>
      <c r="AG318" s="1317">
        <v>1</v>
      </c>
      <c r="AH318" s="1076" t="s">
        <v>162</v>
      </c>
      <c r="AI318" s="1248">
        <v>45414</v>
      </c>
      <c r="AJ318" s="1248">
        <v>45415</v>
      </c>
      <c r="AK318" s="1249">
        <f>30000+99053+88500+66514</f>
        <v>284067</v>
      </c>
      <c r="AL318" s="1319">
        <f t="shared" si="33"/>
        <v>0.97617525773195879</v>
      </c>
      <c r="AM318" s="1265" t="s">
        <v>62</v>
      </c>
      <c r="AN318" s="1261">
        <v>1</v>
      </c>
      <c r="AO318" s="1276"/>
      <c r="AP318" s="1277"/>
      <c r="AQ318" s="1276"/>
      <c r="AR318" s="1278"/>
      <c r="AS318" s="1278"/>
    </row>
    <row r="319" spans="1:45" ht="15.6">
      <c r="A319" s="1097" t="s">
        <v>53</v>
      </c>
      <c r="B319" s="1103" t="s">
        <v>583</v>
      </c>
      <c r="C319" s="1098" t="s">
        <v>584</v>
      </c>
      <c r="D319" s="1098" t="s">
        <v>585</v>
      </c>
      <c r="E319" s="1461" t="s">
        <v>57</v>
      </c>
      <c r="F319" s="856">
        <v>2024</v>
      </c>
      <c r="G319" s="1099">
        <v>45405</v>
      </c>
      <c r="H319" s="3">
        <v>200105772</v>
      </c>
      <c r="I319" s="1449" t="s">
        <v>750</v>
      </c>
      <c r="J319" s="1109">
        <v>10</v>
      </c>
      <c r="K319" s="3" t="s">
        <v>60</v>
      </c>
      <c r="L319" s="3" t="s">
        <v>60</v>
      </c>
      <c r="M319" s="786">
        <v>538.70000000000005</v>
      </c>
      <c r="N319" s="786">
        <v>307.62</v>
      </c>
      <c r="O319" s="958">
        <v>45406</v>
      </c>
      <c r="P319" s="958">
        <v>45405</v>
      </c>
      <c r="Q319" s="864" t="s">
        <v>751</v>
      </c>
      <c r="R319" s="784" t="s">
        <v>752</v>
      </c>
      <c r="S319" s="856" t="s">
        <v>62</v>
      </c>
      <c r="T319" s="825"/>
      <c r="U319" s="3" t="s">
        <v>130</v>
      </c>
      <c r="V319" s="825"/>
      <c r="W319" s="786">
        <v>323.39999999999998</v>
      </c>
      <c r="X319" s="1311"/>
      <c r="Y319" s="958">
        <v>45406</v>
      </c>
      <c r="Z319" s="851" t="s">
        <v>62</v>
      </c>
      <c r="AA319" s="851"/>
      <c r="AB319" s="1099">
        <v>45407</v>
      </c>
      <c r="AC319" s="1099">
        <v>45408</v>
      </c>
      <c r="AD319" s="1226">
        <f>335+535</f>
        <v>870</v>
      </c>
      <c r="AE319" s="1264">
        <f t="shared" si="32"/>
        <v>0.99428571428571433</v>
      </c>
      <c r="AF319" s="1315" t="s">
        <v>64</v>
      </c>
      <c r="AG319" s="1317">
        <v>1</v>
      </c>
      <c r="AH319" s="1076" t="s">
        <v>617</v>
      </c>
      <c r="AI319" s="1248">
        <v>45415</v>
      </c>
      <c r="AJ319" s="1248">
        <v>45442</v>
      </c>
      <c r="AK319" s="1293">
        <f>57200+67000+45300+70200+6733</f>
        <v>246433</v>
      </c>
      <c r="AL319" s="1319">
        <f t="shared" si="33"/>
        <v>0.84684879725085915</v>
      </c>
      <c r="AM319" s="1265" t="s">
        <v>62</v>
      </c>
      <c r="AN319" s="1261">
        <v>1</v>
      </c>
      <c r="AO319" s="1276"/>
      <c r="AP319" s="1277"/>
      <c r="AQ319" s="1276"/>
      <c r="AR319" s="1278"/>
      <c r="AS319" s="1278"/>
    </row>
    <row r="320" spans="1:45" ht="15.6">
      <c r="A320" s="1097" t="s">
        <v>53</v>
      </c>
      <c r="B320" s="1103"/>
      <c r="C320" s="1098"/>
      <c r="D320" s="1098"/>
      <c r="E320" s="1076"/>
      <c r="F320" s="1076"/>
      <c r="G320" s="1099"/>
      <c r="H320" s="3"/>
      <c r="I320" s="3"/>
      <c r="J320" s="1109"/>
      <c r="K320" s="851"/>
      <c r="L320" s="851"/>
      <c r="M320" s="851"/>
      <c r="N320" s="851"/>
      <c r="O320" s="1205"/>
      <c r="P320" s="1205"/>
      <c r="Q320" s="851"/>
      <c r="R320" s="851"/>
      <c r="S320" s="851"/>
      <c r="T320" s="851"/>
      <c r="U320" s="851"/>
      <c r="V320" s="1312"/>
      <c r="W320" s="851"/>
      <c r="X320" s="1179"/>
      <c r="Y320" s="1205"/>
      <c r="Z320" s="851"/>
      <c r="AA320" s="851"/>
      <c r="AB320" s="1099"/>
      <c r="AC320" s="1099"/>
      <c r="AD320" s="1226"/>
      <c r="AE320" s="1264"/>
      <c r="AF320" s="1315"/>
      <c r="AG320" s="1317"/>
      <c r="AH320" s="1076"/>
      <c r="AI320" s="1248"/>
      <c r="AJ320" s="1248"/>
      <c r="AK320" s="1249"/>
      <c r="AL320" s="1319"/>
      <c r="AM320" s="1287"/>
      <c r="AN320" s="1261"/>
      <c r="AO320" s="1276"/>
      <c r="AP320" s="1277"/>
      <c r="AQ320" s="1276"/>
      <c r="AR320" s="1278"/>
      <c r="AS320" s="1278"/>
    </row>
    <row r="321" spans="1:45" ht="15.6">
      <c r="A321" s="1097" t="s">
        <v>53</v>
      </c>
      <c r="B321" s="1103" t="s">
        <v>583</v>
      </c>
      <c r="C321" s="1098" t="s">
        <v>584</v>
      </c>
      <c r="D321" s="1098" t="s">
        <v>585</v>
      </c>
      <c r="E321" s="1461" t="s">
        <v>72</v>
      </c>
      <c r="F321" s="856">
        <v>2024</v>
      </c>
      <c r="G321" s="1099">
        <v>45436</v>
      </c>
      <c r="H321" s="3">
        <v>200106260</v>
      </c>
      <c r="I321" s="1453" t="s">
        <v>753</v>
      </c>
      <c r="J321" s="1109">
        <v>1</v>
      </c>
      <c r="K321" s="3" t="s">
        <v>60</v>
      </c>
      <c r="L321" s="3" t="s">
        <v>128</v>
      </c>
      <c r="M321" s="858">
        <v>534.20000000000005</v>
      </c>
      <c r="N321" s="858">
        <v>302.13</v>
      </c>
      <c r="O321" s="958">
        <v>45442</v>
      </c>
      <c r="P321" s="958">
        <v>45442</v>
      </c>
      <c r="Q321" s="3" t="s">
        <v>754</v>
      </c>
      <c r="R321" s="3" t="s">
        <v>755</v>
      </c>
      <c r="S321" s="856" t="s">
        <v>62</v>
      </c>
      <c r="T321" s="825"/>
      <c r="U321" s="3" t="s">
        <v>130</v>
      </c>
      <c r="V321" s="825"/>
      <c r="W321" s="786">
        <v>318.60000000000002</v>
      </c>
      <c r="X321" s="1311"/>
      <c r="Y321" s="958">
        <v>45442</v>
      </c>
      <c r="Z321" s="851" t="s">
        <v>62</v>
      </c>
      <c r="AA321" s="851"/>
      <c r="AB321" s="1099">
        <v>45447</v>
      </c>
      <c r="AC321" s="1099">
        <v>45447</v>
      </c>
      <c r="AD321" s="1226">
        <f>545+308</f>
        <v>853</v>
      </c>
      <c r="AE321" s="1264">
        <f t="shared" ref="AE321:AE330" si="34">AD321/875</f>
        <v>0.97485714285714287</v>
      </c>
      <c r="AF321" s="1315" t="s">
        <v>64</v>
      </c>
      <c r="AG321" s="1317">
        <v>1</v>
      </c>
      <c r="AH321" s="1076" t="s">
        <v>162</v>
      </c>
      <c r="AI321" s="1248">
        <v>45450</v>
      </c>
      <c r="AJ321" s="1248">
        <v>45452</v>
      </c>
      <c r="AK321" s="1249">
        <f>48557+83032+88728+63316</f>
        <v>283633</v>
      </c>
      <c r="AL321" s="1319">
        <f t="shared" ref="AL321:AL330" si="35">AK321/291000</f>
        <v>0.9746838487972509</v>
      </c>
      <c r="AM321" s="1265" t="s">
        <v>62</v>
      </c>
      <c r="AN321" s="1261">
        <v>1</v>
      </c>
      <c r="AO321" s="1276"/>
      <c r="AP321" s="1277"/>
      <c r="AQ321" s="1276"/>
      <c r="AR321" s="1278"/>
      <c r="AS321" s="1278"/>
    </row>
    <row r="322" spans="1:45" ht="15.6">
      <c r="A322" s="1097" t="s">
        <v>53</v>
      </c>
      <c r="B322" s="1103" t="s">
        <v>583</v>
      </c>
      <c r="C322" s="1098" t="s">
        <v>584</v>
      </c>
      <c r="D322" s="1098" t="s">
        <v>585</v>
      </c>
      <c r="E322" s="1461" t="s">
        <v>72</v>
      </c>
      <c r="F322" s="856">
        <v>2024</v>
      </c>
      <c r="G322" s="1099">
        <v>45436</v>
      </c>
      <c r="H322" s="3">
        <v>200106261</v>
      </c>
      <c r="I322" s="1453" t="s">
        <v>756</v>
      </c>
      <c r="J322" s="1109">
        <v>2</v>
      </c>
      <c r="K322" s="3" t="s">
        <v>60</v>
      </c>
      <c r="L322" s="3" t="s">
        <v>128</v>
      </c>
      <c r="M322" s="865">
        <v>539.70000000000005</v>
      </c>
      <c r="N322" s="858">
        <v>305.51</v>
      </c>
      <c r="O322" s="958">
        <v>45442</v>
      </c>
      <c r="P322" s="958">
        <v>45442</v>
      </c>
      <c r="Q322" s="3" t="s">
        <v>757</v>
      </c>
      <c r="R322" s="3" t="s">
        <v>758</v>
      </c>
      <c r="S322" s="856" t="s">
        <v>62</v>
      </c>
      <c r="T322" s="825"/>
      <c r="U322" s="3" t="s">
        <v>130</v>
      </c>
      <c r="V322" s="825"/>
      <c r="W322" s="762">
        <v>322</v>
      </c>
      <c r="X322" s="1311"/>
      <c r="Y322" s="958">
        <v>45443</v>
      </c>
      <c r="Z322" s="851" t="s">
        <v>62</v>
      </c>
      <c r="AA322" s="851"/>
      <c r="AB322" s="1099">
        <v>45447</v>
      </c>
      <c r="AC322" s="1099">
        <v>45447</v>
      </c>
      <c r="AD322" s="1226">
        <f>275+587</f>
        <v>862</v>
      </c>
      <c r="AE322" s="1264">
        <f t="shared" si="34"/>
        <v>0.9851428571428571</v>
      </c>
      <c r="AF322" s="1315" t="s">
        <v>64</v>
      </c>
      <c r="AG322" s="1317">
        <v>1</v>
      </c>
      <c r="AH322" s="1076" t="s">
        <v>162</v>
      </c>
      <c r="AI322" s="1248">
        <v>45452</v>
      </c>
      <c r="AJ322" s="1248">
        <v>45454</v>
      </c>
      <c r="AK322" s="1249">
        <f>26272+103858+86182+70761</f>
        <v>287073</v>
      </c>
      <c r="AL322" s="1319">
        <f t="shared" si="35"/>
        <v>0.98650515463917521</v>
      </c>
      <c r="AM322" s="1265" t="s">
        <v>62</v>
      </c>
      <c r="AN322" s="1261">
        <v>1</v>
      </c>
      <c r="AO322" s="1276">
        <v>3280</v>
      </c>
      <c r="AP322" s="1277">
        <v>45478</v>
      </c>
      <c r="AQ322" s="1276" t="s">
        <v>162</v>
      </c>
      <c r="AR322" s="1278"/>
      <c r="AS322" s="1278"/>
    </row>
    <row r="323" spans="1:45" ht="15.6">
      <c r="A323" s="1097" t="s">
        <v>53</v>
      </c>
      <c r="B323" s="1103" t="s">
        <v>583</v>
      </c>
      <c r="C323" s="1098" t="s">
        <v>584</v>
      </c>
      <c r="D323" s="1098" t="s">
        <v>585</v>
      </c>
      <c r="E323" s="1461" t="s">
        <v>72</v>
      </c>
      <c r="F323" s="856">
        <v>2024</v>
      </c>
      <c r="G323" s="1099">
        <v>45436</v>
      </c>
      <c r="H323" s="3">
        <v>200106262</v>
      </c>
      <c r="I323" s="1453" t="s">
        <v>759</v>
      </c>
      <c r="J323" s="1109">
        <v>3</v>
      </c>
      <c r="K323" s="3" t="s">
        <v>60</v>
      </c>
      <c r="L323" s="3" t="s">
        <v>128</v>
      </c>
      <c r="M323" s="865">
        <v>543</v>
      </c>
      <c r="N323" s="865">
        <v>306.72000000000003</v>
      </c>
      <c r="O323" s="958">
        <v>45442</v>
      </c>
      <c r="P323" s="958">
        <v>45442</v>
      </c>
      <c r="Q323" s="785" t="s">
        <v>760</v>
      </c>
      <c r="R323" s="3" t="s">
        <v>597</v>
      </c>
      <c r="S323" s="856" t="s">
        <v>62</v>
      </c>
      <c r="T323" s="825"/>
      <c r="U323" s="3" t="s">
        <v>130</v>
      </c>
      <c r="V323" s="825"/>
      <c r="W323" s="762">
        <v>322.5</v>
      </c>
      <c r="X323" s="1311"/>
      <c r="Y323" s="958">
        <v>45443</v>
      </c>
      <c r="Z323" s="851" t="s">
        <v>62</v>
      </c>
      <c r="AA323" s="851"/>
      <c r="AB323" s="1099">
        <v>45447</v>
      </c>
      <c r="AC323" s="1099">
        <v>45448</v>
      </c>
      <c r="AD323" s="1226">
        <f>45+645+177</f>
        <v>867</v>
      </c>
      <c r="AE323" s="1264">
        <f t="shared" si="34"/>
        <v>0.99085714285714288</v>
      </c>
      <c r="AF323" s="1315" t="s">
        <v>64</v>
      </c>
      <c r="AG323" s="1317">
        <v>1</v>
      </c>
      <c r="AH323" s="1076" t="s">
        <v>617</v>
      </c>
      <c r="AI323" s="1248">
        <v>45453</v>
      </c>
      <c r="AJ323" s="1248">
        <v>45455</v>
      </c>
      <c r="AK323" s="1249">
        <f>40512+47578+58200+7812+40300+67610+26464</f>
        <v>288476</v>
      </c>
      <c r="AL323" s="1319">
        <f t="shared" si="35"/>
        <v>0.99132646048109962</v>
      </c>
      <c r="AM323" s="1265" t="s">
        <v>62</v>
      </c>
      <c r="AN323" s="1261">
        <v>1</v>
      </c>
      <c r="AO323" s="1276"/>
      <c r="AP323" s="1277"/>
      <c r="AQ323" s="1276"/>
      <c r="AR323" s="1278"/>
      <c r="AS323" s="1278"/>
    </row>
    <row r="324" spans="1:45" ht="15.6">
      <c r="A324" s="1097" t="s">
        <v>53</v>
      </c>
      <c r="B324" s="1103" t="s">
        <v>583</v>
      </c>
      <c r="C324" s="1098" t="s">
        <v>584</v>
      </c>
      <c r="D324" s="1098" t="s">
        <v>585</v>
      </c>
      <c r="E324" s="1461" t="s">
        <v>72</v>
      </c>
      <c r="F324" s="856">
        <v>2024</v>
      </c>
      <c r="G324" s="1099">
        <v>45436</v>
      </c>
      <c r="H324" s="3">
        <v>200106263</v>
      </c>
      <c r="I324" s="1453" t="s">
        <v>761</v>
      </c>
      <c r="J324" s="1109">
        <v>4</v>
      </c>
      <c r="K324" s="3" t="s">
        <v>60</v>
      </c>
      <c r="L324" s="3" t="s">
        <v>128</v>
      </c>
      <c r="M324" s="858">
        <v>530.79999999999995</v>
      </c>
      <c r="N324" s="865">
        <v>307.27999999999997</v>
      </c>
      <c r="O324" s="958">
        <v>45446</v>
      </c>
      <c r="P324" s="958">
        <v>45442</v>
      </c>
      <c r="Q324" s="3" t="s">
        <v>762</v>
      </c>
      <c r="R324" s="3" t="s">
        <v>763</v>
      </c>
      <c r="S324" s="856" t="s">
        <v>62</v>
      </c>
      <c r="T324" s="825"/>
      <c r="U324" s="3" t="s">
        <v>130</v>
      </c>
      <c r="V324" s="825"/>
      <c r="W324" s="762">
        <v>323</v>
      </c>
      <c r="X324" s="1311"/>
      <c r="Y324" s="958">
        <v>45443</v>
      </c>
      <c r="Z324" s="851" t="s">
        <v>62</v>
      </c>
      <c r="AA324" s="851"/>
      <c r="AB324" s="1099">
        <v>45448</v>
      </c>
      <c r="AC324" s="1099">
        <v>45448</v>
      </c>
      <c r="AD324" s="1226">
        <f>410+446</f>
        <v>856</v>
      </c>
      <c r="AE324" s="1264">
        <f t="shared" si="34"/>
        <v>0.97828571428571431</v>
      </c>
      <c r="AF324" s="1315" t="s">
        <v>64</v>
      </c>
      <c r="AG324" s="1317">
        <v>1</v>
      </c>
      <c r="AH324" s="1076" t="s">
        <v>162</v>
      </c>
      <c r="AI324" s="1248">
        <v>45454</v>
      </c>
      <c r="AJ324" s="1248">
        <v>45456</v>
      </c>
      <c r="AK324" s="1249">
        <f>24300+115245+100221+35714+9101</f>
        <v>284581</v>
      </c>
      <c r="AL324" s="1319">
        <f t="shared" si="35"/>
        <v>0.97794158075601378</v>
      </c>
      <c r="AM324" s="1265" t="s">
        <v>62</v>
      </c>
      <c r="AN324" s="1261">
        <v>1</v>
      </c>
      <c r="AO324" s="1276"/>
      <c r="AP324" s="1277"/>
      <c r="AQ324" s="1276"/>
      <c r="AR324" s="1278"/>
      <c r="AS324" s="1278"/>
    </row>
    <row r="325" spans="1:45" ht="15.6">
      <c r="A325" s="1097" t="s">
        <v>53</v>
      </c>
      <c r="B325" s="1103" t="s">
        <v>583</v>
      </c>
      <c r="C325" s="1098" t="s">
        <v>584</v>
      </c>
      <c r="D325" s="1098" t="s">
        <v>585</v>
      </c>
      <c r="E325" s="1461" t="s">
        <v>72</v>
      </c>
      <c r="F325" s="856">
        <v>2024</v>
      </c>
      <c r="G325" s="1099">
        <v>45442</v>
      </c>
      <c r="H325" s="3">
        <v>200106171</v>
      </c>
      <c r="I325" s="1464" t="s">
        <v>764</v>
      </c>
      <c r="J325" s="1109">
        <v>5</v>
      </c>
      <c r="K325" s="3" t="s">
        <v>60</v>
      </c>
      <c r="L325" s="3" t="s">
        <v>128</v>
      </c>
      <c r="M325" s="858">
        <v>538.5</v>
      </c>
      <c r="N325" s="858">
        <v>305.29000000000002</v>
      </c>
      <c r="O325" s="958">
        <v>45446</v>
      </c>
      <c r="P325" s="958">
        <v>45447</v>
      </c>
      <c r="Q325" s="3" t="s">
        <v>765</v>
      </c>
      <c r="R325" s="3" t="s">
        <v>766</v>
      </c>
      <c r="S325" s="856" t="s">
        <v>62</v>
      </c>
      <c r="T325" s="825"/>
      <c r="U325" s="3" t="s">
        <v>130</v>
      </c>
      <c r="V325" s="825"/>
      <c r="W325" s="786">
        <v>320.7</v>
      </c>
      <c r="X325" s="1311"/>
      <c r="Y325" s="958">
        <v>45447</v>
      </c>
      <c r="Z325" s="851" t="s">
        <v>62</v>
      </c>
      <c r="AA325" s="851"/>
      <c r="AB325" s="1099">
        <v>45448</v>
      </c>
      <c r="AC325" s="1099">
        <v>45449</v>
      </c>
      <c r="AD325" s="1226">
        <f>180+682</f>
        <v>862</v>
      </c>
      <c r="AE325" s="1264">
        <f t="shared" si="34"/>
        <v>0.9851428571428571</v>
      </c>
      <c r="AF325" s="1315" t="s">
        <v>64</v>
      </c>
      <c r="AG325" s="1317">
        <v>1</v>
      </c>
      <c r="AH325" s="1076" t="s">
        <v>162</v>
      </c>
      <c r="AI325" s="1248">
        <v>45456</v>
      </c>
      <c r="AJ325" s="1248">
        <v>45457</v>
      </c>
      <c r="AK325" s="1249">
        <f>9459+115776+111576+48511</f>
        <v>285322</v>
      </c>
      <c r="AL325" s="1319">
        <f t="shared" si="35"/>
        <v>0.9804879725085911</v>
      </c>
      <c r="AM325" s="1265" t="s">
        <v>62</v>
      </c>
      <c r="AN325" s="1261">
        <v>1</v>
      </c>
      <c r="AO325" s="1276"/>
      <c r="AP325" s="1277"/>
      <c r="AQ325" s="1276"/>
      <c r="AR325" s="1278"/>
      <c r="AS325" s="1278"/>
    </row>
    <row r="326" spans="1:45" ht="15.6">
      <c r="A326" s="1097" t="s">
        <v>53</v>
      </c>
      <c r="B326" s="1103" t="s">
        <v>583</v>
      </c>
      <c r="C326" s="1098" t="s">
        <v>584</v>
      </c>
      <c r="D326" s="1098" t="s">
        <v>585</v>
      </c>
      <c r="E326" s="1461" t="s">
        <v>72</v>
      </c>
      <c r="F326" s="856">
        <v>2024</v>
      </c>
      <c r="G326" s="1099">
        <v>45442</v>
      </c>
      <c r="H326" s="3">
        <v>200106172</v>
      </c>
      <c r="I326" s="1464" t="s">
        <v>767</v>
      </c>
      <c r="J326" s="1109">
        <v>6</v>
      </c>
      <c r="K326" s="3" t="s">
        <v>60</v>
      </c>
      <c r="L326" s="3" t="s">
        <v>128</v>
      </c>
      <c r="M326" s="858">
        <v>538.70000000000005</v>
      </c>
      <c r="N326" s="858">
        <v>307.87</v>
      </c>
      <c r="O326" s="958">
        <v>45446</v>
      </c>
      <c r="P326" s="958">
        <v>45447</v>
      </c>
      <c r="Q326" s="3" t="s">
        <v>768</v>
      </c>
      <c r="R326" s="3" t="s">
        <v>769</v>
      </c>
      <c r="S326" s="856" t="s">
        <v>62</v>
      </c>
      <c r="T326" s="825"/>
      <c r="U326" s="3" t="s">
        <v>130</v>
      </c>
      <c r="V326" s="825"/>
      <c r="W326" s="786">
        <v>323.60000000000002</v>
      </c>
      <c r="X326" s="1311"/>
      <c r="Y326" s="958">
        <v>45447</v>
      </c>
      <c r="Z326" s="851" t="s">
        <v>62</v>
      </c>
      <c r="AA326" s="851"/>
      <c r="AB326" s="1099">
        <v>45449</v>
      </c>
      <c r="AC326" s="1099">
        <v>45449</v>
      </c>
      <c r="AD326" s="1226">
        <f>585+279</f>
        <v>864</v>
      </c>
      <c r="AE326" s="1264">
        <f t="shared" si="34"/>
        <v>0.98742857142857143</v>
      </c>
      <c r="AF326" s="1315" t="s">
        <v>64</v>
      </c>
      <c r="AG326" s="1317">
        <v>1</v>
      </c>
      <c r="AH326" s="1076" t="s">
        <v>162</v>
      </c>
      <c r="AI326" s="1248">
        <v>45457</v>
      </c>
      <c r="AJ326" s="1248">
        <v>45458</v>
      </c>
      <c r="AK326" s="1249">
        <f>16634+104778+105609+59760</f>
        <v>286781</v>
      </c>
      <c r="AL326" s="1319">
        <f t="shared" si="35"/>
        <v>0.98550171821305843</v>
      </c>
      <c r="AM326" s="1265" t="s">
        <v>62</v>
      </c>
      <c r="AN326" s="1261">
        <v>1</v>
      </c>
      <c r="AO326" s="1276"/>
      <c r="AP326" s="1277"/>
      <c r="AQ326" s="1276"/>
      <c r="AR326" s="1278"/>
      <c r="AS326" s="1278"/>
    </row>
    <row r="327" spans="1:45" ht="15.6">
      <c r="A327" s="1097" t="s">
        <v>53</v>
      </c>
      <c r="B327" s="1103" t="s">
        <v>583</v>
      </c>
      <c r="C327" s="1098" t="s">
        <v>584</v>
      </c>
      <c r="D327" s="1098" t="s">
        <v>585</v>
      </c>
      <c r="E327" s="1461" t="s">
        <v>72</v>
      </c>
      <c r="F327" s="856">
        <v>2024</v>
      </c>
      <c r="G327" s="1099">
        <v>45442</v>
      </c>
      <c r="H327" s="3">
        <v>200106173</v>
      </c>
      <c r="I327" s="1464" t="s">
        <v>770</v>
      </c>
      <c r="J327" s="1109">
        <v>7</v>
      </c>
      <c r="K327" s="3" t="s">
        <v>60</v>
      </c>
      <c r="L327" s="3" t="s">
        <v>128</v>
      </c>
      <c r="M327" s="858">
        <v>533.79999999999995</v>
      </c>
      <c r="N327" s="786">
        <v>306.7</v>
      </c>
      <c r="O327" s="958">
        <v>45447</v>
      </c>
      <c r="P327" s="958">
        <v>45447</v>
      </c>
      <c r="Q327" s="3" t="s">
        <v>771</v>
      </c>
      <c r="R327" s="3" t="s">
        <v>772</v>
      </c>
      <c r="S327" s="856" t="s">
        <v>62</v>
      </c>
      <c r="T327" s="825"/>
      <c r="U327" s="3" t="s">
        <v>130</v>
      </c>
      <c r="V327" s="825"/>
      <c r="W327" s="786">
        <v>322.60000000000002</v>
      </c>
      <c r="X327" s="1311"/>
      <c r="Y327" s="958">
        <v>45447</v>
      </c>
      <c r="Z327" s="851" t="s">
        <v>62</v>
      </c>
      <c r="AA327" s="851"/>
      <c r="AB327" s="1099">
        <v>45449</v>
      </c>
      <c r="AC327" s="1099">
        <v>45450</v>
      </c>
      <c r="AD327" s="1226">
        <f>350+508</f>
        <v>858</v>
      </c>
      <c r="AE327" s="1264">
        <f t="shared" si="34"/>
        <v>0.98057142857142854</v>
      </c>
      <c r="AF327" s="1315" t="s">
        <v>64</v>
      </c>
      <c r="AG327" s="1317">
        <v>1</v>
      </c>
      <c r="AH327" s="1076" t="s">
        <v>162</v>
      </c>
      <c r="AI327" s="1248">
        <v>45481</v>
      </c>
      <c r="AJ327" s="1248">
        <v>45482</v>
      </c>
      <c r="AK327" s="1249">
        <f>87328+120000+77344</f>
        <v>284672</v>
      </c>
      <c r="AL327" s="1319">
        <f t="shared" si="35"/>
        <v>0.97825429553264609</v>
      </c>
      <c r="AM327" s="1265" t="s">
        <v>62</v>
      </c>
      <c r="AN327" s="1261">
        <v>1</v>
      </c>
      <c r="AO327" s="1276"/>
      <c r="AP327" s="1277"/>
      <c r="AQ327" s="1276"/>
      <c r="AR327" s="1278"/>
      <c r="AS327" s="1278"/>
    </row>
    <row r="328" spans="1:45" ht="15.6">
      <c r="A328" s="1097" t="s">
        <v>53</v>
      </c>
      <c r="B328" s="1103" t="s">
        <v>583</v>
      </c>
      <c r="C328" s="1098" t="s">
        <v>584</v>
      </c>
      <c r="D328" s="1098" t="s">
        <v>585</v>
      </c>
      <c r="E328" s="1461" t="s">
        <v>72</v>
      </c>
      <c r="F328" s="856">
        <v>2024</v>
      </c>
      <c r="G328" s="1099">
        <v>45442</v>
      </c>
      <c r="H328" s="3">
        <v>200106174</v>
      </c>
      <c r="I328" s="1464" t="s">
        <v>773</v>
      </c>
      <c r="J328" s="1109">
        <v>8</v>
      </c>
      <c r="K328" s="3" t="s">
        <v>60</v>
      </c>
      <c r="L328" s="3" t="s">
        <v>128</v>
      </c>
      <c r="M328" s="858">
        <v>541.20000000000005</v>
      </c>
      <c r="N328" s="786">
        <v>307.07</v>
      </c>
      <c r="O328" s="958">
        <v>45447</v>
      </c>
      <c r="P328" s="958">
        <v>45447</v>
      </c>
      <c r="Q328" s="3" t="s">
        <v>774</v>
      </c>
      <c r="R328" s="3" t="s">
        <v>775</v>
      </c>
      <c r="S328" s="856" t="s">
        <v>62</v>
      </c>
      <c r="T328" s="825"/>
      <c r="U328" s="3" t="s">
        <v>130</v>
      </c>
      <c r="V328" s="825"/>
      <c r="W328" s="786">
        <v>323</v>
      </c>
      <c r="X328" s="1311"/>
      <c r="Y328" s="958">
        <v>45447</v>
      </c>
      <c r="Z328" s="851" t="s">
        <v>62</v>
      </c>
      <c r="AA328" s="851"/>
      <c r="AB328" s="1099">
        <v>45463</v>
      </c>
      <c r="AC328" s="1099">
        <v>45464</v>
      </c>
      <c r="AD328" s="1226">
        <f>150+520+195</f>
        <v>865</v>
      </c>
      <c r="AE328" s="1264">
        <f t="shared" si="34"/>
        <v>0.98857142857142855</v>
      </c>
      <c r="AF328" s="1315" t="s">
        <v>64</v>
      </c>
      <c r="AG328" s="1317">
        <v>1</v>
      </c>
      <c r="AH328" s="1076" t="s">
        <v>617</v>
      </c>
      <c r="AI328" s="1248">
        <v>45469</v>
      </c>
      <c r="AJ328" s="1248">
        <v>45471</v>
      </c>
      <c r="AK328" s="1249">
        <f>60000+73000+61469+68000+25274</f>
        <v>287743</v>
      </c>
      <c r="AL328" s="1319">
        <f t="shared" si="35"/>
        <v>0.98880756013745708</v>
      </c>
      <c r="AM328" s="1265" t="s">
        <v>62</v>
      </c>
      <c r="AN328" s="1261">
        <v>1</v>
      </c>
      <c r="AO328" s="1276"/>
      <c r="AP328" s="1277"/>
      <c r="AQ328" s="1276"/>
      <c r="AR328" s="1278"/>
      <c r="AS328" s="1278"/>
    </row>
    <row r="329" spans="1:45" ht="15.6">
      <c r="A329" s="1097" t="s">
        <v>53</v>
      </c>
      <c r="B329" s="1103" t="s">
        <v>583</v>
      </c>
      <c r="C329" s="1098" t="s">
        <v>584</v>
      </c>
      <c r="D329" s="1098" t="s">
        <v>585</v>
      </c>
      <c r="E329" s="1461" t="s">
        <v>72</v>
      </c>
      <c r="F329" s="856">
        <v>2024</v>
      </c>
      <c r="G329" s="1099">
        <v>45442</v>
      </c>
      <c r="H329" s="3">
        <v>200106175</v>
      </c>
      <c r="I329" s="1464" t="s">
        <v>776</v>
      </c>
      <c r="J329" s="1109">
        <v>9</v>
      </c>
      <c r="K329" s="3" t="s">
        <v>60</v>
      </c>
      <c r="L329" s="3" t="s">
        <v>60</v>
      </c>
      <c r="M329" s="786">
        <v>531.9</v>
      </c>
      <c r="N329" s="865">
        <v>305.35000000000002</v>
      </c>
      <c r="O329" s="958">
        <v>45449</v>
      </c>
      <c r="P329" s="958">
        <v>45449</v>
      </c>
      <c r="Q329" s="3" t="s">
        <v>777</v>
      </c>
      <c r="R329" s="3" t="s">
        <v>778</v>
      </c>
      <c r="S329" s="856" t="s">
        <v>62</v>
      </c>
      <c r="T329" s="825"/>
      <c r="U329" s="3" t="s">
        <v>130</v>
      </c>
      <c r="V329" s="825"/>
      <c r="W329" s="762">
        <v>321.2</v>
      </c>
      <c r="X329" s="1311"/>
      <c r="Y329" s="958">
        <v>45450</v>
      </c>
      <c r="Z329" s="851" t="s">
        <v>62</v>
      </c>
      <c r="AA329" s="851"/>
      <c r="AB329" s="1099">
        <v>45461</v>
      </c>
      <c r="AC329" s="1099">
        <v>45462</v>
      </c>
      <c r="AD329" s="1226">
        <f>260+195+315+85</f>
        <v>855</v>
      </c>
      <c r="AE329" s="1264">
        <f t="shared" si="34"/>
        <v>0.97714285714285709</v>
      </c>
      <c r="AF329" s="1315" t="s">
        <v>64</v>
      </c>
      <c r="AG329" s="1317">
        <v>1</v>
      </c>
      <c r="AH329" s="1076" t="s">
        <v>162</v>
      </c>
      <c r="AI329" s="1248">
        <v>45463</v>
      </c>
      <c r="AJ329" s="1248">
        <v>45464</v>
      </c>
      <c r="AK329" s="1249">
        <f>80830+86506+67900+49078</f>
        <v>284314</v>
      </c>
      <c r="AL329" s="1319">
        <f t="shared" si="35"/>
        <v>0.97702405498281786</v>
      </c>
      <c r="AM329" s="1265" t="s">
        <v>62</v>
      </c>
      <c r="AN329" s="1261">
        <v>1</v>
      </c>
      <c r="AO329" s="1276"/>
      <c r="AP329" s="1277"/>
      <c r="AQ329" s="1276"/>
      <c r="AR329" s="1278"/>
      <c r="AS329" s="1278"/>
    </row>
    <row r="330" spans="1:45" ht="16.05" customHeight="1">
      <c r="A330" s="1097" t="s">
        <v>53</v>
      </c>
      <c r="B330" s="1103" t="s">
        <v>583</v>
      </c>
      <c r="C330" s="1098" t="s">
        <v>584</v>
      </c>
      <c r="D330" s="1098" t="s">
        <v>585</v>
      </c>
      <c r="E330" s="1461" t="s">
        <v>72</v>
      </c>
      <c r="F330" s="856">
        <v>2024</v>
      </c>
      <c r="G330" s="1099">
        <v>45448</v>
      </c>
      <c r="H330" s="3">
        <v>200106390</v>
      </c>
      <c r="I330" s="1455" t="s">
        <v>779</v>
      </c>
      <c r="J330" s="1109">
        <v>10</v>
      </c>
      <c r="K330" s="3" t="s">
        <v>128</v>
      </c>
      <c r="L330" s="3" t="s">
        <v>60</v>
      </c>
      <c r="M330" s="786">
        <v>530.79999999999995</v>
      </c>
      <c r="N330" s="786">
        <v>303.76</v>
      </c>
      <c r="O330" s="958">
        <v>45461</v>
      </c>
      <c r="P330" s="958">
        <v>45461</v>
      </c>
      <c r="Q330" s="3" t="s">
        <v>780</v>
      </c>
      <c r="R330" s="3" t="s">
        <v>781</v>
      </c>
      <c r="S330" s="856" t="s">
        <v>62</v>
      </c>
      <c r="T330" s="825"/>
      <c r="U330" s="3" t="s">
        <v>130</v>
      </c>
      <c r="V330" s="825"/>
      <c r="W330" s="786">
        <v>319.60000000000002</v>
      </c>
      <c r="X330" s="1311"/>
      <c r="Y330" s="958">
        <v>45461</v>
      </c>
      <c r="Z330" s="851" t="s">
        <v>62</v>
      </c>
      <c r="AA330" s="851"/>
      <c r="AB330" s="1099">
        <v>45462</v>
      </c>
      <c r="AC330" s="1099">
        <v>45462</v>
      </c>
      <c r="AD330" s="1226">
        <f>495+356</f>
        <v>851</v>
      </c>
      <c r="AE330" s="1264">
        <f t="shared" si="34"/>
        <v>0.97257142857142853</v>
      </c>
      <c r="AF330" s="1315" t="s">
        <v>64</v>
      </c>
      <c r="AG330" s="1317">
        <v>1</v>
      </c>
      <c r="AH330" s="1076" t="s">
        <v>617</v>
      </c>
      <c r="AI330" s="1248">
        <v>45464</v>
      </c>
      <c r="AJ330" s="1248">
        <v>45468</v>
      </c>
      <c r="AK330" s="1249">
        <f>36000+48625+66600+57555+74556</f>
        <v>283336</v>
      </c>
      <c r="AL330" s="1319">
        <f t="shared" si="35"/>
        <v>0.97366323024054979</v>
      </c>
      <c r="AM330" s="1265" t="s">
        <v>62</v>
      </c>
      <c r="AN330" s="1261">
        <v>1</v>
      </c>
      <c r="AO330" s="1276"/>
      <c r="AP330" s="1277"/>
      <c r="AQ330" s="1276"/>
      <c r="AR330" s="1278"/>
      <c r="AS330" s="1278"/>
    </row>
    <row r="331" spans="1:45" ht="16.05" customHeight="1">
      <c r="A331" s="1097" t="s">
        <v>53</v>
      </c>
      <c r="B331" s="1103"/>
      <c r="C331" s="1098"/>
      <c r="D331" s="1098"/>
      <c r="E331" s="1076"/>
      <c r="F331" s="1076"/>
      <c r="G331" s="1099"/>
      <c r="H331" s="3"/>
      <c r="I331" s="3"/>
      <c r="J331" s="1109"/>
      <c r="K331" s="851"/>
      <c r="L331" s="851"/>
      <c r="M331" s="851"/>
      <c r="N331" s="851"/>
      <c r="O331" s="1205"/>
      <c r="P331" s="1205"/>
      <c r="Q331" s="851"/>
      <c r="R331" s="851"/>
      <c r="S331" s="851"/>
      <c r="T331" s="851"/>
      <c r="U331" s="851"/>
      <c r="V331" s="1312"/>
      <c r="W331" s="851"/>
      <c r="X331" s="1179"/>
      <c r="Y331" s="1205"/>
      <c r="Z331" s="851"/>
      <c r="AA331" s="851"/>
      <c r="AB331" s="1099"/>
      <c r="AC331" s="1099"/>
      <c r="AD331" s="1226"/>
      <c r="AE331" s="1264"/>
      <c r="AF331" s="1315"/>
      <c r="AG331" s="1317"/>
      <c r="AH331" s="1076"/>
      <c r="AI331" s="1248"/>
      <c r="AJ331" s="1248"/>
      <c r="AK331" s="1249"/>
      <c r="AL331" s="1319"/>
      <c r="AM331" s="1287"/>
      <c r="AN331" s="1261"/>
      <c r="AO331" s="1276"/>
      <c r="AP331" s="1277"/>
      <c r="AQ331" s="1276"/>
      <c r="AR331" s="1278"/>
      <c r="AS331" s="1278"/>
    </row>
    <row r="332" spans="1:45" ht="15.6">
      <c r="A332" s="1097" t="s">
        <v>53</v>
      </c>
      <c r="B332" s="1103" t="s">
        <v>583</v>
      </c>
      <c r="C332" s="1098" t="s">
        <v>584</v>
      </c>
      <c r="D332" s="1098" t="s">
        <v>585</v>
      </c>
      <c r="E332" s="1461" t="s">
        <v>433</v>
      </c>
      <c r="F332" s="856">
        <v>2024</v>
      </c>
      <c r="G332" s="1099">
        <v>45454</v>
      </c>
      <c r="H332" s="3">
        <v>200106375</v>
      </c>
      <c r="I332" s="1444" t="s">
        <v>782</v>
      </c>
      <c r="J332" s="1109">
        <v>1</v>
      </c>
      <c r="K332" s="3" t="s">
        <v>60</v>
      </c>
      <c r="L332" s="3" t="s">
        <v>128</v>
      </c>
      <c r="M332" s="858">
        <v>534.20000000000005</v>
      </c>
      <c r="N332" s="858">
        <v>302.13</v>
      </c>
      <c r="O332" s="958">
        <v>45462</v>
      </c>
      <c r="P332" s="958">
        <v>45461</v>
      </c>
      <c r="Q332" s="3" t="s">
        <v>783</v>
      </c>
      <c r="R332" s="3" t="s">
        <v>784</v>
      </c>
      <c r="S332" s="856" t="s">
        <v>62</v>
      </c>
      <c r="T332" s="825"/>
      <c r="U332" s="3" t="s">
        <v>130</v>
      </c>
      <c r="V332" s="825"/>
      <c r="W332" s="786">
        <v>322.39999999999998</v>
      </c>
      <c r="X332" s="1311"/>
      <c r="Y332" s="958">
        <v>45461</v>
      </c>
      <c r="Z332" s="851" t="s">
        <v>62</v>
      </c>
      <c r="AA332" s="851"/>
      <c r="AB332" s="1099">
        <v>45462</v>
      </c>
      <c r="AC332" s="1099">
        <v>45463</v>
      </c>
      <c r="AD332" s="1226">
        <f>240+585+33</f>
        <v>858</v>
      </c>
      <c r="AE332" s="1264">
        <f t="shared" ref="AE332:AE341" si="36">AD332/875</f>
        <v>0.98057142857142854</v>
      </c>
      <c r="AF332" s="1315" t="s">
        <v>64</v>
      </c>
      <c r="AG332" s="1317">
        <v>1</v>
      </c>
      <c r="AH332" s="1076" t="s">
        <v>617</v>
      </c>
      <c r="AI332" s="1248">
        <v>45468</v>
      </c>
      <c r="AJ332" s="1248">
        <v>45469</v>
      </c>
      <c r="AK332" s="1249">
        <f>70000+75000+75600+65380</f>
        <v>285980</v>
      </c>
      <c r="AL332" s="1319">
        <f t="shared" ref="AL332:AL341" si="37">AK332/291000</f>
        <v>0.98274914089347076</v>
      </c>
      <c r="AM332" s="1265" t="s">
        <v>62</v>
      </c>
      <c r="AN332" s="1261">
        <v>1</v>
      </c>
      <c r="AO332" s="1276"/>
      <c r="AP332" s="1277"/>
      <c r="AQ332" s="1276"/>
      <c r="AR332" s="1278"/>
      <c r="AS332" s="1278"/>
    </row>
    <row r="333" spans="1:45" ht="15.6">
      <c r="A333" s="1097" t="s">
        <v>53</v>
      </c>
      <c r="B333" s="1103" t="s">
        <v>583</v>
      </c>
      <c r="C333" s="1098" t="s">
        <v>584</v>
      </c>
      <c r="D333" s="1098" t="s">
        <v>585</v>
      </c>
      <c r="E333" s="1461" t="s">
        <v>433</v>
      </c>
      <c r="F333" s="856">
        <v>2024</v>
      </c>
      <c r="G333" s="1099">
        <v>45454</v>
      </c>
      <c r="H333" s="3">
        <v>200106376</v>
      </c>
      <c r="I333" s="1444" t="s">
        <v>785</v>
      </c>
      <c r="J333" s="1109">
        <v>2</v>
      </c>
      <c r="K333" s="3" t="s">
        <v>60</v>
      </c>
      <c r="L333" s="3" t="s">
        <v>128</v>
      </c>
      <c r="M333" s="865">
        <v>539.70000000000005</v>
      </c>
      <c r="N333" s="858">
        <v>305.51</v>
      </c>
      <c r="O333" s="958">
        <v>45462</v>
      </c>
      <c r="P333" s="958">
        <v>45462</v>
      </c>
      <c r="Q333" s="3" t="s">
        <v>786</v>
      </c>
      <c r="R333" s="3" t="s">
        <v>787</v>
      </c>
      <c r="S333" s="856" t="s">
        <v>62</v>
      </c>
      <c r="T333" s="825"/>
      <c r="U333" s="3" t="s">
        <v>130</v>
      </c>
      <c r="V333" s="825"/>
      <c r="W333" s="786">
        <v>320.89999999999998</v>
      </c>
      <c r="X333" s="1311"/>
      <c r="Y333" s="958">
        <v>45462</v>
      </c>
      <c r="Z333" s="851" t="s">
        <v>62</v>
      </c>
      <c r="AA333" s="851"/>
      <c r="AB333" s="1099">
        <v>45463</v>
      </c>
      <c r="AC333" s="1099">
        <v>45463</v>
      </c>
      <c r="AD333" s="1226">
        <f>465+394</f>
        <v>859</v>
      </c>
      <c r="AE333" s="1264">
        <f t="shared" si="36"/>
        <v>0.98171428571428576</v>
      </c>
      <c r="AF333" s="1315" t="s">
        <v>64</v>
      </c>
      <c r="AG333" s="1317">
        <v>1</v>
      </c>
      <c r="AH333" s="1076" t="s">
        <v>617</v>
      </c>
      <c r="AI333" s="1248">
        <v>45471</v>
      </c>
      <c r="AJ333" s="1248">
        <v>45471</v>
      </c>
      <c r="AK333" s="1249">
        <f>33315+58446+2100</f>
        <v>93861</v>
      </c>
      <c r="AL333" s="1319">
        <f t="shared" si="37"/>
        <v>0.32254639175257732</v>
      </c>
      <c r="AM333" s="1265" t="s">
        <v>62</v>
      </c>
      <c r="AN333" s="1261">
        <v>1</v>
      </c>
      <c r="AO333" s="1276"/>
      <c r="AP333" s="1277"/>
      <c r="AQ333" s="1276"/>
      <c r="AR333" s="1278"/>
      <c r="AS333" s="1278"/>
    </row>
    <row r="334" spans="1:45" ht="15.6">
      <c r="A334" s="1097" t="s">
        <v>53</v>
      </c>
      <c r="B334" s="1103" t="s">
        <v>583</v>
      </c>
      <c r="C334" s="1098" t="s">
        <v>584</v>
      </c>
      <c r="D334" s="1098" t="s">
        <v>585</v>
      </c>
      <c r="E334" s="1461" t="s">
        <v>433</v>
      </c>
      <c r="F334" s="856">
        <v>2024</v>
      </c>
      <c r="G334" s="1099">
        <v>45454</v>
      </c>
      <c r="H334" s="3">
        <v>200106377</v>
      </c>
      <c r="I334" s="1444" t="s">
        <v>788</v>
      </c>
      <c r="J334" s="1109">
        <v>3</v>
      </c>
      <c r="K334" s="3" t="s">
        <v>60</v>
      </c>
      <c r="L334" s="3" t="s">
        <v>128</v>
      </c>
      <c r="M334" s="865">
        <v>543</v>
      </c>
      <c r="N334" s="865">
        <v>306.72000000000003</v>
      </c>
      <c r="O334" s="958">
        <v>45462</v>
      </c>
      <c r="P334" s="958">
        <v>45462</v>
      </c>
      <c r="Q334" s="3" t="s">
        <v>789</v>
      </c>
      <c r="R334" s="3" t="s">
        <v>790</v>
      </c>
      <c r="S334" s="856" t="s">
        <v>62</v>
      </c>
      <c r="T334" s="825"/>
      <c r="U334" s="3" t="s">
        <v>130</v>
      </c>
      <c r="V334" s="825"/>
      <c r="W334" s="786">
        <v>324</v>
      </c>
      <c r="X334" s="1311"/>
      <c r="Y334" s="958">
        <v>45462</v>
      </c>
      <c r="Z334" s="851" t="s">
        <v>62</v>
      </c>
      <c r="AA334" s="851"/>
      <c r="AB334" s="1099">
        <v>45464</v>
      </c>
      <c r="AC334" s="1099">
        <v>45465</v>
      </c>
      <c r="AD334" s="1328">
        <v>864</v>
      </c>
      <c r="AE334" s="1264">
        <f t="shared" si="36"/>
        <v>0.98742857142857143</v>
      </c>
      <c r="AF334" s="1315" t="s">
        <v>64</v>
      </c>
      <c r="AG334" s="1317">
        <v>1</v>
      </c>
      <c r="AH334" s="1076" t="s">
        <v>162</v>
      </c>
      <c r="AI334" s="1248">
        <v>45478</v>
      </c>
      <c r="AJ334" s="1248">
        <v>45481</v>
      </c>
      <c r="AK334" s="1249">
        <f>64580+100500+95318+25903</f>
        <v>286301</v>
      </c>
      <c r="AL334" s="1319">
        <f t="shared" si="37"/>
        <v>0.98385223367697594</v>
      </c>
      <c r="AM334" s="1265" t="s">
        <v>62</v>
      </c>
      <c r="AN334" s="1261">
        <v>1</v>
      </c>
      <c r="AO334" s="1276"/>
      <c r="AP334" s="1277"/>
      <c r="AQ334" s="1276"/>
      <c r="AR334" s="1278"/>
      <c r="AS334" s="1278"/>
    </row>
    <row r="335" spans="1:45" ht="15.6">
      <c r="A335" s="1097" t="s">
        <v>53</v>
      </c>
      <c r="B335" s="1103" t="s">
        <v>583</v>
      </c>
      <c r="C335" s="1098" t="s">
        <v>584</v>
      </c>
      <c r="D335" s="1098" t="s">
        <v>585</v>
      </c>
      <c r="E335" s="1461" t="s">
        <v>433</v>
      </c>
      <c r="F335" s="856">
        <v>2024</v>
      </c>
      <c r="G335" s="1099">
        <v>45454</v>
      </c>
      <c r="H335" s="3">
        <v>200106378</v>
      </c>
      <c r="I335" s="1444" t="s">
        <v>791</v>
      </c>
      <c r="J335" s="1109">
        <v>4</v>
      </c>
      <c r="K335" s="3" t="s">
        <v>60</v>
      </c>
      <c r="L335" s="3" t="s">
        <v>128</v>
      </c>
      <c r="M335" s="858">
        <v>530.79999999999995</v>
      </c>
      <c r="N335" s="865">
        <v>307.27999999999997</v>
      </c>
      <c r="O335" s="958">
        <v>45469</v>
      </c>
      <c r="P335" s="958">
        <v>45469</v>
      </c>
      <c r="Q335" s="3" t="s">
        <v>792</v>
      </c>
      <c r="R335" s="785" t="s">
        <v>793</v>
      </c>
      <c r="S335" s="856" t="s">
        <v>62</v>
      </c>
      <c r="T335" s="825"/>
      <c r="U335" s="3" t="s">
        <v>130</v>
      </c>
      <c r="V335" s="825"/>
      <c r="W335" s="786">
        <v>320.10000000000002</v>
      </c>
      <c r="X335" s="1311"/>
      <c r="Y335" s="958">
        <v>45470</v>
      </c>
      <c r="Z335" s="851" t="s">
        <v>62</v>
      </c>
      <c r="AA335" s="851"/>
      <c r="AB335" s="1099">
        <v>45481</v>
      </c>
      <c r="AC335" s="1099">
        <v>45481</v>
      </c>
      <c r="AD335" s="1328">
        <f>130+630+91</f>
        <v>851</v>
      </c>
      <c r="AE335" s="1264">
        <f t="shared" si="36"/>
        <v>0.97257142857142853</v>
      </c>
      <c r="AF335" s="1315" t="s">
        <v>64</v>
      </c>
      <c r="AG335" s="1317">
        <v>1</v>
      </c>
      <c r="AH335" s="1076" t="s">
        <v>162</v>
      </c>
      <c r="AI335" s="1248">
        <v>45483</v>
      </c>
      <c r="AJ335" s="1248">
        <v>45484</v>
      </c>
      <c r="AK335" s="1249">
        <f>40412+109485+114000+18737</f>
        <v>282634</v>
      </c>
      <c r="AL335" s="1319">
        <f t="shared" si="37"/>
        <v>0.9712508591065292</v>
      </c>
      <c r="AM335" s="1265" t="s">
        <v>62</v>
      </c>
      <c r="AN335" s="1261">
        <v>1</v>
      </c>
      <c r="AO335" s="1276"/>
      <c r="AP335" s="1277"/>
      <c r="AQ335" s="1276"/>
      <c r="AR335" s="1278"/>
      <c r="AS335" s="1278"/>
    </row>
    <row r="336" spans="1:45" ht="15.6">
      <c r="A336" s="1097" t="s">
        <v>53</v>
      </c>
      <c r="B336" s="1103" t="s">
        <v>583</v>
      </c>
      <c r="C336" s="1098" t="s">
        <v>584</v>
      </c>
      <c r="D336" s="1098" t="s">
        <v>585</v>
      </c>
      <c r="E336" s="1461" t="s">
        <v>433</v>
      </c>
      <c r="F336" s="856">
        <v>2024</v>
      </c>
      <c r="G336" s="1099">
        <v>45462</v>
      </c>
      <c r="H336" s="3">
        <v>200106568</v>
      </c>
      <c r="I336" s="1441" t="s">
        <v>794</v>
      </c>
      <c r="J336" s="1109">
        <v>5</v>
      </c>
      <c r="K336" s="3" t="s">
        <v>60</v>
      </c>
      <c r="L336" s="3" t="s">
        <v>128</v>
      </c>
      <c r="M336" s="858">
        <v>538.5</v>
      </c>
      <c r="N336" s="858">
        <v>305.29000000000002</v>
      </c>
      <c r="O336" s="958">
        <v>45469</v>
      </c>
      <c r="P336" s="958">
        <v>45469</v>
      </c>
      <c r="Q336" s="785" t="s">
        <v>795</v>
      </c>
      <c r="R336" s="785" t="s">
        <v>796</v>
      </c>
      <c r="S336" s="856" t="s">
        <v>62</v>
      </c>
      <c r="T336" s="825"/>
      <c r="U336" s="3" t="s">
        <v>130</v>
      </c>
      <c r="V336" s="825"/>
      <c r="W336" s="786">
        <v>323.2</v>
      </c>
      <c r="X336" s="1311"/>
      <c r="Y336" s="958">
        <v>45470</v>
      </c>
      <c r="Z336" s="851" t="s">
        <v>62</v>
      </c>
      <c r="AA336" s="851"/>
      <c r="AB336" s="1099">
        <v>45481</v>
      </c>
      <c r="AC336" s="1099">
        <v>45482</v>
      </c>
      <c r="AD336" s="1328">
        <f>520+346</f>
        <v>866</v>
      </c>
      <c r="AE336" s="1264">
        <f t="shared" si="36"/>
        <v>0.98971428571428577</v>
      </c>
      <c r="AF336" s="1315" t="s">
        <v>64</v>
      </c>
      <c r="AG336" s="1317">
        <v>1</v>
      </c>
      <c r="AH336" s="1076" t="s">
        <v>162</v>
      </c>
      <c r="AI336" s="1248">
        <v>45482</v>
      </c>
      <c r="AJ336" s="1248">
        <v>45483</v>
      </c>
      <c r="AK336" s="1249">
        <f>19120+103120+115760+49510</f>
        <v>287510</v>
      </c>
      <c r="AL336" s="1319">
        <f t="shared" si="37"/>
        <v>0.98800687285223365</v>
      </c>
      <c r="AM336" s="1265" t="s">
        <v>62</v>
      </c>
      <c r="AN336" s="1261">
        <v>1</v>
      </c>
      <c r="AO336" s="1276">
        <v>4816</v>
      </c>
      <c r="AP336" s="1277">
        <v>45518</v>
      </c>
      <c r="AQ336" s="1276" t="s">
        <v>162</v>
      </c>
      <c r="AR336" s="1278"/>
      <c r="AS336" s="1278"/>
    </row>
    <row r="337" spans="1:51" ht="15.6">
      <c r="A337" s="1097" t="s">
        <v>53</v>
      </c>
      <c r="B337" s="1103" t="s">
        <v>583</v>
      </c>
      <c r="C337" s="1098" t="s">
        <v>584</v>
      </c>
      <c r="D337" s="1098" t="s">
        <v>585</v>
      </c>
      <c r="E337" s="1461" t="s">
        <v>433</v>
      </c>
      <c r="F337" s="856">
        <v>2024</v>
      </c>
      <c r="G337" s="1099">
        <v>45462</v>
      </c>
      <c r="H337" s="3">
        <v>200106569</v>
      </c>
      <c r="I337" s="1441" t="s">
        <v>797</v>
      </c>
      <c r="J337" s="1109">
        <v>6</v>
      </c>
      <c r="K337" s="3" t="s">
        <v>60</v>
      </c>
      <c r="L337" s="3" t="s">
        <v>128</v>
      </c>
      <c r="M337" s="858">
        <v>538.70000000000005</v>
      </c>
      <c r="N337" s="858">
        <v>307.87</v>
      </c>
      <c r="O337" s="958">
        <v>45469</v>
      </c>
      <c r="P337" s="958">
        <v>45469</v>
      </c>
      <c r="Q337" s="3" t="s">
        <v>798</v>
      </c>
      <c r="R337" s="3" t="s">
        <v>799</v>
      </c>
      <c r="S337" s="856" t="s">
        <v>62</v>
      </c>
      <c r="T337" s="825"/>
      <c r="U337" s="3" t="s">
        <v>130</v>
      </c>
      <c r="V337" s="825"/>
      <c r="W337" s="786">
        <v>323.89999999999998</v>
      </c>
      <c r="X337" s="1311"/>
      <c r="Y337" s="958">
        <v>45470</v>
      </c>
      <c r="Z337" s="851" t="s">
        <v>62</v>
      </c>
      <c r="AA337" s="851"/>
      <c r="AB337" s="1099">
        <v>45482</v>
      </c>
      <c r="AC337" s="1099">
        <v>45482</v>
      </c>
      <c r="AD337" s="1328">
        <f>220+638</f>
        <v>858</v>
      </c>
      <c r="AE337" s="1264">
        <f t="shared" si="36"/>
        <v>0.98057142857142854</v>
      </c>
      <c r="AF337" s="1315" t="s">
        <v>64</v>
      </c>
      <c r="AG337" s="1317">
        <v>1</v>
      </c>
      <c r="AH337" s="1076" t="s">
        <v>162</v>
      </c>
      <c r="AI337" s="1248">
        <v>45484</v>
      </c>
      <c r="AJ337" s="1248">
        <v>45485</v>
      </c>
      <c r="AK337" s="1249">
        <f>52100+95125+78690+60273</f>
        <v>286188</v>
      </c>
      <c r="AL337" s="1319">
        <f t="shared" si="37"/>
        <v>0.98346391752577322</v>
      </c>
      <c r="AM337" s="1265" t="s">
        <v>62</v>
      </c>
      <c r="AN337" s="1261">
        <v>1</v>
      </c>
      <c r="AO337" s="1276">
        <v>4243</v>
      </c>
      <c r="AP337" s="1277">
        <v>45518</v>
      </c>
      <c r="AQ337" s="1276" t="s">
        <v>162</v>
      </c>
      <c r="AR337" s="1278"/>
      <c r="AS337" s="1278"/>
    </row>
    <row r="338" spans="1:51" ht="15.6">
      <c r="A338" s="1097" t="s">
        <v>53</v>
      </c>
      <c r="B338" s="1103" t="s">
        <v>583</v>
      </c>
      <c r="C338" s="1098" t="s">
        <v>584</v>
      </c>
      <c r="D338" s="1098" t="s">
        <v>585</v>
      </c>
      <c r="E338" s="1461" t="s">
        <v>433</v>
      </c>
      <c r="F338" s="856">
        <v>2024</v>
      </c>
      <c r="G338" s="1099">
        <v>45462</v>
      </c>
      <c r="H338" s="3">
        <v>200106570</v>
      </c>
      <c r="I338" s="1441" t="s">
        <v>800</v>
      </c>
      <c r="J338" s="1109">
        <v>7</v>
      </c>
      <c r="K338" s="3" t="s">
        <v>60</v>
      </c>
      <c r="L338" s="3" t="s">
        <v>128</v>
      </c>
      <c r="M338" s="858">
        <v>533.79999999999995</v>
      </c>
      <c r="N338" s="786">
        <v>306.7</v>
      </c>
      <c r="O338" s="958">
        <v>45478</v>
      </c>
      <c r="P338" s="958">
        <v>45478</v>
      </c>
      <c r="Q338" s="785" t="s">
        <v>801</v>
      </c>
      <c r="R338" s="785" t="s">
        <v>802</v>
      </c>
      <c r="S338" s="856" t="s">
        <v>62</v>
      </c>
      <c r="T338" s="825"/>
      <c r="U338" s="3" t="s">
        <v>130</v>
      </c>
      <c r="V338" s="825"/>
      <c r="W338" s="858">
        <v>320.2</v>
      </c>
      <c r="X338" s="1311"/>
      <c r="Y338" s="958">
        <v>45482</v>
      </c>
      <c r="Z338" s="851" t="s">
        <v>62</v>
      </c>
      <c r="AA338" s="851"/>
      <c r="AB338" s="1099">
        <v>45483</v>
      </c>
      <c r="AC338" s="1099">
        <v>45483</v>
      </c>
      <c r="AD338" s="1328">
        <f>575+278</f>
        <v>853</v>
      </c>
      <c r="AE338" s="1264">
        <f t="shared" si="36"/>
        <v>0.97485714285714287</v>
      </c>
      <c r="AF338" s="1315" t="s">
        <v>64</v>
      </c>
      <c r="AG338" s="1317">
        <v>1</v>
      </c>
      <c r="AH338" s="1076" t="s">
        <v>162</v>
      </c>
      <c r="AI338" s="1248">
        <v>45485</v>
      </c>
      <c r="AJ338" s="1248">
        <v>45491</v>
      </c>
      <c r="AK338" s="1249">
        <f>14660+115377+51296+78764+23617</f>
        <v>283714</v>
      </c>
      <c r="AL338" s="1319">
        <f t="shared" si="37"/>
        <v>0.97496219931271477</v>
      </c>
      <c r="AM338" s="1265" t="s">
        <v>62</v>
      </c>
      <c r="AN338" s="1261">
        <v>1</v>
      </c>
      <c r="AO338" s="1276">
        <v>2707</v>
      </c>
      <c r="AP338" s="1277">
        <v>45518</v>
      </c>
      <c r="AQ338" s="1276" t="s">
        <v>162</v>
      </c>
      <c r="AR338" s="1278"/>
      <c r="AS338" s="1278"/>
    </row>
    <row r="339" spans="1:51" ht="15.6">
      <c r="A339" s="1097" t="s">
        <v>53</v>
      </c>
      <c r="B339" s="1103" t="s">
        <v>583</v>
      </c>
      <c r="C339" s="1098" t="s">
        <v>584</v>
      </c>
      <c r="D339" s="1098" t="s">
        <v>585</v>
      </c>
      <c r="E339" s="1461" t="s">
        <v>433</v>
      </c>
      <c r="F339" s="856">
        <v>2024</v>
      </c>
      <c r="G339" s="1099">
        <v>45462</v>
      </c>
      <c r="H339" s="3">
        <v>200106571</v>
      </c>
      <c r="I339" s="1441" t="s">
        <v>803</v>
      </c>
      <c r="J339" s="1109">
        <v>8</v>
      </c>
      <c r="K339" s="3" t="s">
        <v>60</v>
      </c>
      <c r="L339" s="3" t="s">
        <v>128</v>
      </c>
      <c r="M339" s="858">
        <v>541.20000000000005</v>
      </c>
      <c r="N339" s="786">
        <v>307.07</v>
      </c>
      <c r="O339" s="958">
        <v>45478</v>
      </c>
      <c r="P339" s="958">
        <v>45478</v>
      </c>
      <c r="Q339" s="3" t="s">
        <v>804</v>
      </c>
      <c r="R339" s="785" t="s">
        <v>805</v>
      </c>
      <c r="S339" s="856" t="s">
        <v>62</v>
      </c>
      <c r="T339" s="825"/>
      <c r="U339" s="3" t="s">
        <v>130</v>
      </c>
      <c r="V339" s="825"/>
      <c r="W339" s="858">
        <v>321.5</v>
      </c>
      <c r="X339" s="1311"/>
      <c r="Y339" s="958">
        <v>45482</v>
      </c>
      <c r="Z339" s="851" t="s">
        <v>62</v>
      </c>
      <c r="AA339" s="851"/>
      <c r="AB339" s="1099">
        <v>45483</v>
      </c>
      <c r="AC339" s="1099">
        <v>45483</v>
      </c>
      <c r="AD339" s="1328">
        <f>300+560</f>
        <v>860</v>
      </c>
      <c r="AE339" s="1264">
        <f t="shared" si="36"/>
        <v>0.98285714285714287</v>
      </c>
      <c r="AF339" s="1315" t="s">
        <v>64</v>
      </c>
      <c r="AG339" s="1317">
        <v>1</v>
      </c>
      <c r="AH339" s="1076" t="s">
        <v>617</v>
      </c>
      <c r="AI339" s="1248">
        <v>45489</v>
      </c>
      <c r="AJ339" s="1248">
        <v>45489</v>
      </c>
      <c r="AK339" s="1249">
        <f>6297</f>
        <v>6297</v>
      </c>
      <c r="AL339" s="1319">
        <f t="shared" si="37"/>
        <v>2.1639175257731957E-2</v>
      </c>
      <c r="AM339" s="1265" t="s">
        <v>62</v>
      </c>
      <c r="AN339" s="1261">
        <v>1</v>
      </c>
      <c r="AO339" s="1276"/>
      <c r="AP339" s="1277"/>
      <c r="AQ339" s="1276"/>
      <c r="AR339" s="1278"/>
      <c r="AS339" s="1278"/>
    </row>
    <row r="340" spans="1:51" ht="15.6">
      <c r="A340" s="1097" t="s">
        <v>53</v>
      </c>
      <c r="B340" s="1103" t="s">
        <v>583</v>
      </c>
      <c r="C340" s="1098" t="s">
        <v>584</v>
      </c>
      <c r="D340" s="1098" t="s">
        <v>585</v>
      </c>
      <c r="E340" s="1461" t="s">
        <v>433</v>
      </c>
      <c r="F340" s="856">
        <v>2024</v>
      </c>
      <c r="G340" s="1099">
        <v>45462</v>
      </c>
      <c r="H340" s="3">
        <v>200106572</v>
      </c>
      <c r="I340" s="1441" t="s">
        <v>806</v>
      </c>
      <c r="J340" s="1109">
        <v>9</v>
      </c>
      <c r="K340" s="3" t="s">
        <v>60</v>
      </c>
      <c r="L340" s="3" t="s">
        <v>60</v>
      </c>
      <c r="M340" s="786">
        <v>531.9</v>
      </c>
      <c r="N340" s="865">
        <v>305.35000000000002</v>
      </c>
      <c r="O340" s="958">
        <v>45481</v>
      </c>
      <c r="P340" s="958">
        <v>45478</v>
      </c>
      <c r="Q340" s="3" t="s">
        <v>807</v>
      </c>
      <c r="R340" s="3" t="s">
        <v>808</v>
      </c>
      <c r="S340" s="856" t="s">
        <v>62</v>
      </c>
      <c r="T340" s="825"/>
      <c r="U340" s="3" t="s">
        <v>130</v>
      </c>
      <c r="V340" s="825"/>
      <c r="W340" s="858">
        <v>323.8</v>
      </c>
      <c r="X340" s="1311"/>
      <c r="Y340" s="958">
        <v>45483</v>
      </c>
      <c r="Z340" s="851" t="s">
        <v>62</v>
      </c>
      <c r="AA340" s="851"/>
      <c r="AB340" s="1099">
        <v>45483</v>
      </c>
      <c r="AC340" s="1099">
        <v>45484</v>
      </c>
      <c r="AD340" s="1328">
        <f>65+650+148</f>
        <v>863</v>
      </c>
      <c r="AE340" s="1264">
        <f t="shared" si="36"/>
        <v>0.98628571428571432</v>
      </c>
      <c r="AF340" s="1315" t="s">
        <v>64</v>
      </c>
      <c r="AG340" s="1317">
        <v>1</v>
      </c>
      <c r="AH340" s="1076" t="s">
        <v>617</v>
      </c>
      <c r="AI340" s="1248">
        <v>45485</v>
      </c>
      <c r="AJ340" s="1248">
        <v>45489</v>
      </c>
      <c r="AK340" s="1249">
        <f>46970+61250+68775+65000+45300</f>
        <v>287295</v>
      </c>
      <c r="AL340" s="1319">
        <f t="shared" si="37"/>
        <v>0.98726804123711343</v>
      </c>
      <c r="AM340" s="1265" t="s">
        <v>62</v>
      </c>
      <c r="AN340" s="1261">
        <v>1</v>
      </c>
      <c r="AO340" s="1276"/>
      <c r="AP340" s="1277"/>
      <c r="AQ340" s="1276"/>
      <c r="AR340" s="1278"/>
      <c r="AS340" s="1278"/>
    </row>
    <row r="341" spans="1:51" ht="15.6">
      <c r="A341" s="1097" t="s">
        <v>53</v>
      </c>
      <c r="B341" s="1103" t="s">
        <v>583</v>
      </c>
      <c r="C341" s="1098" t="s">
        <v>584</v>
      </c>
      <c r="D341" s="1098" t="s">
        <v>585</v>
      </c>
      <c r="E341" s="1461" t="s">
        <v>433</v>
      </c>
      <c r="F341" s="856">
        <v>2024</v>
      </c>
      <c r="G341" s="1099">
        <v>45462</v>
      </c>
      <c r="H341" s="3">
        <v>200106573</v>
      </c>
      <c r="I341" s="1441" t="s">
        <v>809</v>
      </c>
      <c r="J341" s="1109">
        <v>10</v>
      </c>
      <c r="K341" s="3" t="s">
        <v>128</v>
      </c>
      <c r="L341" s="3" t="s">
        <v>60</v>
      </c>
      <c r="M341" s="786">
        <v>530.79999999999995</v>
      </c>
      <c r="N341" s="786">
        <v>303.76</v>
      </c>
      <c r="O341" s="958">
        <v>45484</v>
      </c>
      <c r="P341" s="958">
        <v>45481</v>
      </c>
      <c r="Q341" s="785" t="s">
        <v>810</v>
      </c>
      <c r="R341" s="785" t="s">
        <v>811</v>
      </c>
      <c r="S341" s="856" t="s">
        <v>62</v>
      </c>
      <c r="T341" s="825"/>
      <c r="U341" s="3" t="s">
        <v>130</v>
      </c>
      <c r="V341" s="825"/>
      <c r="W341" s="858">
        <v>322</v>
      </c>
      <c r="X341" s="1311"/>
      <c r="Y341" s="958">
        <v>45483</v>
      </c>
      <c r="Z341" s="851" t="s">
        <v>62</v>
      </c>
      <c r="AA341" s="851"/>
      <c r="AB341" s="1099">
        <v>45484</v>
      </c>
      <c r="AC341" s="1099">
        <v>45484</v>
      </c>
      <c r="AD341" s="1328">
        <f>430+428</f>
        <v>858</v>
      </c>
      <c r="AE341" s="1264">
        <f t="shared" si="36"/>
        <v>0.98057142857142854</v>
      </c>
      <c r="AF341" s="1315" t="s">
        <v>64</v>
      </c>
      <c r="AG341" s="1317">
        <v>1</v>
      </c>
      <c r="AH341" s="1076" t="s">
        <v>162</v>
      </c>
      <c r="AI341" s="1248">
        <v>45492</v>
      </c>
      <c r="AJ341" s="1248">
        <v>45495</v>
      </c>
      <c r="AK341" s="1249">
        <f>35948+110544+64636+71824</f>
        <v>282952</v>
      </c>
      <c r="AL341" s="1319">
        <f t="shared" si="37"/>
        <v>0.97234364261168382</v>
      </c>
      <c r="AM341" s="1265" t="s">
        <v>62</v>
      </c>
      <c r="AN341" s="1261">
        <v>1</v>
      </c>
      <c r="AO341" s="1276"/>
      <c r="AP341" s="1277"/>
      <c r="AQ341" s="1276"/>
      <c r="AR341" s="1278"/>
      <c r="AS341" s="1278"/>
    </row>
    <row r="342" spans="1:51" ht="15.6">
      <c r="A342" s="1097" t="s">
        <v>53</v>
      </c>
      <c r="B342" s="1103"/>
      <c r="C342" s="1098"/>
      <c r="D342" s="1098"/>
      <c r="E342" s="1076"/>
      <c r="F342" s="1076"/>
      <c r="G342" s="1099"/>
      <c r="H342" s="3"/>
      <c r="I342" s="3"/>
      <c r="J342" s="1109"/>
      <c r="K342" s="851"/>
      <c r="L342" s="851"/>
      <c r="M342" s="851"/>
      <c r="N342" s="851"/>
      <c r="O342" s="1205"/>
      <c r="P342" s="1205"/>
      <c r="Q342" s="851"/>
      <c r="R342" s="851"/>
      <c r="S342" s="851"/>
      <c r="T342" s="851"/>
      <c r="U342" s="851"/>
      <c r="V342" s="1312"/>
      <c r="W342" s="851"/>
      <c r="X342" s="1179"/>
      <c r="Y342" s="1205"/>
      <c r="Z342" s="851"/>
      <c r="AA342" s="851"/>
      <c r="AB342" s="1099"/>
      <c r="AC342" s="1099"/>
      <c r="AD342" s="1226"/>
      <c r="AE342" s="1264"/>
      <c r="AF342" s="1315"/>
      <c r="AG342" s="1317"/>
      <c r="AH342" s="1076"/>
      <c r="AI342" s="1248"/>
      <c r="AJ342" s="1248"/>
      <c r="AK342" s="1249"/>
      <c r="AL342" s="1319"/>
      <c r="AM342" s="1287"/>
      <c r="AN342" s="1261"/>
      <c r="AO342" s="1276"/>
      <c r="AP342" s="1277"/>
      <c r="AQ342" s="1276"/>
      <c r="AR342" s="1278"/>
      <c r="AS342" s="1278"/>
    </row>
    <row r="343" spans="1:51" ht="15.6">
      <c r="A343" s="1097" t="s">
        <v>53</v>
      </c>
      <c r="B343" s="1103" t="s">
        <v>583</v>
      </c>
      <c r="C343" s="1098" t="s">
        <v>584</v>
      </c>
      <c r="D343" s="1098" t="s">
        <v>585</v>
      </c>
      <c r="E343" s="1461" t="s">
        <v>100</v>
      </c>
      <c r="F343" s="856">
        <v>2024</v>
      </c>
      <c r="G343" s="1099">
        <v>45496</v>
      </c>
      <c r="H343" s="3">
        <v>200106920</v>
      </c>
      <c r="I343" s="1454" t="s">
        <v>812</v>
      </c>
      <c r="J343" s="1109">
        <v>1</v>
      </c>
      <c r="K343" s="3" t="s">
        <v>128</v>
      </c>
      <c r="L343" s="3" t="s">
        <v>128</v>
      </c>
      <c r="M343" s="858">
        <v>539.4</v>
      </c>
      <c r="N343" s="858">
        <v>305.77</v>
      </c>
      <c r="O343" s="958">
        <v>45498</v>
      </c>
      <c r="P343" s="958">
        <v>45499</v>
      </c>
      <c r="Q343" s="785" t="s">
        <v>813</v>
      </c>
      <c r="R343" s="785" t="s">
        <v>814</v>
      </c>
      <c r="S343" s="856" t="s">
        <v>62</v>
      </c>
      <c r="T343" s="825"/>
      <c r="U343" s="3" t="s">
        <v>130</v>
      </c>
      <c r="V343" s="825"/>
      <c r="W343" s="858">
        <v>321.60000000000002</v>
      </c>
      <c r="X343" s="1311"/>
      <c r="Y343" s="958">
        <v>45499</v>
      </c>
      <c r="Z343" s="851" t="s">
        <v>62</v>
      </c>
      <c r="AA343" s="851"/>
      <c r="AB343" s="1099">
        <v>45503</v>
      </c>
      <c r="AC343" s="1099">
        <v>45504</v>
      </c>
      <c r="AD343" s="1328">
        <f>575+287</f>
        <v>862</v>
      </c>
      <c r="AE343" s="1264">
        <f t="shared" ref="AE343:AE352" si="38">AD343/875</f>
        <v>0.9851428571428571</v>
      </c>
      <c r="AF343" s="1315" t="s">
        <v>64</v>
      </c>
      <c r="AG343" s="1317">
        <v>1</v>
      </c>
      <c r="AH343" s="1076" t="s">
        <v>162</v>
      </c>
      <c r="AI343" s="1248">
        <v>45504</v>
      </c>
      <c r="AJ343" s="1248">
        <v>45505</v>
      </c>
      <c r="AK343" s="1249">
        <f>73300+108274+100280+3970</f>
        <v>285824</v>
      </c>
      <c r="AL343" s="1319">
        <f t="shared" ref="AL343:AL352" si="39">AK343/291000</f>
        <v>0.982213058419244</v>
      </c>
      <c r="AM343" s="1265" t="s">
        <v>62</v>
      </c>
      <c r="AN343" s="1261">
        <v>1</v>
      </c>
      <c r="AO343" s="1276"/>
      <c r="AP343" s="1277"/>
      <c r="AQ343" s="1276"/>
      <c r="AR343" s="1278"/>
      <c r="AS343" s="1278"/>
    </row>
    <row r="344" spans="1:51" ht="15.6">
      <c r="A344" s="1097" t="s">
        <v>53</v>
      </c>
      <c r="B344" s="1103" t="s">
        <v>583</v>
      </c>
      <c r="C344" s="1098" t="s">
        <v>584</v>
      </c>
      <c r="D344" s="1098" t="s">
        <v>585</v>
      </c>
      <c r="E344" s="1461" t="s">
        <v>100</v>
      </c>
      <c r="F344" s="856">
        <v>2024</v>
      </c>
      <c r="G344" s="1099">
        <v>45496</v>
      </c>
      <c r="H344" s="3">
        <v>200106921</v>
      </c>
      <c r="I344" s="1454" t="s">
        <v>815</v>
      </c>
      <c r="J344" s="1109">
        <v>2</v>
      </c>
      <c r="K344" s="3" t="s">
        <v>128</v>
      </c>
      <c r="L344" s="3" t="s">
        <v>128</v>
      </c>
      <c r="M344" s="858">
        <v>538.5</v>
      </c>
      <c r="N344" s="858">
        <v>307.14999999999998</v>
      </c>
      <c r="O344" s="958">
        <v>45498</v>
      </c>
      <c r="P344" s="958">
        <v>45499</v>
      </c>
      <c r="Q344" s="3" t="s">
        <v>816</v>
      </c>
      <c r="R344" s="785" t="s">
        <v>817</v>
      </c>
      <c r="S344" s="856" t="s">
        <v>62</v>
      </c>
      <c r="T344" s="825"/>
      <c r="U344" s="3" t="s">
        <v>130</v>
      </c>
      <c r="V344" s="825"/>
      <c r="W344" s="858">
        <v>323</v>
      </c>
      <c r="X344" s="1311"/>
      <c r="Y344" s="958">
        <v>45499</v>
      </c>
      <c r="Z344" s="851" t="s">
        <v>62</v>
      </c>
      <c r="AA344" s="851"/>
      <c r="AB344" s="1099">
        <v>45504</v>
      </c>
      <c r="AC344" s="1099">
        <v>45504</v>
      </c>
      <c r="AD344" s="1328">
        <f>360+507</f>
        <v>867</v>
      </c>
      <c r="AE344" s="1264">
        <f t="shared" si="38"/>
        <v>0.99085714285714288</v>
      </c>
      <c r="AF344" s="1315" t="s">
        <v>64</v>
      </c>
      <c r="AG344" s="1317">
        <v>1</v>
      </c>
      <c r="AH344" s="1076" t="s">
        <v>162</v>
      </c>
      <c r="AI344" s="1248">
        <v>45510</v>
      </c>
      <c r="AJ344" s="1248">
        <v>45510</v>
      </c>
      <c r="AK344" s="1249">
        <f>81068+107280+99454</f>
        <v>287802</v>
      </c>
      <c r="AL344" s="1319">
        <f t="shared" si="39"/>
        <v>0.98901030927835054</v>
      </c>
      <c r="AM344" s="1265" t="s">
        <v>62</v>
      </c>
      <c r="AN344" s="1261">
        <v>1</v>
      </c>
      <c r="AO344" s="1276"/>
      <c r="AP344" s="1277"/>
      <c r="AQ344" s="1276"/>
      <c r="AR344" s="1278"/>
      <c r="AS344" s="1278"/>
    </row>
    <row r="345" spans="1:51" ht="15.6">
      <c r="A345" s="1097" t="s">
        <v>53</v>
      </c>
      <c r="B345" s="1103" t="s">
        <v>583</v>
      </c>
      <c r="C345" s="1098" t="s">
        <v>584</v>
      </c>
      <c r="D345" s="1098" t="s">
        <v>585</v>
      </c>
      <c r="E345" s="1461" t="s">
        <v>100</v>
      </c>
      <c r="F345" s="856">
        <v>2024</v>
      </c>
      <c r="G345" s="1099">
        <v>45496</v>
      </c>
      <c r="H345" s="3">
        <v>200106922</v>
      </c>
      <c r="I345" s="1454" t="s">
        <v>818</v>
      </c>
      <c r="J345" s="1109">
        <v>3</v>
      </c>
      <c r="K345" s="3" t="s">
        <v>60</v>
      </c>
      <c r="L345" s="3" t="s">
        <v>128</v>
      </c>
      <c r="M345" s="762">
        <v>535.6</v>
      </c>
      <c r="N345" s="762">
        <v>303</v>
      </c>
      <c r="O345" s="958">
        <v>45502</v>
      </c>
      <c r="P345" s="958">
        <v>45502</v>
      </c>
      <c r="Q345" s="3" t="s">
        <v>819</v>
      </c>
      <c r="R345" s="3" t="s">
        <v>820</v>
      </c>
      <c r="S345" s="856" t="s">
        <v>62</v>
      </c>
      <c r="T345" s="825"/>
      <c r="U345" s="3" t="s">
        <v>130</v>
      </c>
      <c r="V345" s="825"/>
      <c r="W345" s="762">
        <v>319.60000000000002</v>
      </c>
      <c r="X345" s="1311"/>
      <c r="Y345" s="958">
        <v>45502</v>
      </c>
      <c r="Z345" s="851" t="s">
        <v>62</v>
      </c>
      <c r="AA345" s="851"/>
      <c r="AB345" s="1099">
        <v>45504</v>
      </c>
      <c r="AC345" s="1099">
        <v>45504</v>
      </c>
      <c r="AD345" s="1328">
        <f>130+752</f>
        <v>882</v>
      </c>
      <c r="AE345" s="1264">
        <f t="shared" si="38"/>
        <v>1.008</v>
      </c>
      <c r="AF345" s="1315" t="s">
        <v>64</v>
      </c>
      <c r="AG345" s="1317">
        <v>1</v>
      </c>
      <c r="AH345" s="1076" t="s">
        <v>162</v>
      </c>
      <c r="AI345" s="1248">
        <v>45504</v>
      </c>
      <c r="AJ345" s="1248">
        <v>45506</v>
      </c>
      <c r="AK345" s="1249">
        <f>81032+84874+89218+37519</f>
        <v>292643</v>
      </c>
      <c r="AL345" s="1319">
        <f t="shared" si="39"/>
        <v>1.0056460481099656</v>
      </c>
      <c r="AM345" s="1265" t="s">
        <v>62</v>
      </c>
      <c r="AN345" s="1261">
        <v>1</v>
      </c>
      <c r="AO345" s="1276"/>
      <c r="AP345" s="1277"/>
      <c r="AQ345" s="1276"/>
      <c r="AR345" s="1278"/>
      <c r="AS345" s="1278"/>
    </row>
    <row r="346" spans="1:51" ht="15.6">
      <c r="A346" s="1097" t="s">
        <v>53</v>
      </c>
      <c r="B346" s="1103" t="s">
        <v>583</v>
      </c>
      <c r="C346" s="1098" t="s">
        <v>584</v>
      </c>
      <c r="D346" s="1098" t="s">
        <v>585</v>
      </c>
      <c r="E346" s="1461" t="s">
        <v>100</v>
      </c>
      <c r="F346" s="856">
        <v>2024</v>
      </c>
      <c r="G346" s="1099">
        <v>45496</v>
      </c>
      <c r="H346" s="3">
        <v>200106923</v>
      </c>
      <c r="I346" s="1454" t="s">
        <v>821</v>
      </c>
      <c r="J346" s="1109">
        <v>4</v>
      </c>
      <c r="K346" s="3" t="s">
        <v>60</v>
      </c>
      <c r="L346" s="3" t="s">
        <v>128</v>
      </c>
      <c r="M346" s="762">
        <v>540.1</v>
      </c>
      <c r="N346" s="762">
        <v>306.52999999999997</v>
      </c>
      <c r="O346" s="958">
        <v>45502</v>
      </c>
      <c r="P346" s="958">
        <v>45502</v>
      </c>
      <c r="Q346" s="3" t="s">
        <v>822</v>
      </c>
      <c r="R346" s="3" t="s">
        <v>823</v>
      </c>
      <c r="S346" s="856" t="s">
        <v>62</v>
      </c>
      <c r="T346" s="825"/>
      <c r="U346" s="3" t="s">
        <v>130</v>
      </c>
      <c r="V346" s="825"/>
      <c r="W346" s="762">
        <v>323.10000000000002</v>
      </c>
      <c r="X346" s="1311"/>
      <c r="Y346" s="958">
        <v>45502</v>
      </c>
      <c r="Z346" s="851" t="s">
        <v>62</v>
      </c>
      <c r="AA346" s="851"/>
      <c r="AB346" s="1099">
        <v>45505</v>
      </c>
      <c r="AC346" s="1099">
        <v>45505</v>
      </c>
      <c r="AD346" s="1328">
        <f>665+200</f>
        <v>865</v>
      </c>
      <c r="AE346" s="1264">
        <f t="shared" si="38"/>
        <v>0.98857142857142855</v>
      </c>
      <c r="AF346" s="1315" t="s">
        <v>64</v>
      </c>
      <c r="AG346" s="1317">
        <v>1</v>
      </c>
      <c r="AH346" s="1076" t="s">
        <v>162</v>
      </c>
      <c r="AI346" s="1248">
        <v>45506</v>
      </c>
      <c r="AJ346" s="1248">
        <v>45510</v>
      </c>
      <c r="AK346" s="1249">
        <f>57370+102355+107100+19972</f>
        <v>286797</v>
      </c>
      <c r="AL346" s="1319">
        <f t="shared" si="39"/>
        <v>0.98555670103092785</v>
      </c>
      <c r="AM346" s="1265" t="s">
        <v>62</v>
      </c>
      <c r="AN346" s="1261">
        <v>1</v>
      </c>
      <c r="AO346" s="1276"/>
      <c r="AP346" s="1277"/>
      <c r="AQ346" s="1276"/>
      <c r="AR346" s="1278"/>
      <c r="AS346" s="1278"/>
    </row>
    <row r="347" spans="1:51" ht="15.6">
      <c r="A347" s="1097" t="s">
        <v>53</v>
      </c>
      <c r="B347" s="1103" t="s">
        <v>583</v>
      </c>
      <c r="C347" s="1098" t="s">
        <v>584</v>
      </c>
      <c r="D347" s="1098" t="s">
        <v>585</v>
      </c>
      <c r="E347" s="1461" t="s">
        <v>100</v>
      </c>
      <c r="F347" s="856">
        <v>2024</v>
      </c>
      <c r="G347" s="1099">
        <v>45496</v>
      </c>
      <c r="H347" s="3">
        <v>200106924</v>
      </c>
      <c r="I347" s="1454" t="s">
        <v>824</v>
      </c>
      <c r="J347" s="1109">
        <v>5</v>
      </c>
      <c r="K347" s="3" t="s">
        <v>60</v>
      </c>
      <c r="L347" s="3" t="s">
        <v>128</v>
      </c>
      <c r="M347" s="762">
        <v>538.5</v>
      </c>
      <c r="N347" s="762">
        <v>307.51</v>
      </c>
      <c r="O347" s="958">
        <v>45502</v>
      </c>
      <c r="P347" s="958">
        <v>45502</v>
      </c>
      <c r="Q347" s="3" t="s">
        <v>825</v>
      </c>
      <c r="R347" s="3" t="s">
        <v>826</v>
      </c>
      <c r="S347" s="856" t="s">
        <v>62</v>
      </c>
      <c r="T347" s="825"/>
      <c r="U347" s="3" t="s">
        <v>130</v>
      </c>
      <c r="V347" s="825"/>
      <c r="W347" s="762">
        <v>323.7</v>
      </c>
      <c r="X347" s="1311"/>
      <c r="Y347" s="958">
        <v>45502</v>
      </c>
      <c r="Z347" s="851" t="s">
        <v>62</v>
      </c>
      <c r="AA347" s="851"/>
      <c r="AB347" s="1099">
        <v>45506</v>
      </c>
      <c r="AC347" s="1099">
        <v>45506</v>
      </c>
      <c r="AD347" s="1328">
        <f>475+389</f>
        <v>864</v>
      </c>
      <c r="AE347" s="1264">
        <f t="shared" si="38"/>
        <v>0.98742857142857143</v>
      </c>
      <c r="AF347" s="1315" t="s">
        <v>64</v>
      </c>
      <c r="AG347" s="1317">
        <v>1</v>
      </c>
      <c r="AH347" s="1076" t="s">
        <v>162</v>
      </c>
      <c r="AI347" s="1248">
        <v>45511</v>
      </c>
      <c r="AJ347" s="1248">
        <v>45512</v>
      </c>
      <c r="AK347" s="1249">
        <f>109296+107320+68967</f>
        <v>285583</v>
      </c>
      <c r="AL347" s="1319">
        <f t="shared" si="39"/>
        <v>0.98138487972508592</v>
      </c>
      <c r="AM347" s="1265" t="s">
        <v>62</v>
      </c>
      <c r="AN347" s="1261">
        <v>1</v>
      </c>
      <c r="AO347" s="1276"/>
      <c r="AP347" s="1277"/>
      <c r="AQ347" s="1276"/>
      <c r="AR347" s="1278"/>
      <c r="AS347" s="1278"/>
    </row>
    <row r="348" spans="1:51" ht="15.6">
      <c r="A348" s="1097" t="s">
        <v>53</v>
      </c>
      <c r="B348" s="1103" t="s">
        <v>583</v>
      </c>
      <c r="C348" s="1098" t="s">
        <v>584</v>
      </c>
      <c r="D348" s="1098" t="s">
        <v>585</v>
      </c>
      <c r="E348" s="1461" t="s">
        <v>100</v>
      </c>
      <c r="F348" s="856">
        <v>2024</v>
      </c>
      <c r="G348" s="1099">
        <v>45496</v>
      </c>
      <c r="H348" s="3">
        <v>200106946</v>
      </c>
      <c r="I348" s="1456" t="s">
        <v>827</v>
      </c>
      <c r="J348" s="1109">
        <v>6</v>
      </c>
      <c r="K348" s="3" t="s">
        <v>60</v>
      </c>
      <c r="L348" s="3" t="s">
        <v>128</v>
      </c>
      <c r="M348" s="762">
        <v>535.70000000000005</v>
      </c>
      <c r="N348" s="762">
        <v>305.27999999999997</v>
      </c>
      <c r="O348" s="958">
        <v>45503</v>
      </c>
      <c r="P348" s="958">
        <v>45502</v>
      </c>
      <c r="Q348" s="3" t="s">
        <v>828</v>
      </c>
      <c r="R348" s="3" t="s">
        <v>829</v>
      </c>
      <c r="S348" s="856" t="s">
        <v>62</v>
      </c>
      <c r="T348" s="825"/>
      <c r="U348" s="3" t="s">
        <v>130</v>
      </c>
      <c r="V348" s="825"/>
      <c r="W348" s="762">
        <v>321.5</v>
      </c>
      <c r="X348" s="1311"/>
      <c r="Y348" s="958">
        <v>45502</v>
      </c>
      <c r="Z348" s="851" t="s">
        <v>62</v>
      </c>
      <c r="AA348" s="851"/>
      <c r="AB348" s="1099">
        <v>45505</v>
      </c>
      <c r="AC348" s="1099">
        <v>45505</v>
      </c>
      <c r="AD348" s="1328">
        <f>425+438</f>
        <v>863</v>
      </c>
      <c r="AE348" s="1264">
        <f t="shared" si="38"/>
        <v>0.98628571428571432</v>
      </c>
      <c r="AF348" s="1315" t="s">
        <v>64</v>
      </c>
      <c r="AG348" s="1317">
        <v>1</v>
      </c>
      <c r="AH348" s="1076" t="s">
        <v>162</v>
      </c>
      <c r="AI348" s="1248">
        <v>45517</v>
      </c>
      <c r="AJ348" s="1248">
        <v>45517</v>
      </c>
      <c r="AK348" s="1249">
        <f>72200+102530+111267</f>
        <v>285997</v>
      </c>
      <c r="AL348" s="1319">
        <f t="shared" si="39"/>
        <v>0.98280756013745707</v>
      </c>
      <c r="AM348" s="1265" t="s">
        <v>62</v>
      </c>
      <c r="AN348" s="1261">
        <v>1</v>
      </c>
      <c r="AO348" s="1276"/>
      <c r="AP348" s="1277"/>
      <c r="AQ348" s="1276"/>
      <c r="AR348" s="1278"/>
      <c r="AS348" s="1278"/>
    </row>
    <row r="349" spans="1:51" ht="15.6">
      <c r="A349" s="1097" t="s">
        <v>53</v>
      </c>
      <c r="B349" s="1103" t="s">
        <v>583</v>
      </c>
      <c r="C349" s="1098" t="s">
        <v>584</v>
      </c>
      <c r="D349" s="1098" t="s">
        <v>585</v>
      </c>
      <c r="E349" s="1461" t="s">
        <v>100</v>
      </c>
      <c r="F349" s="856">
        <v>2024</v>
      </c>
      <c r="G349" s="1099">
        <v>45496</v>
      </c>
      <c r="H349" s="3">
        <v>200106947</v>
      </c>
      <c r="I349" s="1456" t="s">
        <v>830</v>
      </c>
      <c r="J349" s="1109">
        <v>7</v>
      </c>
      <c r="K349" s="3" t="s">
        <v>60</v>
      </c>
      <c r="L349" s="3" t="s">
        <v>128</v>
      </c>
      <c r="M349" s="762">
        <v>537.6</v>
      </c>
      <c r="N349" s="762">
        <v>308.06</v>
      </c>
      <c r="O349" s="958">
        <v>45503</v>
      </c>
      <c r="P349" s="958">
        <v>45502</v>
      </c>
      <c r="Q349" s="3" t="s">
        <v>831</v>
      </c>
      <c r="R349" s="3" t="s">
        <v>832</v>
      </c>
      <c r="S349" s="856" t="s">
        <v>62</v>
      </c>
      <c r="T349" s="825"/>
      <c r="U349" s="3" t="s">
        <v>130</v>
      </c>
      <c r="V349" s="825"/>
      <c r="W349" s="762">
        <v>323.60000000000002</v>
      </c>
      <c r="X349" s="1311"/>
      <c r="Y349" s="958">
        <v>45503</v>
      </c>
      <c r="Z349" s="851" t="s">
        <v>62</v>
      </c>
      <c r="AA349" s="851"/>
      <c r="AB349" s="1099">
        <v>45505</v>
      </c>
      <c r="AC349" s="1099">
        <v>45506</v>
      </c>
      <c r="AD349" s="1328">
        <f>275+520+69</f>
        <v>864</v>
      </c>
      <c r="AE349" s="1264">
        <f t="shared" si="38"/>
        <v>0.98742857142857143</v>
      </c>
      <c r="AF349" s="1315" t="s">
        <v>64</v>
      </c>
      <c r="AG349" s="1317">
        <v>1</v>
      </c>
      <c r="AH349" s="1076" t="s">
        <v>162</v>
      </c>
      <c r="AI349" s="1248">
        <v>45513</v>
      </c>
      <c r="AJ349" s="1248">
        <v>45517</v>
      </c>
      <c r="AK349" s="1249">
        <f>14920+47700+102000+107470+13747</f>
        <v>285837</v>
      </c>
      <c r="AL349" s="1319">
        <f t="shared" si="39"/>
        <v>0.98225773195876287</v>
      </c>
      <c r="AM349" s="1265" t="s">
        <v>62</v>
      </c>
      <c r="AN349" s="1261">
        <v>1</v>
      </c>
      <c r="AO349" s="1276"/>
      <c r="AP349" s="1277"/>
      <c r="AQ349" s="1276"/>
      <c r="AR349" s="1278"/>
      <c r="AS349" s="1278"/>
    </row>
    <row r="350" spans="1:51" ht="15.6">
      <c r="A350" s="1097" t="s">
        <v>53</v>
      </c>
      <c r="B350" s="1103" t="s">
        <v>583</v>
      </c>
      <c r="C350" s="1098" t="s">
        <v>584</v>
      </c>
      <c r="D350" s="1098" t="s">
        <v>585</v>
      </c>
      <c r="E350" s="1461" t="s">
        <v>100</v>
      </c>
      <c r="F350" s="856">
        <v>2024</v>
      </c>
      <c r="G350" s="1099">
        <v>45496</v>
      </c>
      <c r="H350" s="3">
        <v>200106948</v>
      </c>
      <c r="I350" s="1456" t="s">
        <v>833</v>
      </c>
      <c r="J350" s="1109">
        <v>8</v>
      </c>
      <c r="K350" s="3" t="s">
        <v>60</v>
      </c>
      <c r="L350" s="3" t="s">
        <v>128</v>
      </c>
      <c r="M350" s="762">
        <v>537.70000000000005</v>
      </c>
      <c r="N350" s="762">
        <v>306.95</v>
      </c>
      <c r="O350" s="958">
        <v>45503</v>
      </c>
      <c r="P350" s="958">
        <v>45504</v>
      </c>
      <c r="Q350" s="3" t="s">
        <v>834</v>
      </c>
      <c r="R350" s="3" t="s">
        <v>835</v>
      </c>
      <c r="S350" s="856" t="s">
        <v>62</v>
      </c>
      <c r="T350" s="825"/>
      <c r="U350" s="3" t="s">
        <v>130</v>
      </c>
      <c r="V350" s="825"/>
      <c r="W350" s="865">
        <v>322.8</v>
      </c>
      <c r="X350" s="1311"/>
      <c r="Y350" s="958">
        <v>45505</v>
      </c>
      <c r="Z350" s="851" t="s">
        <v>62</v>
      </c>
      <c r="AA350" s="851"/>
      <c r="AB350" s="1099">
        <v>45506</v>
      </c>
      <c r="AC350" s="1099">
        <v>45509</v>
      </c>
      <c r="AD350" s="1328">
        <f>210+655</f>
        <v>865</v>
      </c>
      <c r="AE350" s="1264">
        <f t="shared" si="38"/>
        <v>0.98857142857142855</v>
      </c>
      <c r="AF350" s="1315" t="s">
        <v>64</v>
      </c>
      <c r="AG350" s="1317">
        <v>1</v>
      </c>
      <c r="AH350" s="1076" t="s">
        <v>162</v>
      </c>
      <c r="AI350" s="1248">
        <v>45512</v>
      </c>
      <c r="AJ350" s="1248">
        <v>45513</v>
      </c>
      <c r="AK350" s="1249">
        <f>28231+102070+90774+65371</f>
        <v>286446</v>
      </c>
      <c r="AL350" s="1319">
        <f t="shared" si="39"/>
        <v>0.9843505154639175</v>
      </c>
      <c r="AM350" s="1265" t="s">
        <v>62</v>
      </c>
      <c r="AN350" s="1261">
        <v>1</v>
      </c>
      <c r="AO350" s="1276"/>
      <c r="AP350" s="1277"/>
      <c r="AQ350" s="1276"/>
      <c r="AR350" s="1278"/>
      <c r="AS350" s="1278"/>
    </row>
    <row r="351" spans="1:51" ht="15.6">
      <c r="A351" s="1097" t="s">
        <v>53</v>
      </c>
      <c r="B351" s="1103" t="s">
        <v>583</v>
      </c>
      <c r="C351" s="1098" t="s">
        <v>584</v>
      </c>
      <c r="D351" s="1098" t="s">
        <v>585</v>
      </c>
      <c r="E351" s="1461" t="s">
        <v>100</v>
      </c>
      <c r="F351" s="856">
        <v>2024</v>
      </c>
      <c r="G351" s="1099">
        <v>45496</v>
      </c>
      <c r="H351" s="3">
        <v>200106949</v>
      </c>
      <c r="I351" s="1456" t="s">
        <v>836</v>
      </c>
      <c r="J351" s="1109">
        <v>9</v>
      </c>
      <c r="K351" s="3" t="s">
        <v>60</v>
      </c>
      <c r="L351" s="3" t="s">
        <v>128</v>
      </c>
      <c r="M351" s="858">
        <v>529.1</v>
      </c>
      <c r="N351" s="865">
        <v>306.27</v>
      </c>
      <c r="O351" s="958">
        <v>45519</v>
      </c>
      <c r="P351" s="958">
        <v>45519</v>
      </c>
      <c r="Q351" s="3" t="s">
        <v>837</v>
      </c>
      <c r="R351" s="3" t="s">
        <v>838</v>
      </c>
      <c r="S351" s="856" t="s">
        <v>62</v>
      </c>
      <c r="T351" s="825"/>
      <c r="U351" s="3" t="s">
        <v>130</v>
      </c>
      <c r="V351" s="825"/>
      <c r="W351" s="865">
        <v>322.10000000000002</v>
      </c>
      <c r="X351" s="1311"/>
      <c r="Y351" s="958">
        <v>45521</v>
      </c>
      <c r="Z351" s="851" t="s">
        <v>62</v>
      </c>
      <c r="AA351" s="851"/>
      <c r="AB351" s="1099">
        <v>45523</v>
      </c>
      <c r="AC351" s="1099">
        <v>45523</v>
      </c>
      <c r="AD351" s="1328">
        <f>550+302</f>
        <v>852</v>
      </c>
      <c r="AE351" s="1264">
        <f t="shared" si="38"/>
        <v>0.97371428571428575</v>
      </c>
      <c r="AF351" s="1315" t="s">
        <v>64</v>
      </c>
      <c r="AG351" s="1317">
        <v>1</v>
      </c>
      <c r="AH351" s="1329" t="s">
        <v>617</v>
      </c>
      <c r="AI351" s="1302">
        <v>45526</v>
      </c>
      <c r="AJ351" s="1302">
        <v>45527</v>
      </c>
      <c r="AK351" s="1249">
        <f>5400+70100+55000+30000+55500+65500+1684</f>
        <v>283184</v>
      </c>
      <c r="AL351" s="1319">
        <f t="shared" si="39"/>
        <v>0.97314089347079036</v>
      </c>
      <c r="AM351" s="1265" t="s">
        <v>62</v>
      </c>
      <c r="AN351" s="1261">
        <v>1</v>
      </c>
      <c r="AO351" s="1276"/>
      <c r="AP351" s="1277"/>
      <c r="AQ351" s="1276"/>
      <c r="AR351" s="1278">
        <v>190</v>
      </c>
      <c r="AS351" s="1278">
        <v>115</v>
      </c>
      <c r="AT351" s="784">
        <f>180+150+100+64+5</f>
        <v>499</v>
      </c>
      <c r="AU351" s="784">
        <v>0.4</v>
      </c>
      <c r="AV351" s="784">
        <v>76.900000000000006</v>
      </c>
      <c r="AW351" s="1184">
        <v>13.6</v>
      </c>
      <c r="AX351" s="927">
        <v>1.1000000000000001</v>
      </c>
      <c r="AY351" s="784">
        <v>212</v>
      </c>
    </row>
    <row r="352" spans="1:51" ht="15.6">
      <c r="A352" s="1097" t="s">
        <v>53</v>
      </c>
      <c r="B352" s="1103" t="s">
        <v>583</v>
      </c>
      <c r="C352" s="1098" t="s">
        <v>584</v>
      </c>
      <c r="D352" s="1098" t="s">
        <v>585</v>
      </c>
      <c r="E352" s="1461" t="s">
        <v>100</v>
      </c>
      <c r="F352" s="856">
        <v>2024</v>
      </c>
      <c r="G352" s="1099">
        <v>45496</v>
      </c>
      <c r="H352" s="3">
        <v>200106950</v>
      </c>
      <c r="I352" s="1456" t="s">
        <v>839</v>
      </c>
      <c r="J352" s="1109">
        <v>10</v>
      </c>
      <c r="K352" s="3" t="s">
        <v>60</v>
      </c>
      <c r="L352" s="3" t="s">
        <v>128</v>
      </c>
      <c r="M352" s="858">
        <v>542.79999999999995</v>
      </c>
      <c r="N352" s="865">
        <v>308</v>
      </c>
      <c r="O352" s="958">
        <v>45519</v>
      </c>
      <c r="P352" s="958">
        <v>45519</v>
      </c>
      <c r="Q352" s="3" t="s">
        <v>840</v>
      </c>
      <c r="R352" s="3" t="s">
        <v>841</v>
      </c>
      <c r="S352" s="856" t="s">
        <v>62</v>
      </c>
      <c r="T352" s="825"/>
      <c r="U352" s="3" t="s">
        <v>130</v>
      </c>
      <c r="V352" s="825"/>
      <c r="W352" s="865">
        <v>324.10000000000002</v>
      </c>
      <c r="X352" s="1311"/>
      <c r="Y352" s="958">
        <v>45521</v>
      </c>
      <c r="Z352" s="851" t="s">
        <v>62</v>
      </c>
      <c r="AA352" s="851"/>
      <c r="AB352" s="1099">
        <v>45523</v>
      </c>
      <c r="AC352" s="1099">
        <v>45524</v>
      </c>
      <c r="AD352" s="1328">
        <f>285+583</f>
        <v>868</v>
      </c>
      <c r="AE352" s="1264">
        <f t="shared" si="38"/>
        <v>0.99199999999999999</v>
      </c>
      <c r="AF352" s="1315" t="s">
        <v>64</v>
      </c>
      <c r="AG352" s="1317">
        <v>1</v>
      </c>
      <c r="AH352" s="1329" t="s">
        <v>617</v>
      </c>
      <c r="AI352" s="1302">
        <v>45530</v>
      </c>
      <c r="AJ352" s="1302">
        <v>45531</v>
      </c>
      <c r="AK352" s="1249">
        <f>55000+70200+74000+75600+12569</f>
        <v>287369</v>
      </c>
      <c r="AL352" s="1319">
        <f t="shared" si="39"/>
        <v>0.98752233676975942</v>
      </c>
      <c r="AM352" s="1265" t="s">
        <v>62</v>
      </c>
      <c r="AN352" s="1261">
        <v>1</v>
      </c>
      <c r="AO352" s="1276"/>
      <c r="AP352" s="1277"/>
      <c r="AQ352" s="1276"/>
      <c r="AR352" s="1278">
        <v>190</v>
      </c>
      <c r="AS352" s="1278">
        <v>115</v>
      </c>
      <c r="AT352" s="784">
        <f>75+50</f>
        <v>125</v>
      </c>
      <c r="AU352" s="784">
        <v>0.28000000000000003</v>
      </c>
      <c r="AV352" s="784">
        <v>73.400000000000006</v>
      </c>
      <c r="AW352" s="1184">
        <v>5.6</v>
      </c>
      <c r="AX352" s="927">
        <v>4.9400000000000004</v>
      </c>
      <c r="AY352" s="784">
        <v>259</v>
      </c>
    </row>
    <row r="353" spans="1:49" ht="25.8">
      <c r="A353" s="1097" t="s">
        <v>53</v>
      </c>
      <c r="B353" s="1103"/>
      <c r="C353" s="1098"/>
      <c r="D353" s="1098"/>
      <c r="E353" s="1076"/>
      <c r="F353" s="1076"/>
      <c r="G353" s="1099"/>
      <c r="H353" s="3"/>
      <c r="I353" s="3"/>
      <c r="J353" s="1109"/>
      <c r="K353" s="851"/>
      <c r="L353" s="851"/>
      <c r="M353" s="851"/>
      <c r="N353" s="851"/>
      <c r="O353" s="1322"/>
      <c r="P353" s="1322"/>
      <c r="Q353" s="1326"/>
      <c r="R353" s="1326"/>
      <c r="S353" s="1326"/>
      <c r="T353" s="1326"/>
      <c r="U353" s="1326"/>
      <c r="V353" s="1326"/>
      <c r="W353" s="1326"/>
      <c r="X353" s="1327"/>
      <c r="Y353" s="1322"/>
      <c r="Z353" s="851"/>
      <c r="AA353" s="851"/>
      <c r="AB353" s="1099"/>
      <c r="AC353" s="1099"/>
      <c r="AD353" s="1226"/>
      <c r="AE353" s="1264"/>
      <c r="AF353" s="1315"/>
      <c r="AG353" s="1317"/>
      <c r="AH353" s="1076"/>
      <c r="AI353" s="1248"/>
      <c r="AJ353" s="1248"/>
      <c r="AK353" s="1249"/>
      <c r="AL353" s="1319"/>
      <c r="AM353" s="1287"/>
      <c r="AN353" s="1261"/>
      <c r="AO353" s="1276"/>
      <c r="AP353" s="1277"/>
      <c r="AQ353" s="1276"/>
      <c r="AR353" s="1278"/>
      <c r="AS353" s="1278"/>
    </row>
    <row r="354" spans="1:49" ht="15.6">
      <c r="A354" s="1097" t="s">
        <v>53</v>
      </c>
      <c r="B354" s="1103" t="s">
        <v>583</v>
      </c>
      <c r="C354" s="1098" t="s">
        <v>584</v>
      </c>
      <c r="D354" s="1098" t="s">
        <v>585</v>
      </c>
      <c r="E354" s="1461" t="s">
        <v>541</v>
      </c>
      <c r="F354" s="856">
        <v>2024</v>
      </c>
      <c r="G354" s="1099">
        <v>45517</v>
      </c>
      <c r="H354" s="3">
        <v>200107201</v>
      </c>
      <c r="I354" s="1438" t="s">
        <v>842</v>
      </c>
      <c r="J354" s="1109">
        <v>1</v>
      </c>
      <c r="K354" s="3" t="s">
        <v>60</v>
      </c>
      <c r="L354" s="3" t="s">
        <v>128</v>
      </c>
      <c r="M354" s="865">
        <v>536</v>
      </c>
      <c r="N354" s="858">
        <v>304.07</v>
      </c>
      <c r="O354" s="958">
        <v>45521</v>
      </c>
      <c r="P354" s="958">
        <v>45523</v>
      </c>
      <c r="Q354" s="3" t="s">
        <v>843</v>
      </c>
      <c r="R354" s="785" t="s">
        <v>844</v>
      </c>
      <c r="S354" s="856" t="s">
        <v>62</v>
      </c>
      <c r="T354" s="825"/>
      <c r="U354" s="3" t="s">
        <v>130</v>
      </c>
      <c r="V354" s="825"/>
      <c r="W354" s="858">
        <v>319.60000000000002</v>
      </c>
      <c r="X354" s="1311"/>
      <c r="Y354" s="958">
        <v>45523</v>
      </c>
      <c r="Z354" s="851" t="s">
        <v>62</v>
      </c>
      <c r="AA354" s="851"/>
      <c r="AB354" s="1099">
        <v>45524</v>
      </c>
      <c r="AC354" s="1099">
        <v>45525</v>
      </c>
      <c r="AD354" s="1328">
        <f>470+387</f>
        <v>857</v>
      </c>
      <c r="AE354" s="1264">
        <f t="shared" ref="AE354:AE360" si="40">AD354/875</f>
        <v>0.97942857142857143</v>
      </c>
      <c r="AF354" s="1315" t="s">
        <v>64</v>
      </c>
      <c r="AG354" s="1317">
        <v>1</v>
      </c>
      <c r="AH354" s="1329" t="s">
        <v>617</v>
      </c>
      <c r="AI354" s="1302">
        <v>45531</v>
      </c>
      <c r="AJ354" s="1302">
        <v>45533</v>
      </c>
      <c r="AK354" s="1249">
        <f>46000+70000+76500+70300+21413</f>
        <v>284213</v>
      </c>
      <c r="AL354" s="1319">
        <f t="shared" ref="AL354:AL360" si="41">AK354/291000</f>
        <v>0.97667697594501723</v>
      </c>
      <c r="AM354" s="1265" t="s">
        <v>62</v>
      </c>
      <c r="AN354" s="1261">
        <v>1</v>
      </c>
      <c r="AO354" s="1276"/>
      <c r="AP354" s="1277"/>
      <c r="AQ354" s="1276"/>
      <c r="AR354" s="1278">
        <v>190</v>
      </c>
      <c r="AS354" s="1278">
        <v>115</v>
      </c>
      <c r="AT354" s="784">
        <f>1500+50+65</f>
        <v>1615</v>
      </c>
      <c r="AV354" s="784">
        <f>11.2+18.4+18.3</f>
        <v>47.9</v>
      </c>
      <c r="AW354" s="1184">
        <v>7.8</v>
      </c>
    </row>
    <row r="355" spans="1:49" ht="15.6">
      <c r="A355" s="1097" t="s">
        <v>53</v>
      </c>
      <c r="B355" s="1103" t="s">
        <v>583</v>
      </c>
      <c r="C355" s="1098" t="s">
        <v>584</v>
      </c>
      <c r="D355" s="1098" t="s">
        <v>585</v>
      </c>
      <c r="E355" s="1461" t="s">
        <v>541</v>
      </c>
      <c r="F355" s="856">
        <v>2024</v>
      </c>
      <c r="G355" s="1099">
        <v>45517</v>
      </c>
      <c r="H355" s="3">
        <v>200107202</v>
      </c>
      <c r="I355" s="1438" t="s">
        <v>845</v>
      </c>
      <c r="J355" s="1109">
        <v>2</v>
      </c>
      <c r="K355" s="3" t="s">
        <v>60</v>
      </c>
      <c r="L355" s="3" t="s">
        <v>128</v>
      </c>
      <c r="M355" s="865">
        <v>535.70000000000005</v>
      </c>
      <c r="N355" s="858">
        <v>304.51</v>
      </c>
      <c r="O355" s="958">
        <v>45524</v>
      </c>
      <c r="P355" s="958">
        <v>45523</v>
      </c>
      <c r="Q355" s="785" t="s">
        <v>846</v>
      </c>
      <c r="R355" s="785" t="s">
        <v>847</v>
      </c>
      <c r="S355" s="856" t="s">
        <v>62</v>
      </c>
      <c r="T355" s="825"/>
      <c r="U355" s="3" t="s">
        <v>130</v>
      </c>
      <c r="V355" s="825"/>
      <c r="W355" s="865">
        <v>322.39999999999998</v>
      </c>
      <c r="X355" s="1311"/>
      <c r="Y355" s="958">
        <v>45523</v>
      </c>
      <c r="Z355" s="851" t="s">
        <v>62</v>
      </c>
      <c r="AA355" s="851"/>
      <c r="AB355" s="1099">
        <v>45525</v>
      </c>
      <c r="AC355" s="1099">
        <v>45526</v>
      </c>
      <c r="AD355" s="1328">
        <f>130+555+177</f>
        <v>862</v>
      </c>
      <c r="AE355" s="1264">
        <f t="shared" si="40"/>
        <v>0.9851428571428571</v>
      </c>
      <c r="AF355" s="1315" t="s">
        <v>64</v>
      </c>
      <c r="AG355" s="1317">
        <v>1</v>
      </c>
      <c r="AH355" s="1329" t="s">
        <v>617</v>
      </c>
      <c r="AI355" s="1302">
        <v>45533</v>
      </c>
      <c r="AJ355" s="1330"/>
      <c r="AK355" s="1249">
        <f>45500</f>
        <v>45500</v>
      </c>
      <c r="AL355" s="1319">
        <f t="shared" si="41"/>
        <v>0.1563573883161512</v>
      </c>
      <c r="AM355" s="1304" t="s">
        <v>533</v>
      </c>
      <c r="AN355" s="1305">
        <f>AL355/1</f>
        <v>0.1563573883161512</v>
      </c>
      <c r="AO355" s="1276"/>
      <c r="AP355" s="1277"/>
      <c r="AQ355" s="1276"/>
      <c r="AR355" s="1278">
        <v>190</v>
      </c>
      <c r="AS355" s="1278">
        <v>115</v>
      </c>
      <c r="AT355" s="784">
        <v>35</v>
      </c>
      <c r="AV355" s="784">
        <v>12</v>
      </c>
      <c r="AW355" s="1184">
        <v>1.7</v>
      </c>
    </row>
    <row r="356" spans="1:49" ht="15.6">
      <c r="A356" s="1097" t="s">
        <v>53</v>
      </c>
      <c r="B356" s="1103" t="s">
        <v>583</v>
      </c>
      <c r="C356" s="1098" t="s">
        <v>584</v>
      </c>
      <c r="D356" s="1098" t="s">
        <v>585</v>
      </c>
      <c r="E356" s="1461" t="s">
        <v>541</v>
      </c>
      <c r="F356" s="856">
        <v>2024</v>
      </c>
      <c r="G356" s="1099">
        <v>45517</v>
      </c>
      <c r="H356" s="3">
        <v>200107203</v>
      </c>
      <c r="I356" s="1438" t="s">
        <v>848</v>
      </c>
      <c r="J356" s="1109">
        <v>3</v>
      </c>
      <c r="K356" s="3" t="s">
        <v>60</v>
      </c>
      <c r="L356" s="3" t="s">
        <v>128</v>
      </c>
      <c r="M356" s="865">
        <v>537.29999999999995</v>
      </c>
      <c r="N356" s="865">
        <v>306.02</v>
      </c>
      <c r="O356" s="958">
        <v>45524</v>
      </c>
      <c r="P356" s="958">
        <v>45523</v>
      </c>
      <c r="Q356" s="3" t="s">
        <v>849</v>
      </c>
      <c r="R356" s="3" t="s">
        <v>850</v>
      </c>
      <c r="S356" s="856" t="s">
        <v>62</v>
      </c>
      <c r="T356" s="825"/>
      <c r="U356" s="3" t="s">
        <v>130</v>
      </c>
      <c r="V356" s="825"/>
      <c r="W356" s="865">
        <v>320.60000000000002</v>
      </c>
      <c r="X356" s="1311"/>
      <c r="Y356" s="958">
        <v>45523</v>
      </c>
      <c r="Z356" s="851" t="s">
        <v>62</v>
      </c>
      <c r="AA356" s="851"/>
      <c r="AB356" s="1099">
        <v>45526</v>
      </c>
      <c r="AC356" s="1099">
        <v>45526</v>
      </c>
      <c r="AD356" s="1328">
        <f>420+445</f>
        <v>865</v>
      </c>
      <c r="AE356" s="1264">
        <f t="shared" si="40"/>
        <v>0.98857142857142855</v>
      </c>
      <c r="AF356" s="1315" t="s">
        <v>64</v>
      </c>
      <c r="AG356" s="1317">
        <v>1</v>
      </c>
      <c r="AH356" s="1329"/>
      <c r="AI356" s="1302"/>
      <c r="AJ356" s="1330"/>
      <c r="AK356" s="1249"/>
      <c r="AL356" s="1319">
        <f t="shared" si="41"/>
        <v>0</v>
      </c>
      <c r="AM356" s="1287"/>
      <c r="AN356" s="1261"/>
      <c r="AO356" s="1276"/>
      <c r="AP356" s="1277"/>
      <c r="AQ356" s="1276"/>
      <c r="AR356" s="1278"/>
      <c r="AS356" s="1278"/>
    </row>
    <row r="357" spans="1:49" ht="15.6">
      <c r="A357" s="1097" t="s">
        <v>53</v>
      </c>
      <c r="B357" s="1103" t="s">
        <v>583</v>
      </c>
      <c r="C357" s="1098" t="s">
        <v>584</v>
      </c>
      <c r="D357" s="1098" t="s">
        <v>585</v>
      </c>
      <c r="E357" s="1461" t="s">
        <v>541</v>
      </c>
      <c r="F357" s="856">
        <v>2024</v>
      </c>
      <c r="G357" s="1099">
        <v>45517</v>
      </c>
      <c r="H357" s="3">
        <v>200107204</v>
      </c>
      <c r="I357" s="1438" t="s">
        <v>851</v>
      </c>
      <c r="J357" s="1109">
        <v>4</v>
      </c>
      <c r="K357" s="3" t="s">
        <v>60</v>
      </c>
      <c r="L357" s="3" t="s">
        <v>128</v>
      </c>
      <c r="M357" s="865">
        <v>541.70000000000005</v>
      </c>
      <c r="N357" s="865">
        <v>307.72000000000003</v>
      </c>
      <c r="O357" s="958">
        <v>45524</v>
      </c>
      <c r="P357" s="958">
        <v>45523</v>
      </c>
      <c r="Q357" s="3" t="s">
        <v>852</v>
      </c>
      <c r="R357" s="3" t="s">
        <v>853</v>
      </c>
      <c r="S357" s="856" t="s">
        <v>62</v>
      </c>
      <c r="T357" s="825"/>
      <c r="U357" s="3" t="s">
        <v>130</v>
      </c>
      <c r="V357" s="825"/>
      <c r="W357" s="865">
        <v>322.8</v>
      </c>
      <c r="X357" s="1311"/>
      <c r="Y357" s="958">
        <v>45523</v>
      </c>
      <c r="Z357" s="851" t="s">
        <v>62</v>
      </c>
      <c r="AA357" s="851"/>
      <c r="AB357" s="1099">
        <v>45526</v>
      </c>
      <c r="AC357" s="1099">
        <v>45527</v>
      </c>
      <c r="AD357" s="1328">
        <v>872</v>
      </c>
      <c r="AE357" s="1264">
        <f t="shared" si="40"/>
        <v>0.99657142857142855</v>
      </c>
      <c r="AF357" s="1315" t="s">
        <v>64</v>
      </c>
      <c r="AG357" s="1317">
        <v>1</v>
      </c>
      <c r="AH357" s="1076"/>
      <c r="AI357" s="1248"/>
      <c r="AJ357" s="1248"/>
      <c r="AK357" s="1249"/>
      <c r="AL357" s="1319">
        <f t="shared" si="41"/>
        <v>0</v>
      </c>
      <c r="AM357" s="1287"/>
      <c r="AN357" s="1261"/>
      <c r="AO357" s="1276"/>
      <c r="AP357" s="1277"/>
      <c r="AQ357" s="1276"/>
      <c r="AR357" s="1278"/>
      <c r="AS357" s="1278"/>
    </row>
    <row r="358" spans="1:49" ht="15.6">
      <c r="A358" s="1097" t="s">
        <v>53</v>
      </c>
      <c r="B358" s="1103" t="s">
        <v>583</v>
      </c>
      <c r="C358" s="1098" t="s">
        <v>584</v>
      </c>
      <c r="D358" s="1098" t="s">
        <v>585</v>
      </c>
      <c r="E358" s="1461" t="s">
        <v>541</v>
      </c>
      <c r="F358" s="856">
        <v>2024</v>
      </c>
      <c r="G358" s="1099" t="s">
        <v>854</v>
      </c>
      <c r="H358" s="3">
        <v>200107283</v>
      </c>
      <c r="I358" s="1465" t="s">
        <v>855</v>
      </c>
      <c r="J358" s="1109">
        <v>5</v>
      </c>
      <c r="K358" s="3" t="s">
        <v>60</v>
      </c>
      <c r="L358" s="3" t="s">
        <v>128</v>
      </c>
      <c r="M358" s="858">
        <v>533.20000000000005</v>
      </c>
      <c r="N358" s="865">
        <v>301.69</v>
      </c>
      <c r="O358" s="958">
        <v>45526</v>
      </c>
      <c r="P358" s="958">
        <v>45526</v>
      </c>
      <c r="Q358" s="3" t="s">
        <v>856</v>
      </c>
      <c r="R358" s="3" t="s">
        <v>857</v>
      </c>
      <c r="S358" s="856" t="s">
        <v>62</v>
      </c>
      <c r="T358" s="825"/>
      <c r="U358" s="3" t="s">
        <v>130</v>
      </c>
      <c r="V358" s="825"/>
      <c r="W358" s="865">
        <v>317.7</v>
      </c>
      <c r="X358" s="1311"/>
      <c r="Y358" s="958">
        <v>45526</v>
      </c>
      <c r="Z358" s="851" t="s">
        <v>62</v>
      </c>
      <c r="AA358" s="851"/>
      <c r="AB358" s="1099">
        <v>45527</v>
      </c>
      <c r="AC358" s="1099">
        <v>45530</v>
      </c>
      <c r="AD358" s="1328">
        <v>854</v>
      </c>
      <c r="AE358" s="1264">
        <f t="shared" si="40"/>
        <v>0.97599999999999998</v>
      </c>
      <c r="AF358" s="1315" t="s">
        <v>64</v>
      </c>
      <c r="AG358" s="1317">
        <v>1</v>
      </c>
      <c r="AH358" s="1076"/>
      <c r="AI358" s="1248"/>
      <c r="AJ358" s="1248"/>
      <c r="AK358" s="1249"/>
      <c r="AL358" s="1319">
        <f t="shared" si="41"/>
        <v>0</v>
      </c>
      <c r="AM358" s="1287"/>
      <c r="AN358" s="1261"/>
      <c r="AO358" s="1276"/>
      <c r="AP358" s="1277"/>
      <c r="AQ358" s="1276"/>
      <c r="AR358" s="1278"/>
      <c r="AS358" s="1278"/>
    </row>
    <row r="359" spans="1:49" ht="15.6">
      <c r="A359" s="1097" t="s">
        <v>53</v>
      </c>
      <c r="B359" s="1103" t="s">
        <v>583</v>
      </c>
      <c r="C359" s="1098" t="s">
        <v>584</v>
      </c>
      <c r="D359" s="1098" t="s">
        <v>585</v>
      </c>
      <c r="E359" s="1461" t="s">
        <v>541</v>
      </c>
      <c r="F359" s="856">
        <v>2024</v>
      </c>
      <c r="G359" s="1099" t="s">
        <v>854</v>
      </c>
      <c r="H359" s="3">
        <v>200107285</v>
      </c>
      <c r="I359" s="1465" t="s">
        <v>858</v>
      </c>
      <c r="J359" s="1109">
        <v>6</v>
      </c>
      <c r="K359" s="3" t="s">
        <v>60</v>
      </c>
      <c r="L359" s="3" t="s">
        <v>128</v>
      </c>
      <c r="M359" s="858">
        <v>531.1</v>
      </c>
      <c r="N359" s="865">
        <v>305.16000000000003</v>
      </c>
      <c r="O359" s="958">
        <v>45530</v>
      </c>
      <c r="P359" s="958">
        <v>45526</v>
      </c>
      <c r="Q359" s="3" t="s">
        <v>859</v>
      </c>
      <c r="R359" s="3" t="s">
        <v>860</v>
      </c>
      <c r="S359" s="856" t="s">
        <v>62</v>
      </c>
      <c r="T359" s="825"/>
      <c r="U359" s="3" t="s">
        <v>130</v>
      </c>
      <c r="V359" s="825"/>
      <c r="W359" s="858">
        <v>321.3</v>
      </c>
      <c r="X359" s="1311"/>
      <c r="Y359" s="958">
        <v>45526</v>
      </c>
      <c r="Z359" s="851" t="s">
        <v>62</v>
      </c>
      <c r="AA359" s="851"/>
      <c r="AB359" s="1099">
        <v>45530</v>
      </c>
      <c r="AC359" s="1099">
        <v>45530</v>
      </c>
      <c r="AD359" s="1328">
        <v>855</v>
      </c>
      <c r="AE359" s="1264">
        <f t="shared" si="40"/>
        <v>0.97714285714285709</v>
      </c>
      <c r="AF359" s="1315" t="s">
        <v>64</v>
      </c>
      <c r="AG359" s="1317">
        <v>1</v>
      </c>
      <c r="AH359" s="1076"/>
      <c r="AI359" s="1248"/>
      <c r="AJ359" s="1248"/>
      <c r="AK359" s="1249"/>
      <c r="AL359" s="1319">
        <f t="shared" si="41"/>
        <v>0</v>
      </c>
      <c r="AM359" s="1287"/>
      <c r="AN359" s="1261"/>
      <c r="AO359" s="1276"/>
      <c r="AP359" s="1277"/>
      <c r="AQ359" s="1276"/>
      <c r="AR359" s="1278"/>
      <c r="AS359" s="1278"/>
    </row>
    <row r="360" spans="1:49" ht="15.6">
      <c r="A360" s="1097" t="s">
        <v>53</v>
      </c>
      <c r="B360" s="1103" t="s">
        <v>583</v>
      </c>
      <c r="C360" s="1098" t="s">
        <v>584</v>
      </c>
      <c r="D360" s="1098" t="s">
        <v>585</v>
      </c>
      <c r="E360" s="1461" t="s">
        <v>541</v>
      </c>
      <c r="F360" s="856">
        <v>2024</v>
      </c>
      <c r="G360" s="1099" t="s">
        <v>854</v>
      </c>
      <c r="H360" s="3">
        <v>200107286</v>
      </c>
      <c r="I360" s="1465" t="s">
        <v>861</v>
      </c>
      <c r="J360" s="1109">
        <v>7</v>
      </c>
      <c r="K360" s="3" t="s">
        <v>60</v>
      </c>
      <c r="L360" s="3" t="s">
        <v>128</v>
      </c>
      <c r="M360" s="859">
        <v>536</v>
      </c>
      <c r="N360" s="858">
        <v>302.72000000000003</v>
      </c>
      <c r="O360" s="958">
        <v>45531</v>
      </c>
      <c r="P360" s="958">
        <v>45527</v>
      </c>
      <c r="Q360" s="3" t="s">
        <v>862</v>
      </c>
      <c r="R360" s="785" t="s">
        <v>863</v>
      </c>
      <c r="S360" s="856" t="s">
        <v>62</v>
      </c>
      <c r="T360" s="825"/>
      <c r="U360" s="3" t="s">
        <v>130</v>
      </c>
      <c r="V360" s="825"/>
      <c r="W360" s="858">
        <v>318.89999999999998</v>
      </c>
      <c r="X360" s="1311"/>
      <c r="Y360" s="958">
        <v>45527</v>
      </c>
      <c r="Z360" s="851" t="s">
        <v>62</v>
      </c>
      <c r="AA360" s="851"/>
      <c r="AB360" s="1099">
        <v>45531</v>
      </c>
      <c r="AC360" s="1099">
        <v>45531</v>
      </c>
      <c r="AD360" s="1328">
        <f>581+259</f>
        <v>840</v>
      </c>
      <c r="AE360" s="1264">
        <f t="shared" si="40"/>
        <v>0.96</v>
      </c>
      <c r="AF360" s="1315" t="s">
        <v>64</v>
      </c>
      <c r="AG360" s="1317">
        <v>1</v>
      </c>
      <c r="AH360" s="1076"/>
      <c r="AI360" s="1248"/>
      <c r="AJ360" s="1248"/>
      <c r="AK360" s="1249"/>
      <c r="AL360" s="1319">
        <f t="shared" si="41"/>
        <v>0</v>
      </c>
      <c r="AM360" s="1287"/>
      <c r="AN360" s="1261"/>
      <c r="AO360" s="1276"/>
      <c r="AP360" s="1277"/>
      <c r="AQ360" s="1276"/>
      <c r="AR360" s="1278"/>
      <c r="AS360" s="1278"/>
    </row>
    <row r="361" spans="1:49" ht="16.05" customHeight="1">
      <c r="A361" s="1097" t="s">
        <v>53</v>
      </c>
      <c r="B361" s="1103"/>
      <c r="C361" s="851"/>
      <c r="E361" s="1076"/>
      <c r="F361" s="1076"/>
      <c r="G361" s="1099"/>
      <c r="H361" s="1192"/>
      <c r="I361" s="1323"/>
      <c r="J361" s="1144"/>
      <c r="K361" s="851"/>
      <c r="L361" s="851"/>
      <c r="M361" s="851"/>
      <c r="N361" s="851"/>
      <c r="O361" s="1205"/>
      <c r="P361" s="1205"/>
      <c r="Q361" s="851"/>
      <c r="R361" s="851"/>
      <c r="S361" s="851"/>
      <c r="T361" s="851"/>
      <c r="U361" s="851"/>
      <c r="V361" s="851"/>
      <c r="W361" s="851"/>
      <c r="X361" s="1179"/>
      <c r="Y361" s="1205"/>
      <c r="Z361" s="851"/>
      <c r="AA361" s="1232"/>
      <c r="AB361" s="1099"/>
      <c r="AC361" s="1099"/>
      <c r="AD361" s="1226"/>
      <c r="AE361" s="1227"/>
      <c r="AF361" s="1315"/>
      <c r="AG361" s="1320"/>
      <c r="AH361" s="851"/>
      <c r="AI361" s="1248"/>
      <c r="AJ361" s="1248"/>
      <c r="AK361" s="1263"/>
      <c r="AL361" s="1264"/>
      <c r="AM361" s="1331"/>
      <c r="AN361" s="1317"/>
      <c r="AO361" s="1276"/>
      <c r="AP361" s="1277"/>
      <c r="AQ361" s="1276"/>
      <c r="AR361" s="1278"/>
      <c r="AS361" s="1278"/>
    </row>
    <row r="362" spans="1:49" ht="15.6">
      <c r="A362" s="1097" t="s">
        <v>53</v>
      </c>
      <c r="B362" s="1103" t="s">
        <v>864</v>
      </c>
      <c r="C362" s="851" t="s">
        <v>865</v>
      </c>
      <c r="D362" s="1098" t="s">
        <v>866</v>
      </c>
      <c r="E362" s="1461" t="s">
        <v>125</v>
      </c>
      <c r="F362" s="856">
        <v>2024</v>
      </c>
      <c r="G362" s="1099">
        <v>45270</v>
      </c>
      <c r="H362" s="1192">
        <v>200104493</v>
      </c>
      <c r="I362" s="1440" t="s">
        <v>867</v>
      </c>
      <c r="J362" s="1109">
        <v>1</v>
      </c>
      <c r="K362" s="3" t="s">
        <v>60</v>
      </c>
      <c r="L362" s="3" t="s">
        <v>60</v>
      </c>
      <c r="M362" s="762">
        <v>147.41</v>
      </c>
      <c r="N362" s="889">
        <v>260.02999999999997</v>
      </c>
      <c r="O362" s="958">
        <v>45278</v>
      </c>
      <c r="P362" s="958">
        <v>45275</v>
      </c>
      <c r="Q362" s="764">
        <v>2.0699999999999998</v>
      </c>
      <c r="R362" s="3" t="s">
        <v>868</v>
      </c>
      <c r="S362" s="856" t="s">
        <v>62</v>
      </c>
      <c r="T362" s="3" t="s">
        <v>130</v>
      </c>
      <c r="U362" s="3" t="s">
        <v>130</v>
      </c>
      <c r="V362" s="786">
        <v>317.5</v>
      </c>
      <c r="W362" s="762">
        <v>273.39999999999998</v>
      </c>
      <c r="X362" s="958">
        <v>45278</v>
      </c>
      <c r="Y362" s="958">
        <v>45279</v>
      </c>
      <c r="Z362" s="851" t="s">
        <v>62</v>
      </c>
      <c r="AA362" s="892">
        <v>45279</v>
      </c>
      <c r="AB362" s="1099">
        <v>45189</v>
      </c>
      <c r="AC362" s="1099">
        <v>45189</v>
      </c>
      <c r="AD362" s="1226">
        <f>440+132</f>
        <v>572</v>
      </c>
      <c r="AE362" s="1227">
        <f t="shared" ref="AE362:AE364" si="42">AD362/595</f>
        <v>0.96134453781512608</v>
      </c>
      <c r="AF362" s="1315" t="s">
        <v>131</v>
      </c>
      <c r="AG362" s="1317">
        <v>1</v>
      </c>
      <c r="AH362" s="1076" t="s">
        <v>869</v>
      </c>
      <c r="AI362" s="1266">
        <v>45300</v>
      </c>
      <c r="AJ362" s="1266">
        <v>45301</v>
      </c>
      <c r="AK362" s="1267">
        <f>37000+41300+68100+21508</f>
        <v>167908</v>
      </c>
      <c r="AL362" s="1264">
        <f t="shared" ref="AL362:AL364" si="43">AK362/175000</f>
        <v>0.95947428571428572</v>
      </c>
      <c r="AM362" s="1252" t="s">
        <v>62</v>
      </c>
      <c r="AN362" s="1262">
        <v>1</v>
      </c>
      <c r="AO362" s="1276"/>
      <c r="AP362" s="1277"/>
      <c r="AQ362" s="1276"/>
      <c r="AR362" s="1278"/>
      <c r="AS362" s="1278"/>
    </row>
    <row r="363" spans="1:49" ht="15.6">
      <c r="A363" s="1097" t="s">
        <v>53</v>
      </c>
      <c r="B363" s="1103" t="s">
        <v>864</v>
      </c>
      <c r="C363" s="851" t="s">
        <v>865</v>
      </c>
      <c r="D363" s="1098" t="s">
        <v>866</v>
      </c>
      <c r="E363" s="1461" t="s">
        <v>125</v>
      </c>
      <c r="F363" s="856">
        <v>2024</v>
      </c>
      <c r="G363" s="1099">
        <v>45270</v>
      </c>
      <c r="H363" s="1192">
        <v>200104494</v>
      </c>
      <c r="I363" s="1440" t="s">
        <v>870</v>
      </c>
      <c r="J363" s="1109">
        <v>2</v>
      </c>
      <c r="K363" s="3" t="s">
        <v>60</v>
      </c>
      <c r="L363" s="3" t="s">
        <v>60</v>
      </c>
      <c r="M363" s="762">
        <v>148.75</v>
      </c>
      <c r="N363" s="889">
        <v>264.69</v>
      </c>
      <c r="O363" s="958">
        <v>45279</v>
      </c>
      <c r="P363" s="958">
        <v>45275</v>
      </c>
      <c r="Q363" s="764">
        <v>2.15</v>
      </c>
      <c r="R363" s="3" t="s">
        <v>871</v>
      </c>
      <c r="S363" s="856" t="s">
        <v>62</v>
      </c>
      <c r="T363" s="3" t="s">
        <v>130</v>
      </c>
      <c r="U363" s="3" t="s">
        <v>130</v>
      </c>
      <c r="V363" s="786">
        <v>320.10000000000002</v>
      </c>
      <c r="W363" s="3">
        <v>278.10000000000002</v>
      </c>
      <c r="X363" s="958">
        <v>45278</v>
      </c>
      <c r="Y363" s="958">
        <v>45279</v>
      </c>
      <c r="Z363" s="851" t="s">
        <v>62</v>
      </c>
      <c r="AA363" s="892">
        <v>45279</v>
      </c>
      <c r="AB363" s="1099">
        <v>45189</v>
      </c>
      <c r="AC363" s="1099">
        <v>45281</v>
      </c>
      <c r="AD363" s="1226">
        <f>450+127</f>
        <v>577</v>
      </c>
      <c r="AE363" s="1227">
        <f t="shared" si="42"/>
        <v>0.96974789915966386</v>
      </c>
      <c r="AF363" s="1315" t="s">
        <v>131</v>
      </c>
      <c r="AG363" s="1317">
        <v>1</v>
      </c>
      <c r="AH363" s="1076" t="s">
        <v>869</v>
      </c>
      <c r="AI363" s="1266">
        <v>45299</v>
      </c>
      <c r="AJ363" s="1266">
        <v>45373</v>
      </c>
      <c r="AK363" s="1267">
        <f>50400+60600+30800+6176+14100</f>
        <v>162076</v>
      </c>
      <c r="AL363" s="1264">
        <f t="shared" si="43"/>
        <v>0.92614857142857143</v>
      </c>
      <c r="AM363" s="1252" t="s">
        <v>62</v>
      </c>
      <c r="AN363" s="1262">
        <v>1</v>
      </c>
      <c r="AO363" s="1276">
        <v>14100</v>
      </c>
      <c r="AP363" s="1277">
        <v>45373</v>
      </c>
      <c r="AQ363" s="1276" t="s">
        <v>617</v>
      </c>
      <c r="AR363" s="1278"/>
      <c r="AS363" s="1278"/>
    </row>
    <row r="364" spans="1:49" ht="15.6">
      <c r="A364" s="1097" t="s">
        <v>53</v>
      </c>
      <c r="B364" s="1103" t="s">
        <v>864</v>
      </c>
      <c r="C364" s="851" t="s">
        <v>865</v>
      </c>
      <c r="D364" s="1098" t="s">
        <v>866</v>
      </c>
      <c r="E364" s="1461" t="s">
        <v>125</v>
      </c>
      <c r="F364" s="856">
        <v>2024</v>
      </c>
      <c r="G364" s="1099">
        <v>45270</v>
      </c>
      <c r="H364" s="1192">
        <v>200104495</v>
      </c>
      <c r="I364" s="1440" t="s">
        <v>872</v>
      </c>
      <c r="J364" s="1109">
        <v>3</v>
      </c>
      <c r="K364" s="3" t="s">
        <v>60</v>
      </c>
      <c r="L364" s="3" t="s">
        <v>60</v>
      </c>
      <c r="M364" s="762">
        <v>149.05000000000001</v>
      </c>
      <c r="N364" s="762">
        <v>259.39999999999998</v>
      </c>
      <c r="O364" s="958">
        <v>45280</v>
      </c>
      <c r="P364" s="958">
        <v>45281</v>
      </c>
      <c r="Q364" s="764">
        <v>1.87</v>
      </c>
      <c r="R364" s="3" t="s">
        <v>873</v>
      </c>
      <c r="S364" s="856" t="s">
        <v>62</v>
      </c>
      <c r="T364" s="3" t="s">
        <v>130</v>
      </c>
      <c r="U364" s="3" t="s">
        <v>130</v>
      </c>
      <c r="V364" s="762">
        <v>319.8</v>
      </c>
      <c r="W364" s="762">
        <v>272.8</v>
      </c>
      <c r="X364" s="958">
        <v>45281</v>
      </c>
      <c r="Y364" s="958">
        <v>45281</v>
      </c>
      <c r="Z364" s="851" t="s">
        <v>62</v>
      </c>
      <c r="AA364" s="892">
        <v>45281</v>
      </c>
      <c r="AB364" s="1099">
        <v>45281</v>
      </c>
      <c r="AC364" s="1099">
        <v>45281</v>
      </c>
      <c r="AD364" s="1226">
        <f>136+436</f>
        <v>572</v>
      </c>
      <c r="AE364" s="1227">
        <f t="shared" si="42"/>
        <v>0.96134453781512608</v>
      </c>
      <c r="AF364" s="1315" t="s">
        <v>131</v>
      </c>
      <c r="AG364" s="1317">
        <v>1</v>
      </c>
      <c r="AH364" s="1076" t="s">
        <v>869</v>
      </c>
      <c r="AI364" s="1266">
        <v>45294</v>
      </c>
      <c r="AJ364" s="1266">
        <v>45296</v>
      </c>
      <c r="AK364" s="1267">
        <f>27800+56000+40000+7800+33000+2928+AO364</f>
        <v>170403</v>
      </c>
      <c r="AL364" s="1264">
        <f t="shared" si="43"/>
        <v>0.97373142857142858</v>
      </c>
      <c r="AM364" s="1332" t="s">
        <v>62</v>
      </c>
      <c r="AN364" s="1261">
        <v>1</v>
      </c>
      <c r="AO364" s="1276">
        <v>2875</v>
      </c>
      <c r="AP364" s="1277">
        <v>45373</v>
      </c>
      <c r="AQ364" s="1276" t="s">
        <v>617</v>
      </c>
      <c r="AR364" s="1278"/>
      <c r="AS364" s="1278"/>
    </row>
    <row r="365" spans="1:49" ht="15.6">
      <c r="A365" s="1097"/>
      <c r="B365" s="1103" t="s">
        <v>874</v>
      </c>
      <c r="C365" s="851" t="s">
        <v>875</v>
      </c>
      <c r="D365" s="1098"/>
      <c r="E365" s="1076"/>
      <c r="F365" s="856"/>
      <c r="G365" s="1099"/>
      <c r="H365" s="1192"/>
      <c r="I365" s="1440" t="s">
        <v>867</v>
      </c>
      <c r="J365" s="1109"/>
      <c r="K365" s="3" t="s">
        <v>60</v>
      </c>
      <c r="L365" s="3"/>
      <c r="M365" s="762">
        <v>153.38</v>
      </c>
      <c r="N365" s="786"/>
      <c r="O365" s="958">
        <v>45279</v>
      </c>
      <c r="P365" s="1324"/>
      <c r="Q365" s="764">
        <v>2.96</v>
      </c>
      <c r="R365" s="784"/>
      <c r="S365" s="856" t="s">
        <v>62</v>
      </c>
      <c r="T365" s="851"/>
      <c r="U365" s="851"/>
      <c r="V365" s="851"/>
      <c r="W365" s="851"/>
      <c r="X365" s="1179"/>
      <c r="Y365" s="1205"/>
      <c r="Z365" s="851"/>
      <c r="AA365" s="1232"/>
      <c r="AB365" s="1099"/>
      <c r="AC365" s="1099"/>
      <c r="AD365" s="1226"/>
      <c r="AE365" s="1227"/>
      <c r="AF365" s="1315"/>
      <c r="AG365" s="1317"/>
      <c r="AH365" s="1076"/>
      <c r="AI365" s="1266"/>
      <c r="AJ365" s="1266"/>
      <c r="AK365" s="1267"/>
      <c r="AL365" s="1264"/>
      <c r="AM365" s="1333"/>
      <c r="AN365" s="1334"/>
      <c r="AO365" s="1276"/>
      <c r="AP365" s="1277"/>
      <c r="AQ365" s="1276"/>
      <c r="AR365" s="1278"/>
      <c r="AS365" s="1278"/>
    </row>
    <row r="366" spans="1:49" ht="15.6">
      <c r="A366" s="1097"/>
      <c r="B366" s="1103" t="s">
        <v>874</v>
      </c>
      <c r="C366" s="851" t="s">
        <v>875</v>
      </c>
      <c r="D366" s="1098"/>
      <c r="E366" s="1076"/>
      <c r="F366" s="856"/>
      <c r="G366" s="1099"/>
      <c r="H366" s="1192"/>
      <c r="I366" s="1440" t="s">
        <v>870</v>
      </c>
      <c r="J366" s="1109"/>
      <c r="K366" s="3" t="s">
        <v>60</v>
      </c>
      <c r="L366" s="3"/>
      <c r="M366" s="762">
        <v>154.47999999999999</v>
      </c>
      <c r="N366" s="786"/>
      <c r="O366" s="958">
        <v>45279</v>
      </c>
      <c r="P366" s="1324"/>
      <c r="Q366" s="764">
        <v>2.89</v>
      </c>
      <c r="R366" s="784"/>
      <c r="S366" s="856" t="s">
        <v>62</v>
      </c>
      <c r="T366" s="851"/>
      <c r="U366" s="851"/>
      <c r="V366" s="851"/>
      <c r="W366" s="851"/>
      <c r="X366" s="1179"/>
      <c r="Y366" s="1205"/>
      <c r="Z366" s="851"/>
      <c r="AA366" s="1232"/>
      <c r="AB366" s="1099"/>
      <c r="AC366" s="1099"/>
      <c r="AD366" s="1226"/>
      <c r="AE366" s="1227"/>
      <c r="AF366" s="1315"/>
      <c r="AG366" s="1317"/>
      <c r="AH366" s="1076"/>
      <c r="AI366" s="1266"/>
      <c r="AJ366" s="1266"/>
      <c r="AK366" s="1267"/>
      <c r="AL366" s="1264"/>
      <c r="AM366" s="1333"/>
      <c r="AN366" s="1334"/>
      <c r="AO366" s="1276"/>
      <c r="AP366" s="1277"/>
      <c r="AQ366" s="1276"/>
      <c r="AR366" s="1278"/>
      <c r="AS366" s="1278"/>
    </row>
    <row r="367" spans="1:49" ht="15.6">
      <c r="A367" s="1097"/>
      <c r="B367" s="1103" t="s">
        <v>874</v>
      </c>
      <c r="C367" s="851" t="s">
        <v>875</v>
      </c>
      <c r="D367" s="1098"/>
      <c r="E367" s="1076"/>
      <c r="F367" s="856"/>
      <c r="G367" s="1099"/>
      <c r="H367" s="1192"/>
      <c r="I367" s="1440" t="s">
        <v>872</v>
      </c>
      <c r="J367" s="1109"/>
      <c r="K367" s="3" t="s">
        <v>60</v>
      </c>
      <c r="L367" s="3"/>
      <c r="M367" s="762">
        <v>153.47</v>
      </c>
      <c r="N367" s="786"/>
      <c r="O367" s="958">
        <v>45280</v>
      </c>
      <c r="P367" s="1324"/>
      <c r="Q367" s="764">
        <v>2.64</v>
      </c>
      <c r="R367" s="784"/>
      <c r="S367" s="856" t="s">
        <v>62</v>
      </c>
      <c r="T367" s="851"/>
      <c r="U367" s="851"/>
      <c r="V367" s="851"/>
      <c r="W367" s="851"/>
      <c r="X367" s="1179"/>
      <c r="Y367" s="1205"/>
      <c r="Z367" s="851"/>
      <c r="AA367" s="1232"/>
      <c r="AB367" s="1099"/>
      <c r="AC367" s="1099"/>
      <c r="AD367" s="1226"/>
      <c r="AE367" s="1227"/>
      <c r="AF367" s="1315"/>
      <c r="AG367" s="1317"/>
      <c r="AH367" s="1076"/>
      <c r="AI367" s="1266"/>
      <c r="AJ367" s="1266"/>
      <c r="AK367" s="1267"/>
      <c r="AL367" s="1264"/>
      <c r="AM367" s="1333"/>
      <c r="AN367" s="1334"/>
      <c r="AO367" s="1276"/>
      <c r="AP367" s="1277"/>
      <c r="AQ367" s="1276"/>
      <c r="AR367" s="1278"/>
      <c r="AS367" s="1278"/>
    </row>
    <row r="368" spans="1:49" ht="15.6">
      <c r="A368" s="1097"/>
      <c r="B368" s="1103"/>
      <c r="C368" s="851"/>
      <c r="D368" s="1098"/>
      <c r="E368" s="1076"/>
      <c r="F368" s="856"/>
      <c r="G368" s="1099"/>
      <c r="H368" s="1192"/>
      <c r="I368" s="1279"/>
      <c r="J368" s="1109"/>
      <c r="K368" s="851"/>
      <c r="L368" s="851"/>
      <c r="M368" s="851"/>
      <c r="N368" s="851"/>
      <c r="O368" s="1205"/>
      <c r="P368" s="1205"/>
      <c r="Q368" s="851"/>
      <c r="R368" s="851"/>
      <c r="S368" s="851"/>
      <c r="T368" s="851"/>
      <c r="U368" s="851"/>
      <c r="V368" s="851"/>
      <c r="W368" s="851"/>
      <c r="X368" s="1179"/>
      <c r="Y368" s="1205"/>
      <c r="Z368" s="851"/>
      <c r="AA368" s="1232"/>
      <c r="AB368" s="1099"/>
      <c r="AC368" s="1099"/>
      <c r="AD368" s="1226"/>
      <c r="AE368" s="1227"/>
      <c r="AF368" s="1315"/>
      <c r="AG368" s="1317"/>
      <c r="AH368" s="1076"/>
      <c r="AI368" s="1266"/>
      <c r="AJ368" s="1266"/>
      <c r="AK368" s="1267"/>
      <c r="AL368" s="1264"/>
      <c r="AM368" s="1333"/>
      <c r="AN368" s="1334"/>
      <c r="AO368" s="1276"/>
      <c r="AP368" s="1277"/>
      <c r="AQ368" s="1276"/>
      <c r="AR368" s="1278"/>
      <c r="AS368" s="1278"/>
    </row>
    <row r="369" spans="1:45" ht="15.6">
      <c r="A369" s="1097" t="s">
        <v>53</v>
      </c>
      <c r="B369" s="1103"/>
      <c r="C369" s="851"/>
      <c r="D369" s="1098"/>
      <c r="E369" s="1076"/>
      <c r="F369" s="1076"/>
      <c r="G369" s="1099"/>
      <c r="H369" s="1192"/>
      <c r="I369" s="1192"/>
      <c r="J369" s="1144"/>
      <c r="K369" s="851"/>
      <c r="L369" s="851"/>
      <c r="M369" s="851"/>
      <c r="N369" s="851"/>
      <c r="O369" s="1205"/>
      <c r="P369" s="1205"/>
      <c r="Q369" s="851"/>
      <c r="R369" s="851"/>
      <c r="S369" s="851"/>
      <c r="T369" s="851"/>
      <c r="U369" s="851"/>
      <c r="V369" s="851"/>
      <c r="W369" s="851"/>
      <c r="X369" s="1179"/>
      <c r="Y369" s="1205"/>
      <c r="Z369" s="851"/>
      <c r="AA369" s="1284"/>
      <c r="AB369" s="1099"/>
      <c r="AC369" s="1099"/>
      <c r="AD369" s="1226"/>
      <c r="AE369" s="1264"/>
      <c r="AF369" s="1315"/>
      <c r="AG369" s="1317"/>
      <c r="AH369" s="1076"/>
      <c r="AI369" s="1266"/>
      <c r="AJ369" s="1266"/>
      <c r="AK369" s="1267"/>
      <c r="AL369" s="1264"/>
      <c r="AM369" s="1335"/>
      <c r="AN369" s="1334"/>
      <c r="AO369" s="1276"/>
      <c r="AP369" s="1277"/>
      <c r="AQ369" s="1276"/>
      <c r="AR369" s="1278"/>
      <c r="AS369" s="1278"/>
    </row>
    <row r="370" spans="1:45" ht="15.6">
      <c r="A370" s="1097" t="s">
        <v>53</v>
      </c>
      <c r="B370" s="1103" t="s">
        <v>864</v>
      </c>
      <c r="C370" s="851" t="s">
        <v>865</v>
      </c>
      <c r="D370" s="1098" t="s">
        <v>866</v>
      </c>
      <c r="E370" s="1461" t="s">
        <v>163</v>
      </c>
      <c r="F370" s="856">
        <v>2024</v>
      </c>
      <c r="G370" s="1099">
        <v>45334</v>
      </c>
      <c r="H370" s="1192">
        <v>200104659</v>
      </c>
      <c r="I370" s="1462" t="s">
        <v>876</v>
      </c>
      <c r="J370" s="1144">
        <v>1</v>
      </c>
      <c r="K370" s="3" t="s">
        <v>60</v>
      </c>
      <c r="L370" s="3" t="s">
        <v>128</v>
      </c>
      <c r="M370" s="3">
        <v>147.54</v>
      </c>
      <c r="N370" s="762">
        <v>258.44</v>
      </c>
      <c r="O370" s="958">
        <v>45278</v>
      </c>
      <c r="P370" s="958">
        <v>45275</v>
      </c>
      <c r="Q370" s="764">
        <v>2.0699999999999998</v>
      </c>
      <c r="R370" s="3" t="s">
        <v>868</v>
      </c>
      <c r="S370" s="856" t="s">
        <v>62</v>
      </c>
      <c r="T370" s="3" t="s">
        <v>130</v>
      </c>
      <c r="U370" s="3" t="s">
        <v>130</v>
      </c>
      <c r="V370" s="786">
        <v>317.5</v>
      </c>
      <c r="W370" s="762">
        <v>273.39999999999998</v>
      </c>
      <c r="X370" s="958">
        <v>45335</v>
      </c>
      <c r="Y370" s="958">
        <v>45335</v>
      </c>
      <c r="Z370" s="851" t="s">
        <v>62</v>
      </c>
      <c r="AA370" s="1232"/>
      <c r="AB370" s="1099">
        <v>45338</v>
      </c>
      <c r="AC370" s="1099">
        <v>45338</v>
      </c>
      <c r="AD370" s="1226">
        <f>230+340</f>
        <v>570</v>
      </c>
      <c r="AE370" s="1227">
        <f>AD370/595</f>
        <v>0.95798319327731096</v>
      </c>
      <c r="AF370" s="1315" t="s">
        <v>131</v>
      </c>
      <c r="AG370" s="1317">
        <v>1</v>
      </c>
      <c r="AH370" s="1076" t="s">
        <v>869</v>
      </c>
      <c r="AI370" s="1266">
        <v>45371</v>
      </c>
      <c r="AJ370" s="1266">
        <v>45371</v>
      </c>
      <c r="AK370" s="1267">
        <f>2700+60000+56000+17000+3500+550+8000+27707</f>
        <v>175457</v>
      </c>
      <c r="AL370" s="1264">
        <f>AK370/175000</f>
        <v>1.0026114285714285</v>
      </c>
      <c r="AM370" s="1332" t="s">
        <v>62</v>
      </c>
      <c r="AN370" s="1261">
        <v>1</v>
      </c>
      <c r="AO370" s="1276">
        <v>4121</v>
      </c>
      <c r="AP370" s="1277">
        <v>45373</v>
      </c>
      <c r="AQ370" s="1276" t="s">
        <v>617</v>
      </c>
      <c r="AR370" s="1278"/>
      <c r="AS370" s="1278"/>
    </row>
    <row r="371" spans="1:45" ht="15.6">
      <c r="A371" s="1097" t="s">
        <v>53</v>
      </c>
      <c r="B371" s="1103" t="s">
        <v>864</v>
      </c>
      <c r="C371" s="851" t="s">
        <v>865</v>
      </c>
      <c r="D371" s="1098" t="s">
        <v>866</v>
      </c>
      <c r="E371" s="1461" t="s">
        <v>163</v>
      </c>
      <c r="F371" s="856">
        <v>2024</v>
      </c>
      <c r="G371" s="1099">
        <v>45334</v>
      </c>
      <c r="H371" s="1192">
        <v>200105020</v>
      </c>
      <c r="I371" s="1462" t="s">
        <v>877</v>
      </c>
      <c r="J371" s="1144">
        <v>2</v>
      </c>
      <c r="K371" s="3" t="s">
        <v>60</v>
      </c>
      <c r="L371" s="3" t="s">
        <v>128</v>
      </c>
      <c r="M371" s="3">
        <v>147.78</v>
      </c>
      <c r="N371" s="762">
        <v>261.97000000000003</v>
      </c>
      <c r="O371" s="958">
        <v>45279</v>
      </c>
      <c r="P371" s="958">
        <v>45275</v>
      </c>
      <c r="Q371" s="764">
        <v>2.15</v>
      </c>
      <c r="R371" s="3" t="s">
        <v>871</v>
      </c>
      <c r="S371" s="856" t="s">
        <v>62</v>
      </c>
      <c r="T371" s="3" t="s">
        <v>130</v>
      </c>
      <c r="U371" s="3" t="s">
        <v>130</v>
      </c>
      <c r="V371" s="786">
        <v>320.10000000000002</v>
      </c>
      <c r="W371" s="3">
        <v>278.10000000000002</v>
      </c>
      <c r="X371" s="958">
        <v>45335</v>
      </c>
      <c r="Y371" s="958">
        <v>45335</v>
      </c>
      <c r="Z371" s="851" t="s">
        <v>62</v>
      </c>
      <c r="AA371" s="1232"/>
      <c r="AB371" s="1099">
        <v>45338</v>
      </c>
      <c r="AC371" s="1099">
        <v>45338</v>
      </c>
      <c r="AD371" s="1226">
        <f>315+265</f>
        <v>580</v>
      </c>
      <c r="AE371" s="1227">
        <f>AD371/595</f>
        <v>0.97478991596638653</v>
      </c>
      <c r="AF371" s="1315" t="s">
        <v>131</v>
      </c>
      <c r="AG371" s="1317">
        <v>1</v>
      </c>
      <c r="AH371" s="1076" t="s">
        <v>869</v>
      </c>
      <c r="AI371" s="1266">
        <v>45371</v>
      </c>
      <c r="AJ371" s="1266">
        <v>45373</v>
      </c>
      <c r="AK371" s="1267">
        <f>29000+45500+4000+53700+38168</f>
        <v>170368</v>
      </c>
      <c r="AL371" s="1264">
        <f>AK371/175000</f>
        <v>0.9735314285714286</v>
      </c>
      <c r="AM371" s="1332" t="s">
        <v>62</v>
      </c>
      <c r="AN371" s="1261">
        <v>1</v>
      </c>
      <c r="AO371" s="1276"/>
      <c r="AP371" s="1277"/>
      <c r="AQ371" s="1276"/>
      <c r="AR371" s="1278"/>
      <c r="AS371" s="1278"/>
    </row>
    <row r="372" spans="1:45" ht="15.6">
      <c r="A372" s="1097"/>
      <c r="B372" s="1103" t="s">
        <v>874</v>
      </c>
      <c r="C372" s="851" t="s">
        <v>875</v>
      </c>
      <c r="D372" s="1098"/>
      <c r="E372" s="1076"/>
      <c r="F372" s="856"/>
      <c r="G372" s="1099"/>
      <c r="H372" s="1192"/>
      <c r="I372" s="1462" t="s">
        <v>876</v>
      </c>
      <c r="J372" s="1144"/>
      <c r="K372" s="3" t="s">
        <v>60</v>
      </c>
      <c r="L372" s="3"/>
      <c r="M372" s="762">
        <v>153.69999999999999</v>
      </c>
      <c r="N372" s="786"/>
      <c r="O372" s="958">
        <v>45280</v>
      </c>
      <c r="P372" s="958">
        <v>45281</v>
      </c>
      <c r="Q372" s="764">
        <v>1.87</v>
      </c>
      <c r="R372" s="3" t="s">
        <v>873</v>
      </c>
      <c r="S372" s="856" t="s">
        <v>62</v>
      </c>
      <c r="T372" s="3" t="s">
        <v>130</v>
      </c>
      <c r="U372" s="3" t="s">
        <v>130</v>
      </c>
      <c r="V372" s="762">
        <v>319.8</v>
      </c>
      <c r="W372" s="762">
        <v>272.8</v>
      </c>
      <c r="X372" s="1179"/>
      <c r="Y372" s="1205"/>
      <c r="Z372" s="851"/>
      <c r="AA372" s="1232"/>
      <c r="AB372" s="1099"/>
      <c r="AC372" s="1099"/>
      <c r="AD372" s="1226"/>
      <c r="AE372" s="1227"/>
      <c r="AF372" s="1315"/>
      <c r="AG372" s="1317"/>
      <c r="AH372" s="1076"/>
      <c r="AI372" s="1266"/>
      <c r="AJ372" s="1266"/>
      <c r="AK372" s="1267"/>
      <c r="AL372" s="1264"/>
      <c r="AM372" s="1333"/>
      <c r="AN372" s="1334"/>
      <c r="AO372" s="1276"/>
      <c r="AP372" s="1277"/>
      <c r="AQ372" s="1276"/>
      <c r="AR372" s="1278"/>
      <c r="AS372" s="1278"/>
    </row>
    <row r="373" spans="1:45" ht="15.6">
      <c r="A373" s="1097"/>
      <c r="B373" s="1103" t="s">
        <v>874</v>
      </c>
      <c r="C373" s="851" t="s">
        <v>875</v>
      </c>
      <c r="D373" s="1098"/>
      <c r="E373" s="1076"/>
      <c r="F373" s="856"/>
      <c r="G373" s="1099"/>
      <c r="H373" s="1192"/>
      <c r="I373" s="1462" t="s">
        <v>877</v>
      </c>
      <c r="J373" s="1144"/>
      <c r="K373" s="3" t="s">
        <v>60</v>
      </c>
      <c r="L373" s="3"/>
      <c r="M373" s="762">
        <v>153.76</v>
      </c>
      <c r="N373" s="786"/>
      <c r="O373" s="958">
        <v>45279</v>
      </c>
      <c r="P373" s="1324"/>
      <c r="Q373" s="764">
        <v>2.96</v>
      </c>
      <c r="R373" s="784"/>
      <c r="S373" s="856" t="s">
        <v>62</v>
      </c>
      <c r="T373" s="851"/>
      <c r="U373" s="851"/>
      <c r="V373" s="851"/>
      <c r="W373" s="851"/>
      <c r="X373" s="1179"/>
      <c r="Y373" s="1205"/>
      <c r="Z373" s="851"/>
      <c r="AA373" s="1232"/>
      <c r="AB373" s="1099"/>
      <c r="AC373" s="1099"/>
      <c r="AD373" s="1226"/>
      <c r="AE373" s="1227"/>
      <c r="AF373" s="1315"/>
      <c r="AG373" s="1317"/>
      <c r="AH373" s="1076"/>
      <c r="AI373" s="1266"/>
      <c r="AJ373" s="1266"/>
      <c r="AK373" s="1267"/>
      <c r="AL373" s="1264"/>
      <c r="AM373" s="1333"/>
      <c r="AN373" s="1334"/>
      <c r="AO373" s="1276"/>
      <c r="AP373" s="1277"/>
      <c r="AQ373" s="1276"/>
      <c r="AR373" s="1278"/>
      <c r="AS373" s="1278"/>
    </row>
    <row r="374" spans="1:45" ht="15.6">
      <c r="A374" s="1097"/>
      <c r="B374" s="1103"/>
      <c r="C374" s="851"/>
      <c r="D374" s="1098"/>
      <c r="E374" s="1076"/>
      <c r="F374" s="856"/>
      <c r="G374" s="1099"/>
      <c r="H374" s="1192"/>
      <c r="I374" s="1309"/>
      <c r="J374" s="1144"/>
      <c r="K374" s="851"/>
      <c r="L374" s="851"/>
      <c r="M374" s="851"/>
      <c r="N374" s="851"/>
      <c r="O374" s="958">
        <v>45279</v>
      </c>
      <c r="P374" s="1324"/>
      <c r="Q374" s="764">
        <v>2.89</v>
      </c>
      <c r="R374" s="784"/>
      <c r="S374" s="851"/>
      <c r="T374" s="851"/>
      <c r="U374" s="851"/>
      <c r="V374" s="851"/>
      <c r="W374" s="851"/>
      <c r="X374" s="1179"/>
      <c r="Y374" s="1205"/>
      <c r="Z374" s="851"/>
      <c r="AA374" s="1232"/>
      <c r="AB374" s="1099"/>
      <c r="AC374" s="1099"/>
      <c r="AD374" s="1226"/>
      <c r="AE374" s="1227"/>
      <c r="AF374" s="1315"/>
      <c r="AG374" s="1317"/>
      <c r="AH374" s="1076"/>
      <c r="AI374" s="1266"/>
      <c r="AJ374" s="1266"/>
      <c r="AK374" s="1267"/>
      <c r="AL374" s="1264"/>
      <c r="AM374" s="1333"/>
      <c r="AN374" s="1334"/>
      <c r="AO374" s="1276"/>
      <c r="AP374" s="1277"/>
      <c r="AQ374" s="1276"/>
      <c r="AR374" s="1278"/>
      <c r="AS374" s="1278"/>
    </row>
    <row r="375" spans="1:45" ht="15.6">
      <c r="A375" s="1097" t="s">
        <v>53</v>
      </c>
      <c r="B375" s="1103"/>
      <c r="C375" s="851"/>
      <c r="D375" s="1098"/>
      <c r="E375" s="1076"/>
      <c r="F375" s="1076"/>
      <c r="G375" s="1099"/>
      <c r="H375" s="1192"/>
      <c r="I375" s="1192"/>
      <c r="J375" s="1144"/>
      <c r="K375" s="851"/>
      <c r="L375" s="851"/>
      <c r="M375" s="851"/>
      <c r="N375" s="851"/>
      <c r="O375" s="958">
        <v>45280</v>
      </c>
      <c r="P375" s="1324"/>
      <c r="Q375" s="764">
        <v>2.64</v>
      </c>
      <c r="R375" s="784"/>
      <c r="S375" s="851"/>
      <c r="T375" s="851"/>
      <c r="U375" s="851"/>
      <c r="V375" s="851"/>
      <c r="W375" s="851"/>
      <c r="X375" s="1179"/>
      <c r="Y375" s="1205"/>
      <c r="Z375" s="851"/>
      <c r="AA375" s="1232"/>
      <c r="AB375" s="1099"/>
      <c r="AC375" s="1099"/>
      <c r="AD375" s="1226"/>
      <c r="AE375" s="1227"/>
      <c r="AF375" s="1315"/>
      <c r="AG375" s="1317"/>
      <c r="AH375" s="1076"/>
      <c r="AI375" s="1266"/>
      <c r="AJ375" s="1266"/>
      <c r="AK375" s="1267"/>
      <c r="AL375" s="1264"/>
      <c r="AM375" s="1335"/>
      <c r="AN375" s="1320"/>
      <c r="AO375" s="1276"/>
      <c r="AP375" s="1277"/>
      <c r="AQ375" s="1276"/>
      <c r="AR375" s="1278"/>
      <c r="AS375" s="1278"/>
    </row>
    <row r="376" spans="1:45" ht="15.6">
      <c r="A376" s="1097" t="s">
        <v>53</v>
      </c>
      <c r="B376" s="1103" t="s">
        <v>864</v>
      </c>
      <c r="C376" s="851" t="s">
        <v>865</v>
      </c>
      <c r="D376" s="1098" t="s">
        <v>866</v>
      </c>
      <c r="E376" s="1461" t="s">
        <v>213</v>
      </c>
      <c r="F376" s="856">
        <v>2024</v>
      </c>
      <c r="G376" s="1099">
        <v>45334</v>
      </c>
      <c r="H376" s="3">
        <v>200105021</v>
      </c>
      <c r="I376" s="1466" t="s">
        <v>878</v>
      </c>
      <c r="J376" s="1144">
        <v>1</v>
      </c>
      <c r="K376" s="3" t="s">
        <v>128</v>
      </c>
      <c r="L376" s="3" t="s">
        <v>60</v>
      </c>
      <c r="M376" s="786">
        <v>147.68</v>
      </c>
      <c r="N376" s="786">
        <v>260.10000000000002</v>
      </c>
      <c r="O376" s="958">
        <v>45359</v>
      </c>
      <c r="P376" s="958">
        <v>45359</v>
      </c>
      <c r="Q376" s="786">
        <v>2.17</v>
      </c>
      <c r="R376" s="3" t="s">
        <v>879</v>
      </c>
      <c r="S376" s="856" t="s">
        <v>62</v>
      </c>
      <c r="T376" s="3" t="s">
        <v>130</v>
      </c>
      <c r="U376" s="3" t="s">
        <v>130</v>
      </c>
      <c r="V376" s="762">
        <v>317.5</v>
      </c>
      <c r="W376" s="762">
        <v>273.89999999999998</v>
      </c>
      <c r="X376" s="958">
        <v>45363</v>
      </c>
      <c r="Y376" s="958">
        <v>45359</v>
      </c>
      <c r="Z376" s="851" t="s">
        <v>62</v>
      </c>
      <c r="AA376" s="1232"/>
      <c r="AB376" s="1099">
        <v>45364</v>
      </c>
      <c r="AC376" s="1099">
        <v>45364</v>
      </c>
      <c r="AD376" s="1226">
        <f>100+473</f>
        <v>573</v>
      </c>
      <c r="AE376" s="1227">
        <f t="shared" ref="AE376:AE379" si="44">AD376/595</f>
        <v>0.96302521008403363</v>
      </c>
      <c r="AF376" s="1315" t="s">
        <v>131</v>
      </c>
      <c r="AG376" s="1317">
        <v>1</v>
      </c>
      <c r="AH376" s="1076" t="s">
        <v>869</v>
      </c>
      <c r="AI376" s="1266">
        <v>45373</v>
      </c>
      <c r="AJ376" s="1266">
        <v>45376</v>
      </c>
      <c r="AK376" s="1267">
        <f>25100+25000+56000+56700+5751</f>
        <v>168551</v>
      </c>
      <c r="AL376" s="1264">
        <f t="shared" ref="AL376:AL379" si="45">AK376/175000</f>
        <v>0.96314857142857146</v>
      </c>
      <c r="AM376" s="1332" t="s">
        <v>62</v>
      </c>
      <c r="AN376" s="1261">
        <v>1</v>
      </c>
      <c r="AO376" s="1276">
        <v>1886</v>
      </c>
      <c r="AP376" s="1277">
        <v>45433</v>
      </c>
      <c r="AQ376" s="1276" t="s">
        <v>617</v>
      </c>
      <c r="AR376" s="1278"/>
      <c r="AS376" s="1278"/>
    </row>
    <row r="377" spans="1:45" ht="15.6">
      <c r="A377" s="1097" t="s">
        <v>53</v>
      </c>
      <c r="B377" s="1103" t="s">
        <v>864</v>
      </c>
      <c r="C377" s="851" t="s">
        <v>865</v>
      </c>
      <c r="D377" s="1098" t="s">
        <v>866</v>
      </c>
      <c r="E377" s="1461" t="s">
        <v>213</v>
      </c>
      <c r="F377" s="856">
        <v>2024</v>
      </c>
      <c r="G377" s="1099">
        <v>45334</v>
      </c>
      <c r="H377" s="3">
        <v>200105035</v>
      </c>
      <c r="I377" s="1444" t="s">
        <v>880</v>
      </c>
      <c r="J377" s="1144">
        <v>2</v>
      </c>
      <c r="K377" s="3" t="s">
        <v>128</v>
      </c>
      <c r="L377" s="3" t="s">
        <v>60</v>
      </c>
      <c r="M377" s="786">
        <v>148.22999999999999</v>
      </c>
      <c r="N377" s="786">
        <v>259.39</v>
      </c>
      <c r="O377" s="958">
        <v>45359</v>
      </c>
      <c r="P377" s="958">
        <v>45359</v>
      </c>
      <c r="Q377" s="786">
        <v>3.04</v>
      </c>
      <c r="R377" s="3" t="s">
        <v>881</v>
      </c>
      <c r="S377" s="856" t="s">
        <v>62</v>
      </c>
      <c r="T377" s="3" t="s">
        <v>130</v>
      </c>
      <c r="U377" s="3" t="s">
        <v>130</v>
      </c>
      <c r="V377" s="762">
        <v>317.8</v>
      </c>
      <c r="W377" s="762">
        <v>273.2</v>
      </c>
      <c r="X377" s="958">
        <v>45363</v>
      </c>
      <c r="Y377" s="958">
        <v>45359</v>
      </c>
      <c r="Z377" s="851" t="s">
        <v>62</v>
      </c>
      <c r="AA377" s="1232"/>
      <c r="AB377" s="1099">
        <v>45364</v>
      </c>
      <c r="AC377" s="1099">
        <v>45365</v>
      </c>
      <c r="AD377" s="1226">
        <f>265+55+248</f>
        <v>568</v>
      </c>
      <c r="AE377" s="1227">
        <f t="shared" si="44"/>
        <v>0.95462184873949585</v>
      </c>
      <c r="AF377" s="1315" t="s">
        <v>131</v>
      </c>
      <c r="AG377" s="1317">
        <v>1</v>
      </c>
      <c r="AH377" s="1076" t="s">
        <v>869</v>
      </c>
      <c r="AI377" s="1266">
        <v>45376</v>
      </c>
      <c r="AJ377" s="1266">
        <v>45377</v>
      </c>
      <c r="AK377" s="1267">
        <f>52900+70000+44102</f>
        <v>167002</v>
      </c>
      <c r="AL377" s="1264">
        <f t="shared" si="45"/>
        <v>0.95429714285714284</v>
      </c>
      <c r="AM377" s="1332" t="s">
        <v>62</v>
      </c>
      <c r="AN377" s="1261">
        <v>1</v>
      </c>
      <c r="AO377" s="1276"/>
      <c r="AP377" s="1277"/>
      <c r="AQ377" s="1276"/>
      <c r="AR377" s="1278"/>
      <c r="AS377" s="1278"/>
    </row>
    <row r="378" spans="1:45" ht="15.6">
      <c r="A378" s="1097" t="s">
        <v>53</v>
      </c>
      <c r="B378" s="1103" t="s">
        <v>864</v>
      </c>
      <c r="C378" s="851" t="s">
        <v>865</v>
      </c>
      <c r="D378" s="1098" t="s">
        <v>866</v>
      </c>
      <c r="E378" s="1461" t="s">
        <v>213</v>
      </c>
      <c r="F378" s="856">
        <v>2024</v>
      </c>
      <c r="G378" s="1099">
        <v>45350</v>
      </c>
      <c r="H378" s="3">
        <v>200105172</v>
      </c>
      <c r="I378" s="1467" t="s">
        <v>882</v>
      </c>
      <c r="J378" s="1144">
        <v>3</v>
      </c>
      <c r="K378" s="3" t="s">
        <v>128</v>
      </c>
      <c r="L378" s="3" t="s">
        <v>60</v>
      </c>
      <c r="M378" s="786">
        <v>148.72</v>
      </c>
      <c r="N378" s="786">
        <v>262.85000000000002</v>
      </c>
      <c r="O378" s="958">
        <v>45359</v>
      </c>
      <c r="P378" s="958">
        <v>45359</v>
      </c>
      <c r="Q378" s="786">
        <v>1.92</v>
      </c>
      <c r="R378" s="3" t="s">
        <v>883</v>
      </c>
      <c r="S378" s="856" t="s">
        <v>62</v>
      </c>
      <c r="T378" s="3" t="s">
        <v>130</v>
      </c>
      <c r="U378" s="3" t="s">
        <v>130</v>
      </c>
      <c r="V378" s="762">
        <v>320.89999999999998</v>
      </c>
      <c r="W378" s="762">
        <v>276.60000000000002</v>
      </c>
      <c r="X378" s="958">
        <v>45363</v>
      </c>
      <c r="Y378" s="958">
        <v>45359</v>
      </c>
      <c r="Z378" s="851" t="s">
        <v>62</v>
      </c>
      <c r="AA378" s="1232"/>
      <c r="AB378" s="1099">
        <v>45365</v>
      </c>
      <c r="AC378" s="1099">
        <v>45365</v>
      </c>
      <c r="AD378" s="1226">
        <f>400+175</f>
        <v>575</v>
      </c>
      <c r="AE378" s="1227">
        <f t="shared" si="44"/>
        <v>0.96638655462184875</v>
      </c>
      <c r="AF378" s="1315" t="s">
        <v>131</v>
      </c>
      <c r="AG378" s="1317">
        <v>1</v>
      </c>
      <c r="AH378" s="1076" t="s">
        <v>869</v>
      </c>
      <c r="AI378" s="1266">
        <v>45377</v>
      </c>
      <c r="AJ378" s="1266">
        <v>45378</v>
      </c>
      <c r="AK378" s="1267">
        <f>14700+65600+65000+23467</f>
        <v>168767</v>
      </c>
      <c r="AL378" s="1264">
        <f t="shared" si="45"/>
        <v>0.9643828571428571</v>
      </c>
      <c r="AM378" s="1332" t="s">
        <v>62</v>
      </c>
      <c r="AN378" s="1261">
        <v>1</v>
      </c>
      <c r="AO378" s="1276">
        <v>3707</v>
      </c>
      <c r="AP378" s="1277">
        <v>45433</v>
      </c>
      <c r="AQ378" s="1276" t="s">
        <v>617</v>
      </c>
      <c r="AR378" s="1278"/>
      <c r="AS378" s="1278"/>
    </row>
    <row r="379" spans="1:45" ht="15.6">
      <c r="A379" s="1097" t="s">
        <v>53</v>
      </c>
      <c r="B379" s="1103" t="s">
        <v>864</v>
      </c>
      <c r="C379" s="851" t="s">
        <v>865</v>
      </c>
      <c r="D379" s="1098" t="s">
        <v>866</v>
      </c>
      <c r="E379" s="1461" t="s">
        <v>213</v>
      </c>
      <c r="F379" s="856">
        <v>2024</v>
      </c>
      <c r="G379" s="1099">
        <v>45356</v>
      </c>
      <c r="H379" s="3">
        <v>200105252</v>
      </c>
      <c r="I379" s="1443" t="s">
        <v>884</v>
      </c>
      <c r="J379" s="1144">
        <v>4</v>
      </c>
      <c r="K379" s="3" t="s">
        <v>128</v>
      </c>
      <c r="L379" s="3" t="s">
        <v>60</v>
      </c>
      <c r="M379" s="786">
        <v>151.05000000000001</v>
      </c>
      <c r="N379" s="762">
        <v>260.89999999999998</v>
      </c>
      <c r="O379" s="958">
        <v>45359</v>
      </c>
      <c r="P379" s="958">
        <v>45364</v>
      </c>
      <c r="Q379" s="786">
        <v>2.17</v>
      </c>
      <c r="R379" s="3" t="s">
        <v>885</v>
      </c>
      <c r="S379" s="856" t="s">
        <v>62</v>
      </c>
      <c r="T379" s="3" t="s">
        <v>130</v>
      </c>
      <c r="U379" s="3" t="s">
        <v>130</v>
      </c>
      <c r="V379" s="762">
        <v>323.10000000000002</v>
      </c>
      <c r="W379" s="762">
        <v>274.56</v>
      </c>
      <c r="X379" s="958">
        <v>45363</v>
      </c>
      <c r="Y379" s="958">
        <v>45364</v>
      </c>
      <c r="Z379" s="851" t="s">
        <v>62</v>
      </c>
      <c r="AA379" s="1232"/>
      <c r="AB379" s="1099">
        <v>45365</v>
      </c>
      <c r="AC379" s="1099">
        <v>45365</v>
      </c>
      <c r="AD379" s="1226">
        <f>578</f>
        <v>578</v>
      </c>
      <c r="AE379" s="1227">
        <f t="shared" si="44"/>
        <v>0.97142857142857142</v>
      </c>
      <c r="AF379" s="1315" t="s">
        <v>131</v>
      </c>
      <c r="AG379" s="1317">
        <v>1</v>
      </c>
      <c r="AH379" s="1076" t="s">
        <v>869</v>
      </c>
      <c r="AI379" s="1266">
        <v>45378</v>
      </c>
      <c r="AJ379" s="1266">
        <v>45379</v>
      </c>
      <c r="AK379" s="1267">
        <f>37000+71000+15400+46539</f>
        <v>169939</v>
      </c>
      <c r="AL379" s="1264">
        <f t="shared" si="45"/>
        <v>0.97108000000000005</v>
      </c>
      <c r="AM379" s="1332" t="s">
        <v>62</v>
      </c>
      <c r="AN379" s="1261">
        <v>1</v>
      </c>
      <c r="AO379" s="1276"/>
      <c r="AP379" s="1277"/>
      <c r="AQ379" s="1276"/>
      <c r="AR379" s="1278"/>
      <c r="AS379" s="1278"/>
    </row>
    <row r="380" spans="1:45" ht="15.6">
      <c r="A380" s="1097"/>
      <c r="B380" s="1103" t="s">
        <v>874</v>
      </c>
      <c r="C380" s="851" t="s">
        <v>875</v>
      </c>
      <c r="D380" s="1098"/>
      <c r="E380" s="1076"/>
      <c r="F380" s="856"/>
      <c r="G380" s="1099"/>
      <c r="H380" s="3"/>
      <c r="I380" s="1466" t="s">
        <v>878</v>
      </c>
      <c r="J380" s="1144"/>
      <c r="K380" s="3" t="s">
        <v>60</v>
      </c>
      <c r="L380" s="3"/>
      <c r="M380" s="786">
        <v>153.30000000000001</v>
      </c>
      <c r="N380" s="786"/>
      <c r="O380" s="958">
        <v>45363</v>
      </c>
      <c r="P380" s="1324"/>
      <c r="Q380" s="786">
        <v>3.03</v>
      </c>
      <c r="R380" s="784"/>
      <c r="S380" s="856" t="s">
        <v>62</v>
      </c>
      <c r="T380" s="851"/>
      <c r="U380" s="851"/>
      <c r="V380" s="851"/>
      <c r="W380" s="851"/>
      <c r="X380" s="1179"/>
      <c r="Y380" s="1205"/>
      <c r="Z380" s="851"/>
      <c r="AA380" s="1232"/>
      <c r="AB380" s="1099"/>
      <c r="AC380" s="1099"/>
      <c r="AD380" s="1226"/>
      <c r="AE380" s="1227"/>
      <c r="AF380" s="1315"/>
      <c r="AG380" s="1317"/>
      <c r="AH380" s="1076"/>
      <c r="AI380" s="1266"/>
      <c r="AJ380" s="1266"/>
      <c r="AK380" s="1267"/>
      <c r="AL380" s="1264"/>
      <c r="AM380" s="1333"/>
      <c r="AN380" s="1334"/>
      <c r="AO380" s="1276"/>
      <c r="AP380" s="1277"/>
      <c r="AQ380" s="1276"/>
      <c r="AR380" s="1278"/>
      <c r="AS380" s="1278"/>
    </row>
    <row r="381" spans="1:45" ht="15.6">
      <c r="A381" s="1097"/>
      <c r="B381" s="1103" t="s">
        <v>874</v>
      </c>
      <c r="C381" s="851" t="s">
        <v>875</v>
      </c>
      <c r="D381" s="1098"/>
      <c r="E381" s="1076"/>
      <c r="F381" s="856"/>
      <c r="G381" s="1099"/>
      <c r="H381" s="3"/>
      <c r="I381" s="1444" t="s">
        <v>880</v>
      </c>
      <c r="J381" s="1144"/>
      <c r="K381" s="3" t="s">
        <v>60</v>
      </c>
      <c r="L381" s="3"/>
      <c r="M381" s="762">
        <v>152.58000000000001</v>
      </c>
      <c r="N381" s="786"/>
      <c r="O381" s="958">
        <v>45363</v>
      </c>
      <c r="P381" s="1324"/>
      <c r="Q381" s="762">
        <v>2.84</v>
      </c>
      <c r="R381" s="784"/>
      <c r="S381" s="856" t="s">
        <v>62</v>
      </c>
      <c r="T381" s="851"/>
      <c r="U381" s="851"/>
      <c r="V381" s="851"/>
      <c r="W381" s="851"/>
      <c r="X381" s="1179"/>
      <c r="Y381" s="1205"/>
      <c r="Z381" s="851"/>
      <c r="AA381" s="1232"/>
      <c r="AB381" s="1099"/>
      <c r="AC381" s="1099"/>
      <c r="AD381" s="1226"/>
      <c r="AE381" s="1227"/>
      <c r="AF381" s="1315"/>
      <c r="AG381" s="1317"/>
      <c r="AH381" s="1076"/>
      <c r="AI381" s="1266"/>
      <c r="AJ381" s="1266"/>
      <c r="AK381" s="1267"/>
      <c r="AL381" s="1264"/>
      <c r="AM381" s="1333"/>
      <c r="AN381" s="1334"/>
      <c r="AO381" s="1276"/>
      <c r="AP381" s="1277"/>
      <c r="AQ381" s="1276"/>
      <c r="AR381" s="1278"/>
      <c r="AS381" s="1278"/>
    </row>
    <row r="382" spans="1:45" ht="15.6">
      <c r="A382" s="1097"/>
      <c r="B382" s="1103" t="s">
        <v>874</v>
      </c>
      <c r="C382" s="851" t="s">
        <v>875</v>
      </c>
      <c r="D382" s="1098"/>
      <c r="E382" s="1076"/>
      <c r="F382" s="856"/>
      <c r="G382" s="1099"/>
      <c r="H382" s="3"/>
      <c r="I382" s="1467" t="s">
        <v>882</v>
      </c>
      <c r="J382" s="1144"/>
      <c r="K382" s="3" t="s">
        <v>60</v>
      </c>
      <c r="L382" s="3"/>
      <c r="M382" s="762">
        <v>155.19</v>
      </c>
      <c r="N382" s="786"/>
      <c r="O382" s="958">
        <v>45363</v>
      </c>
      <c r="P382" s="1324"/>
      <c r="Q382" s="762">
        <v>2.74</v>
      </c>
      <c r="R382" s="784"/>
      <c r="S382" s="856" t="s">
        <v>62</v>
      </c>
      <c r="T382" s="851"/>
      <c r="U382" s="851"/>
      <c r="V382" s="851"/>
      <c r="W382" s="851"/>
      <c r="X382" s="1179"/>
      <c r="Y382" s="1205"/>
      <c r="Z382" s="851"/>
      <c r="AA382" s="1232"/>
      <c r="AB382" s="1099"/>
      <c r="AC382" s="1099"/>
      <c r="AD382" s="1226"/>
      <c r="AE382" s="1227"/>
      <c r="AF382" s="1315"/>
      <c r="AG382" s="1317"/>
      <c r="AH382" s="1076"/>
      <c r="AI382" s="1266"/>
      <c r="AJ382" s="1266"/>
      <c r="AK382" s="1267"/>
      <c r="AL382" s="1264"/>
      <c r="AM382" s="1333"/>
      <c r="AN382" s="1334"/>
      <c r="AO382" s="1276"/>
      <c r="AP382" s="1277"/>
      <c r="AQ382" s="1276"/>
      <c r="AR382" s="1278"/>
      <c r="AS382" s="1278"/>
    </row>
    <row r="383" spans="1:45" ht="15.6">
      <c r="A383" s="1097"/>
      <c r="B383" s="1103" t="s">
        <v>874</v>
      </c>
      <c r="C383" s="851" t="s">
        <v>875</v>
      </c>
      <c r="D383" s="1098"/>
      <c r="E383" s="1076"/>
      <c r="F383" s="856"/>
      <c r="G383" s="1099"/>
      <c r="H383" s="3"/>
      <c r="I383" s="1443" t="s">
        <v>884</v>
      </c>
      <c r="J383" s="1144"/>
      <c r="K383" s="3" t="s">
        <v>60</v>
      </c>
      <c r="L383" s="3"/>
      <c r="M383" s="762">
        <v>155.1</v>
      </c>
      <c r="N383" s="786"/>
      <c r="O383" s="958">
        <v>45363</v>
      </c>
      <c r="P383" s="1324"/>
      <c r="Q383" s="762">
        <v>2.89</v>
      </c>
      <c r="R383" s="784"/>
      <c r="S383" s="856" t="s">
        <v>62</v>
      </c>
      <c r="T383" s="851"/>
      <c r="U383" s="851"/>
      <c r="V383" s="851"/>
      <c r="W383" s="851"/>
      <c r="X383" s="1179"/>
      <c r="Y383" s="1205"/>
      <c r="Z383" s="851"/>
      <c r="AA383" s="1232"/>
      <c r="AB383" s="1099"/>
      <c r="AC383" s="1099"/>
      <c r="AD383" s="1226"/>
      <c r="AE383" s="1227"/>
      <c r="AF383" s="1315"/>
      <c r="AG383" s="1317"/>
      <c r="AH383" s="1076"/>
      <c r="AI383" s="1266"/>
      <c r="AJ383" s="1266"/>
      <c r="AK383" s="1267"/>
      <c r="AL383" s="1264"/>
      <c r="AM383" s="1333"/>
      <c r="AN383" s="1334"/>
      <c r="AO383" s="1276"/>
      <c r="AP383" s="1277"/>
      <c r="AQ383" s="1276"/>
      <c r="AR383" s="1278"/>
      <c r="AS383" s="1278"/>
    </row>
    <row r="384" spans="1:45" ht="15.6">
      <c r="A384" s="1097" t="s">
        <v>53</v>
      </c>
      <c r="B384" s="1103"/>
      <c r="C384" s="851"/>
      <c r="D384" s="1098"/>
      <c r="E384" s="1076"/>
      <c r="F384" s="1076"/>
      <c r="G384" s="1099"/>
      <c r="H384" s="3"/>
      <c r="I384" s="3"/>
      <c r="J384" s="1144"/>
      <c r="K384" s="851"/>
      <c r="L384" s="851"/>
      <c r="M384" s="851"/>
      <c r="N384" s="851"/>
      <c r="O384" s="1205"/>
      <c r="P384" s="1205"/>
      <c r="Q384" s="851"/>
      <c r="R384" s="851"/>
      <c r="S384" s="851"/>
      <c r="T384" s="851"/>
      <c r="U384" s="851"/>
      <c r="V384" s="851"/>
      <c r="W384" s="851"/>
      <c r="X384" s="1179"/>
      <c r="Y384" s="1205"/>
      <c r="Z384" s="851"/>
      <c r="AA384" s="1232"/>
      <c r="AB384" s="1099"/>
      <c r="AC384" s="1099"/>
      <c r="AD384" s="1226"/>
      <c r="AE384" s="1227"/>
      <c r="AF384" s="1315"/>
      <c r="AG384" s="1317"/>
      <c r="AH384" s="1076"/>
      <c r="AI384" s="1266"/>
      <c r="AJ384" s="1266"/>
      <c r="AK384" s="1267"/>
      <c r="AL384" s="1264"/>
      <c r="AM384" s="1335"/>
      <c r="AN384" s="1334"/>
      <c r="AO384" s="1276"/>
      <c r="AP384" s="1277"/>
      <c r="AQ384" s="1276"/>
      <c r="AR384" s="1278"/>
      <c r="AS384" s="1278"/>
    </row>
    <row r="385" spans="1:45" ht="15.6">
      <c r="A385" s="1097" t="s">
        <v>53</v>
      </c>
      <c r="B385" s="1103" t="s">
        <v>864</v>
      </c>
      <c r="C385" s="851" t="s">
        <v>865</v>
      </c>
      <c r="D385" s="1098" t="s">
        <v>866</v>
      </c>
      <c r="E385" s="1461" t="s">
        <v>57</v>
      </c>
      <c r="F385" s="856">
        <v>2024</v>
      </c>
      <c r="G385" s="1099">
        <v>45400</v>
      </c>
      <c r="H385" s="3">
        <v>200105537</v>
      </c>
      <c r="I385" s="1468" t="s">
        <v>886</v>
      </c>
      <c r="J385" s="1144">
        <v>1</v>
      </c>
      <c r="K385" s="3" t="s">
        <v>128</v>
      </c>
      <c r="L385" s="3" t="s">
        <v>60</v>
      </c>
      <c r="M385" s="786">
        <v>147.11000000000001</v>
      </c>
      <c r="N385" s="786">
        <v>259.19</v>
      </c>
      <c r="O385" s="958">
        <v>45428</v>
      </c>
      <c r="P385" s="958">
        <v>45427</v>
      </c>
      <c r="Q385" s="882">
        <v>2.15</v>
      </c>
      <c r="R385" s="3" t="s">
        <v>887</v>
      </c>
      <c r="S385" s="856" t="s">
        <v>62</v>
      </c>
      <c r="T385" s="3" t="s">
        <v>130</v>
      </c>
      <c r="U385" s="3" t="s">
        <v>130</v>
      </c>
      <c r="V385" s="786">
        <v>318.7</v>
      </c>
      <c r="W385" s="786">
        <v>273.10000000000002</v>
      </c>
      <c r="X385" s="1179">
        <v>45429</v>
      </c>
      <c r="Y385" s="1205">
        <v>45428</v>
      </c>
      <c r="Z385" s="851" t="s">
        <v>62</v>
      </c>
      <c r="AA385" s="1076"/>
      <c r="AB385" s="1099">
        <v>45432</v>
      </c>
      <c r="AC385" s="1099">
        <v>45432</v>
      </c>
      <c r="AD385" s="1176">
        <f>495+71</f>
        <v>566</v>
      </c>
      <c r="AE385" s="1227">
        <f t="shared" ref="AE385:AE389" si="46">AD385/595</f>
        <v>0.95126050420168062</v>
      </c>
      <c r="AF385" s="1315" t="s">
        <v>131</v>
      </c>
      <c r="AG385" s="1317">
        <v>1</v>
      </c>
      <c r="AH385" s="1076" t="s">
        <v>869</v>
      </c>
      <c r="AI385" s="1266">
        <v>45433</v>
      </c>
      <c r="AJ385" s="1266">
        <v>45434</v>
      </c>
      <c r="AK385" s="1267">
        <f>29400+65500+43000+28133</f>
        <v>166033</v>
      </c>
      <c r="AL385" s="1264">
        <f t="shared" ref="AL385:AL389" si="47">AK385/175000</f>
        <v>0.94876000000000005</v>
      </c>
      <c r="AM385" s="1332" t="s">
        <v>62</v>
      </c>
      <c r="AN385" s="1261">
        <v>1</v>
      </c>
      <c r="AO385" s="1276"/>
      <c r="AP385" s="1277"/>
      <c r="AQ385" s="1276"/>
      <c r="AR385" s="1278"/>
      <c r="AS385" s="1278"/>
    </row>
    <row r="386" spans="1:45" ht="15.6">
      <c r="A386" s="1097"/>
      <c r="B386" s="1103" t="s">
        <v>874</v>
      </c>
      <c r="C386" s="851" t="s">
        <v>875</v>
      </c>
      <c r="D386" s="1098"/>
      <c r="E386" s="1076"/>
      <c r="F386" s="856"/>
      <c r="G386" s="1099"/>
      <c r="H386" s="3"/>
      <c r="I386" s="1468" t="s">
        <v>886</v>
      </c>
      <c r="J386" s="1144"/>
      <c r="K386" s="3" t="s">
        <v>128</v>
      </c>
      <c r="L386" s="3"/>
      <c r="M386" s="786">
        <v>154.38</v>
      </c>
      <c r="N386" s="786"/>
      <c r="O386" s="958">
        <v>45428</v>
      </c>
      <c r="P386" s="1324"/>
      <c r="Q386" s="882">
        <v>3</v>
      </c>
      <c r="R386" s="784"/>
      <c r="S386" s="856" t="s">
        <v>62</v>
      </c>
      <c r="T386" s="851"/>
      <c r="U386" s="851"/>
      <c r="V386" s="851"/>
      <c r="W386" s="851"/>
      <c r="X386" s="1179"/>
      <c r="Y386" s="1205"/>
      <c r="Z386" s="851"/>
      <c r="AA386" s="1076"/>
      <c r="AB386" s="1099"/>
      <c r="AC386" s="1099"/>
      <c r="AD386" s="1176"/>
      <c r="AE386" s="1227"/>
      <c r="AF386" s="1315"/>
      <c r="AG386" s="1317"/>
      <c r="AH386" s="1076"/>
      <c r="AI386" s="1266"/>
      <c r="AJ386" s="1266"/>
      <c r="AK386" s="1267"/>
      <c r="AL386" s="1264"/>
      <c r="AM386" s="1333"/>
      <c r="AN386" s="1334"/>
      <c r="AO386" s="1276"/>
      <c r="AP386" s="1277"/>
      <c r="AQ386" s="1276"/>
      <c r="AR386" s="1278"/>
      <c r="AS386" s="1278"/>
    </row>
    <row r="387" spans="1:45" ht="15.6">
      <c r="A387" s="1097" t="s">
        <v>53</v>
      </c>
      <c r="B387" s="1103"/>
      <c r="C387" s="851"/>
      <c r="D387" s="1098"/>
      <c r="E387" s="1076"/>
      <c r="F387" s="1076"/>
      <c r="G387" s="1099"/>
      <c r="H387" s="3"/>
      <c r="I387" s="3"/>
      <c r="J387" s="1144"/>
      <c r="K387" s="851"/>
      <c r="L387" s="851"/>
      <c r="M387" s="851"/>
      <c r="N387" s="851"/>
      <c r="O387" s="1205"/>
      <c r="P387" s="1205"/>
      <c r="Q387" s="851"/>
      <c r="R387" s="851"/>
      <c r="S387" s="851"/>
      <c r="T387" s="851"/>
      <c r="U387" s="851"/>
      <c r="V387" s="851"/>
      <c r="W387" s="851"/>
      <c r="X387" s="1179"/>
      <c r="Y387" s="1205"/>
      <c r="Z387" s="851"/>
      <c r="AA387" s="1232"/>
      <c r="AB387" s="1099"/>
      <c r="AC387" s="1099"/>
      <c r="AD387" s="1226"/>
      <c r="AE387" s="1227"/>
      <c r="AF387" s="1315"/>
      <c r="AG387" s="1317"/>
      <c r="AH387" s="1076"/>
      <c r="AI387" s="1266"/>
      <c r="AJ387" s="1266"/>
      <c r="AK387" s="1267"/>
      <c r="AL387" s="1264"/>
      <c r="AM387" s="1335"/>
      <c r="AN387" s="1334"/>
      <c r="AO387" s="1276"/>
      <c r="AP387" s="1277"/>
      <c r="AQ387" s="1276"/>
      <c r="AR387" s="1278"/>
      <c r="AS387" s="1278"/>
    </row>
    <row r="388" spans="1:45" ht="15.6">
      <c r="A388" s="1097" t="s">
        <v>53</v>
      </c>
      <c r="B388" s="1103" t="s">
        <v>864</v>
      </c>
      <c r="C388" s="851" t="s">
        <v>865</v>
      </c>
      <c r="D388" s="1098" t="s">
        <v>866</v>
      </c>
      <c r="E388" s="1461" t="s">
        <v>72</v>
      </c>
      <c r="F388" s="856">
        <v>2024</v>
      </c>
      <c r="G388" s="1099">
        <v>45425</v>
      </c>
      <c r="H388" s="3">
        <v>200105944</v>
      </c>
      <c r="I388" s="1439" t="s">
        <v>888</v>
      </c>
      <c r="J388" s="1144">
        <v>1</v>
      </c>
      <c r="K388" s="3" t="s">
        <v>128</v>
      </c>
      <c r="L388" s="3" t="s">
        <v>60</v>
      </c>
      <c r="M388" s="786">
        <v>151.15</v>
      </c>
      <c r="N388" s="786">
        <v>261.22000000000003</v>
      </c>
      <c r="O388" s="958">
        <v>45428</v>
      </c>
      <c r="P388" s="958">
        <v>45428</v>
      </c>
      <c r="Q388" s="882">
        <v>1.96</v>
      </c>
      <c r="R388" s="3" t="s">
        <v>889</v>
      </c>
      <c r="S388" s="856" t="s">
        <v>62</v>
      </c>
      <c r="T388" s="3" t="s">
        <v>130</v>
      </c>
      <c r="U388" s="3" t="s">
        <v>130</v>
      </c>
      <c r="V388" s="786">
        <v>322.60000000000002</v>
      </c>
      <c r="W388" s="786">
        <v>274.60000000000002</v>
      </c>
      <c r="X388" s="958">
        <v>45429</v>
      </c>
      <c r="Y388" s="958">
        <v>45428</v>
      </c>
      <c r="Z388" s="851" t="s">
        <v>62</v>
      </c>
      <c r="AA388" s="1076"/>
      <c r="AB388" s="1099">
        <v>45432</v>
      </c>
      <c r="AC388" s="1099">
        <v>45432</v>
      </c>
      <c r="AD388" s="1176">
        <f>350+218</f>
        <v>568</v>
      </c>
      <c r="AE388" s="1227">
        <f t="shared" si="46"/>
        <v>0.95462184873949585</v>
      </c>
      <c r="AF388" s="1315" t="s">
        <v>131</v>
      </c>
      <c r="AG388" s="1317">
        <v>1</v>
      </c>
      <c r="AH388" s="1076" t="s">
        <v>869</v>
      </c>
      <c r="AI388" s="1266">
        <v>45434</v>
      </c>
      <c r="AJ388" s="1266">
        <v>45439</v>
      </c>
      <c r="AK388" s="1267">
        <f>18700+48700+47000+50900+2752</f>
        <v>168052</v>
      </c>
      <c r="AL388" s="1264">
        <f t="shared" si="47"/>
        <v>0.96029714285714285</v>
      </c>
      <c r="AM388" s="1332" t="s">
        <v>62</v>
      </c>
      <c r="AN388" s="1261">
        <v>1</v>
      </c>
      <c r="AO388" s="1276"/>
      <c r="AP388" s="1277"/>
      <c r="AQ388" s="1276"/>
      <c r="AR388" s="1278"/>
      <c r="AS388" s="1278"/>
    </row>
    <row r="389" spans="1:45" ht="15.6">
      <c r="A389" s="1097" t="s">
        <v>53</v>
      </c>
      <c r="B389" s="1103" t="s">
        <v>864</v>
      </c>
      <c r="C389" s="851" t="s">
        <v>865</v>
      </c>
      <c r="D389" s="1098" t="s">
        <v>866</v>
      </c>
      <c r="E389" s="1461" t="s">
        <v>72</v>
      </c>
      <c r="F389" s="856">
        <v>2024</v>
      </c>
      <c r="G389" s="1099">
        <v>45425</v>
      </c>
      <c r="H389" s="3">
        <v>200105945</v>
      </c>
      <c r="I389" s="1439" t="s">
        <v>890</v>
      </c>
      <c r="J389" s="1144">
        <v>2</v>
      </c>
      <c r="K389" s="3" t="s">
        <v>128</v>
      </c>
      <c r="L389" s="3" t="s">
        <v>60</v>
      </c>
      <c r="M389" s="786">
        <f>46.73+56.57+44.71</f>
        <v>148.01</v>
      </c>
      <c r="N389" s="786">
        <f>128.52+134.61</f>
        <v>263.13</v>
      </c>
      <c r="O389" s="958">
        <v>45428</v>
      </c>
      <c r="P389" s="958">
        <v>45428</v>
      </c>
      <c r="Q389" s="882">
        <v>2.11</v>
      </c>
      <c r="R389" s="3" t="s">
        <v>891</v>
      </c>
      <c r="S389" s="856" t="s">
        <v>62</v>
      </c>
      <c r="T389" s="3" t="s">
        <v>130</v>
      </c>
      <c r="U389" s="3" t="s">
        <v>130</v>
      </c>
      <c r="V389" s="786">
        <v>319</v>
      </c>
      <c r="W389" s="786">
        <v>276.89999999999998</v>
      </c>
      <c r="X389" s="958">
        <v>45429</v>
      </c>
      <c r="Y389" s="958">
        <v>45428</v>
      </c>
      <c r="Z389" s="851" t="s">
        <v>62</v>
      </c>
      <c r="AA389" s="1076"/>
      <c r="AB389" s="1099">
        <v>45432</v>
      </c>
      <c r="AC389" s="1099">
        <v>45433</v>
      </c>
      <c r="AD389" s="1176">
        <f>500+74</f>
        <v>574</v>
      </c>
      <c r="AE389" s="1227">
        <f t="shared" si="46"/>
        <v>0.96470588235294119</v>
      </c>
      <c r="AF389" s="1315" t="s">
        <v>131</v>
      </c>
      <c r="AG389" s="1317">
        <v>1</v>
      </c>
      <c r="AH389" s="1076" t="s">
        <v>869</v>
      </c>
      <c r="AI389" s="1266">
        <v>45439</v>
      </c>
      <c r="AJ389" s="1266">
        <v>45440</v>
      </c>
      <c r="AK389" s="1267">
        <f>47250+10800+41500+29500+39690</f>
        <v>168740</v>
      </c>
      <c r="AL389" s="1264">
        <f t="shared" si="47"/>
        <v>0.96422857142857143</v>
      </c>
      <c r="AM389" s="1332" t="s">
        <v>62</v>
      </c>
      <c r="AN389" s="1261">
        <v>1</v>
      </c>
      <c r="AO389" s="1276"/>
      <c r="AP389" s="1277"/>
      <c r="AQ389" s="1276"/>
      <c r="AR389" s="1278"/>
      <c r="AS389" s="1278"/>
    </row>
    <row r="390" spans="1:45" ht="15.6">
      <c r="A390" s="1097"/>
      <c r="B390" s="1103" t="s">
        <v>874</v>
      </c>
      <c r="C390" s="851" t="s">
        <v>875</v>
      </c>
      <c r="D390" s="1098"/>
      <c r="E390" s="1076"/>
      <c r="F390" s="856"/>
      <c r="G390" s="1099"/>
      <c r="H390" s="3"/>
      <c r="I390" s="1439" t="s">
        <v>888</v>
      </c>
      <c r="J390" s="1144"/>
      <c r="K390" s="3" t="s">
        <v>128</v>
      </c>
      <c r="L390" s="3"/>
      <c r="M390" s="786">
        <v>154.5</v>
      </c>
      <c r="N390" s="786"/>
      <c r="O390" s="958">
        <v>45428</v>
      </c>
      <c r="P390" s="1324"/>
      <c r="Q390" s="882">
        <v>2.89</v>
      </c>
      <c r="R390" s="784"/>
      <c r="S390" s="856" t="s">
        <v>62</v>
      </c>
      <c r="T390" s="851"/>
      <c r="U390" s="851"/>
      <c r="V390" s="851"/>
      <c r="W390" s="851"/>
      <c r="X390" s="1179"/>
      <c r="Y390" s="1205"/>
      <c r="Z390" s="851"/>
      <c r="AA390" s="1076"/>
      <c r="AB390" s="1099"/>
      <c r="AC390" s="1099"/>
      <c r="AD390" s="1176"/>
      <c r="AE390" s="1227"/>
      <c r="AF390" s="1315"/>
      <c r="AG390" s="1317"/>
      <c r="AH390" s="1076"/>
      <c r="AI390" s="1266"/>
      <c r="AJ390" s="1266"/>
      <c r="AK390" s="1267"/>
      <c r="AL390" s="1264"/>
      <c r="AM390" s="1333"/>
      <c r="AN390" s="1334"/>
      <c r="AO390" s="1276"/>
      <c r="AP390" s="1277"/>
      <c r="AQ390" s="1276"/>
      <c r="AR390" s="1278"/>
      <c r="AS390" s="1278"/>
    </row>
    <row r="391" spans="1:45" ht="15.6">
      <c r="A391" s="1097"/>
      <c r="B391" s="1103" t="s">
        <v>874</v>
      </c>
      <c r="C391" s="851" t="s">
        <v>875</v>
      </c>
      <c r="D391" s="1098"/>
      <c r="E391" s="1076"/>
      <c r="F391" s="856"/>
      <c r="G391" s="1099"/>
      <c r="H391" s="3"/>
      <c r="I391" s="1439" t="s">
        <v>890</v>
      </c>
      <c r="J391" s="1144"/>
      <c r="K391" s="3" t="s">
        <v>128</v>
      </c>
      <c r="L391" s="3"/>
      <c r="M391" s="786">
        <v>155.22</v>
      </c>
      <c r="N391" s="786"/>
      <c r="O391" s="958">
        <v>45428</v>
      </c>
      <c r="P391" s="1324"/>
      <c r="Q391" s="882">
        <v>3</v>
      </c>
      <c r="R391" s="784"/>
      <c r="S391" s="851"/>
      <c r="T391" s="851"/>
      <c r="U391" s="851"/>
      <c r="V391" s="851"/>
      <c r="W391" s="851"/>
      <c r="X391" s="1179"/>
      <c r="Y391" s="1205"/>
      <c r="Z391" s="851"/>
      <c r="AA391" s="1076"/>
      <c r="AB391" s="1099"/>
      <c r="AC391" s="1099"/>
      <c r="AD391" s="1176"/>
      <c r="AE391" s="1227"/>
      <c r="AF391" s="1315"/>
      <c r="AG391" s="1317"/>
      <c r="AH391" s="1076"/>
      <c r="AI391" s="1266"/>
      <c r="AJ391" s="1266"/>
      <c r="AK391" s="1267"/>
      <c r="AL391" s="1264"/>
      <c r="AM391" s="1333"/>
      <c r="AN391" s="1334"/>
      <c r="AO391" s="1276"/>
      <c r="AP391" s="1277"/>
      <c r="AQ391" s="1276"/>
      <c r="AR391" s="1278"/>
      <c r="AS391" s="1278"/>
    </row>
    <row r="392" spans="1:45" ht="15.6">
      <c r="A392" s="1097" t="s">
        <v>53</v>
      </c>
      <c r="B392" s="1103"/>
      <c r="C392" s="851"/>
      <c r="D392" s="1098"/>
      <c r="E392" s="1076"/>
      <c r="F392" s="1076"/>
      <c r="G392" s="1099"/>
      <c r="H392" s="3"/>
      <c r="I392" s="3"/>
      <c r="J392" s="1144"/>
      <c r="K392" s="851"/>
      <c r="L392" s="851"/>
      <c r="M392" s="851"/>
      <c r="N392" s="851"/>
      <c r="O392" s="1205"/>
      <c r="P392" s="1205"/>
      <c r="Q392" s="851"/>
      <c r="R392" s="851"/>
      <c r="S392" s="851"/>
      <c r="T392" s="851"/>
      <c r="U392" s="851"/>
      <c r="V392" s="851"/>
      <c r="W392" s="851"/>
      <c r="X392" s="1179"/>
      <c r="Y392" s="1205"/>
      <c r="Z392" s="851"/>
      <c r="AA392" s="1076"/>
      <c r="AB392" s="1099"/>
      <c r="AC392" s="1099"/>
      <c r="AD392" s="1176"/>
      <c r="AE392" s="1227"/>
      <c r="AF392" s="1315"/>
      <c r="AG392" s="1317"/>
      <c r="AH392" s="1076"/>
      <c r="AI392" s="1266"/>
      <c r="AJ392" s="1266"/>
      <c r="AK392" s="1267"/>
      <c r="AL392" s="1264"/>
      <c r="AM392" s="1335"/>
      <c r="AN392" s="1334"/>
      <c r="AO392" s="1276"/>
      <c r="AP392" s="1277"/>
      <c r="AQ392" s="1276"/>
      <c r="AR392" s="1278"/>
      <c r="AS392" s="1278"/>
    </row>
    <row r="393" spans="1:45" ht="15.6">
      <c r="A393" s="1097" t="s">
        <v>53</v>
      </c>
      <c r="B393" s="1103" t="s">
        <v>864</v>
      </c>
      <c r="C393" s="851" t="s">
        <v>865</v>
      </c>
      <c r="D393" s="1098" t="s">
        <v>866</v>
      </c>
      <c r="E393" s="1461" t="s">
        <v>433</v>
      </c>
      <c r="F393" s="856">
        <v>2024</v>
      </c>
      <c r="G393" s="1099">
        <v>45454</v>
      </c>
      <c r="H393" s="3">
        <v>200106479</v>
      </c>
      <c r="I393" s="1444" t="s">
        <v>892</v>
      </c>
      <c r="J393" s="1144">
        <v>1</v>
      </c>
      <c r="K393" s="3" t="s">
        <v>128</v>
      </c>
      <c r="L393" s="3" t="s">
        <v>60</v>
      </c>
      <c r="M393" s="762">
        <v>151.84</v>
      </c>
      <c r="N393" s="858">
        <v>260.91000000000003</v>
      </c>
      <c r="O393" s="958">
        <v>45488</v>
      </c>
      <c r="P393" s="958">
        <v>45485</v>
      </c>
      <c r="Q393" s="764">
        <v>2.11</v>
      </c>
      <c r="R393" s="3" t="s">
        <v>893</v>
      </c>
      <c r="S393" s="856" t="s">
        <v>62</v>
      </c>
      <c r="T393" s="3" t="s">
        <v>130</v>
      </c>
      <c r="U393" s="3" t="s">
        <v>130</v>
      </c>
      <c r="V393" s="858">
        <v>322.3</v>
      </c>
      <c r="W393" s="858">
        <v>274.39999999999998</v>
      </c>
      <c r="X393" s="1179">
        <v>45489</v>
      </c>
      <c r="Y393" s="958">
        <v>45488</v>
      </c>
      <c r="Z393" s="851" t="s">
        <v>62</v>
      </c>
      <c r="AA393" s="1076"/>
      <c r="AB393" s="1099">
        <v>45490</v>
      </c>
      <c r="AC393" s="1099">
        <v>45490</v>
      </c>
      <c r="AD393" s="1176">
        <f>495+80</f>
        <v>575</v>
      </c>
      <c r="AE393" s="1227">
        <f>AD393/595</f>
        <v>0.96638655462184875</v>
      </c>
      <c r="AF393" s="1315" t="s">
        <v>131</v>
      </c>
      <c r="AG393" s="1317">
        <v>1</v>
      </c>
      <c r="AH393" s="1076" t="s">
        <v>869</v>
      </c>
      <c r="AI393" s="1266">
        <v>45492</v>
      </c>
      <c r="AJ393" s="1266">
        <v>45496</v>
      </c>
      <c r="AK393" s="1267">
        <f>14198+47155+57600+15450+17000+16868</f>
        <v>168271</v>
      </c>
      <c r="AL393" s="1264">
        <f>AK393/175000</f>
        <v>0.96154857142857142</v>
      </c>
      <c r="AM393" s="1332" t="s">
        <v>62</v>
      </c>
      <c r="AN393" s="1261">
        <v>1</v>
      </c>
      <c r="AO393" s="1276"/>
      <c r="AP393" s="1277"/>
      <c r="AQ393" s="1276"/>
      <c r="AR393" s="1278"/>
      <c r="AS393" s="1278"/>
    </row>
    <row r="394" spans="1:45" ht="15.6">
      <c r="A394" s="1097" t="s">
        <v>53</v>
      </c>
      <c r="B394" s="1103" t="s">
        <v>864</v>
      </c>
      <c r="C394" s="851" t="s">
        <v>865</v>
      </c>
      <c r="D394" s="1098" t="s">
        <v>866</v>
      </c>
      <c r="E394" s="1461" t="s">
        <v>433</v>
      </c>
      <c r="F394" s="856">
        <v>2024</v>
      </c>
      <c r="G394" s="1099">
        <v>45454</v>
      </c>
      <c r="H394" s="3">
        <v>200106480</v>
      </c>
      <c r="I394" s="1281" t="s">
        <v>894</v>
      </c>
      <c r="J394" s="1144">
        <v>2</v>
      </c>
      <c r="K394" s="3" t="s">
        <v>128</v>
      </c>
      <c r="L394" s="3" t="s">
        <v>60</v>
      </c>
      <c r="M394" s="762">
        <v>151.18</v>
      </c>
      <c r="N394" s="858">
        <f>131.08+131.66</f>
        <v>262.74</v>
      </c>
      <c r="O394" s="958">
        <v>45488</v>
      </c>
      <c r="P394" s="958">
        <v>45485</v>
      </c>
      <c r="Q394" s="764">
        <v>2.19</v>
      </c>
      <c r="R394" s="3" t="s">
        <v>895</v>
      </c>
      <c r="S394" s="856" t="s">
        <v>62</v>
      </c>
      <c r="T394" s="3" t="s">
        <v>130</v>
      </c>
      <c r="U394" s="3" t="s">
        <v>130</v>
      </c>
      <c r="V394" s="858">
        <v>321.2</v>
      </c>
      <c r="W394" s="858">
        <v>276.5</v>
      </c>
      <c r="X394" s="1179">
        <v>45489</v>
      </c>
      <c r="Y394" s="958">
        <v>45488</v>
      </c>
      <c r="Z394" s="851" t="s">
        <v>62</v>
      </c>
      <c r="AA394" s="1076"/>
      <c r="AB394" s="1099">
        <v>45490</v>
      </c>
      <c r="AC394" s="1099">
        <v>45490</v>
      </c>
      <c r="AD394" s="1176">
        <f>576</f>
        <v>576</v>
      </c>
      <c r="AE394" s="1227">
        <f>AD394/595</f>
        <v>0.9680672268907563</v>
      </c>
      <c r="AF394" s="1315" t="s">
        <v>131</v>
      </c>
      <c r="AG394" s="1317">
        <v>1</v>
      </c>
      <c r="AH394" s="1076" t="s">
        <v>869</v>
      </c>
      <c r="AI394" s="1266">
        <v>45496</v>
      </c>
      <c r="AJ394" s="1266">
        <v>45497</v>
      </c>
      <c r="AK394" s="1267">
        <f>24350+70000+58000+16909</f>
        <v>169259</v>
      </c>
      <c r="AL394" s="1264">
        <f>AK394/175000</f>
        <v>0.96719428571428567</v>
      </c>
      <c r="AM394" s="1332" t="s">
        <v>62</v>
      </c>
      <c r="AN394" s="1261">
        <v>1</v>
      </c>
      <c r="AO394" s="1276"/>
      <c r="AP394" s="1277"/>
      <c r="AQ394" s="1276"/>
      <c r="AR394" s="1278"/>
      <c r="AS394" s="1278"/>
    </row>
    <row r="395" spans="1:45" ht="15.6">
      <c r="A395" s="1097"/>
      <c r="B395" s="1103" t="s">
        <v>874</v>
      </c>
      <c r="C395" s="851" t="s">
        <v>875</v>
      </c>
      <c r="D395" s="1098"/>
      <c r="E395" s="1076"/>
      <c r="F395" s="856"/>
      <c r="G395" s="1099"/>
      <c r="H395" s="3"/>
      <c r="I395" s="1281" t="s">
        <v>894</v>
      </c>
      <c r="J395" s="1144"/>
      <c r="K395" s="3" t="s">
        <v>128</v>
      </c>
      <c r="L395" s="3"/>
      <c r="M395" s="762">
        <v>153.16</v>
      </c>
      <c r="N395" s="786"/>
      <c r="O395" s="958">
        <v>45488</v>
      </c>
      <c r="P395" s="1324"/>
      <c r="Q395" s="764">
        <v>2.99</v>
      </c>
      <c r="R395" s="784"/>
      <c r="S395" s="856" t="s">
        <v>62</v>
      </c>
      <c r="T395" s="851"/>
      <c r="U395" s="851"/>
      <c r="V395" s="851"/>
      <c r="W395" s="851"/>
      <c r="X395" s="1179"/>
      <c r="Y395" s="1205"/>
      <c r="Z395" s="851"/>
      <c r="AA395" s="1076"/>
      <c r="AB395" s="1099"/>
      <c r="AC395" s="1099"/>
      <c r="AD395" s="1176"/>
      <c r="AE395" s="1227"/>
      <c r="AF395" s="1315"/>
      <c r="AG395" s="1317"/>
      <c r="AH395" s="1076"/>
      <c r="AI395" s="1266"/>
      <c r="AJ395" s="1266"/>
      <c r="AK395" s="1267"/>
      <c r="AL395" s="1264"/>
      <c r="AM395" s="1332"/>
      <c r="AN395" s="1261"/>
      <c r="AO395" s="1276"/>
      <c r="AP395" s="1277"/>
      <c r="AQ395" s="1276"/>
      <c r="AR395" s="1278"/>
      <c r="AS395" s="1278"/>
    </row>
    <row r="396" spans="1:45" ht="15.6">
      <c r="A396" s="1097"/>
      <c r="B396" s="1103" t="s">
        <v>874</v>
      </c>
      <c r="C396" s="851" t="s">
        <v>875</v>
      </c>
      <c r="D396" s="1098"/>
      <c r="E396" s="1076"/>
      <c r="F396" s="856"/>
      <c r="G396" s="1099"/>
      <c r="H396" s="3"/>
      <c r="I396" s="1281" t="s">
        <v>894</v>
      </c>
      <c r="J396" s="1144"/>
      <c r="K396" s="3" t="s">
        <v>128</v>
      </c>
      <c r="L396" s="3"/>
      <c r="M396" s="762">
        <v>153.16999999999999</v>
      </c>
      <c r="N396" s="786"/>
      <c r="O396" s="958">
        <v>45488</v>
      </c>
      <c r="P396" s="1324"/>
      <c r="Q396" s="764">
        <v>2.97</v>
      </c>
      <c r="R396" s="784"/>
      <c r="S396" s="856" t="s">
        <v>62</v>
      </c>
      <c r="T396" s="851"/>
      <c r="U396" s="851"/>
      <c r="V396" s="851"/>
      <c r="W396" s="851"/>
      <c r="X396" s="1179"/>
      <c r="Y396" s="1205"/>
      <c r="Z396" s="851"/>
      <c r="AA396" s="1076"/>
      <c r="AB396" s="1099"/>
      <c r="AC396" s="1099"/>
      <c r="AD396" s="1176"/>
      <c r="AE396" s="1227"/>
      <c r="AF396" s="1315"/>
      <c r="AG396" s="1317"/>
      <c r="AH396" s="1076"/>
      <c r="AI396" s="1266"/>
      <c r="AJ396" s="1266"/>
      <c r="AK396" s="1267"/>
      <c r="AL396" s="1264"/>
      <c r="AM396" s="1332"/>
      <c r="AN396" s="1261"/>
      <c r="AO396" s="1276"/>
      <c r="AP396" s="1277"/>
      <c r="AQ396" s="1276"/>
      <c r="AR396" s="1278"/>
      <c r="AS396" s="1278"/>
    </row>
    <row r="397" spans="1:45" ht="15.6">
      <c r="A397" s="1097"/>
      <c r="B397" s="1103"/>
      <c r="C397" s="851"/>
      <c r="D397" s="1098"/>
      <c r="E397" s="1076"/>
      <c r="F397" s="856"/>
      <c r="G397" s="1099"/>
      <c r="H397" s="3"/>
      <c r="I397" s="1281"/>
      <c r="J397" s="1144"/>
      <c r="K397" s="3"/>
      <c r="L397" s="3"/>
      <c r="M397" s="762"/>
      <c r="N397" s="786"/>
      <c r="O397" s="958"/>
      <c r="P397" s="1324"/>
      <c r="Q397" s="764"/>
      <c r="R397" s="784"/>
      <c r="S397" s="856"/>
      <c r="T397" s="851"/>
      <c r="U397" s="851"/>
      <c r="V397" s="851"/>
      <c r="W397" s="851"/>
      <c r="X397" s="1179"/>
      <c r="Y397" s="1205"/>
      <c r="Z397" s="851"/>
      <c r="AA397" s="1076"/>
      <c r="AB397" s="1099"/>
      <c r="AC397" s="1099"/>
      <c r="AD397" s="1176"/>
      <c r="AE397" s="1227"/>
      <c r="AF397" s="1315"/>
      <c r="AG397" s="1317"/>
      <c r="AH397" s="1076"/>
      <c r="AI397" s="1266"/>
      <c r="AJ397" s="1266"/>
      <c r="AK397" s="1267"/>
      <c r="AL397" s="1264"/>
      <c r="AM397" s="1332"/>
      <c r="AN397" s="1261"/>
      <c r="AO397" s="1276"/>
      <c r="AP397" s="1277"/>
      <c r="AQ397" s="1276"/>
      <c r="AR397" s="1278"/>
      <c r="AS397" s="1278"/>
    </row>
    <row r="398" spans="1:45" ht="15.6">
      <c r="A398" s="1097"/>
      <c r="B398" s="1173" t="s">
        <v>896</v>
      </c>
      <c r="C398" s="851" t="s">
        <v>865</v>
      </c>
      <c r="D398" s="1098" t="s">
        <v>866</v>
      </c>
      <c r="E398" s="1461" t="s">
        <v>541</v>
      </c>
      <c r="F398" s="856">
        <v>2024</v>
      </c>
      <c r="G398" s="1099">
        <v>45331</v>
      </c>
      <c r="H398" s="789">
        <v>200107191</v>
      </c>
      <c r="I398" s="1469" t="s">
        <v>897</v>
      </c>
      <c r="J398" s="1144">
        <v>1</v>
      </c>
      <c r="K398" s="3" t="s">
        <v>60</v>
      </c>
      <c r="L398" s="3" t="s">
        <v>128</v>
      </c>
      <c r="M398" s="858">
        <v>150.01</v>
      </c>
      <c r="N398" s="858">
        <v>260.36</v>
      </c>
      <c r="O398" s="958">
        <v>45539</v>
      </c>
      <c r="P398" s="1324">
        <v>45538</v>
      </c>
      <c r="Q398" s="1044">
        <v>2.0699999999999998</v>
      </c>
      <c r="R398" s="3" t="s">
        <v>898</v>
      </c>
      <c r="S398" s="856" t="s">
        <v>62</v>
      </c>
      <c r="T398" s="851" t="s">
        <v>130</v>
      </c>
      <c r="U398" s="851"/>
      <c r="V398" s="858">
        <v>319</v>
      </c>
      <c r="W398" s="851"/>
      <c r="X398" s="1179">
        <v>45539</v>
      </c>
      <c r="Y398" s="1205"/>
      <c r="Z398" s="851"/>
      <c r="AA398" s="1076"/>
      <c r="AB398" s="1099"/>
      <c r="AC398" s="1099"/>
      <c r="AD398" s="1176"/>
      <c r="AE398" s="1227"/>
      <c r="AF398" s="1315"/>
      <c r="AG398" s="1317"/>
      <c r="AH398" s="1076"/>
      <c r="AI398" s="1266"/>
      <c r="AJ398" s="1266"/>
      <c r="AK398" s="1267"/>
      <c r="AL398" s="1264"/>
      <c r="AM398" s="1332"/>
      <c r="AN398" s="1261"/>
      <c r="AO398" s="1276"/>
      <c r="AP398" s="1277"/>
      <c r="AQ398" s="1276"/>
      <c r="AR398" s="1278"/>
      <c r="AS398" s="1278"/>
    </row>
    <row r="399" spans="1:45" ht="15.6">
      <c r="A399" s="1097"/>
      <c r="B399" s="1173" t="s">
        <v>896</v>
      </c>
      <c r="C399" s="851" t="s">
        <v>865</v>
      </c>
      <c r="D399" s="1098" t="s">
        <v>866</v>
      </c>
      <c r="E399" s="1461" t="s">
        <v>541</v>
      </c>
      <c r="F399" s="856">
        <v>2024</v>
      </c>
      <c r="G399" s="1099">
        <v>45331</v>
      </c>
      <c r="H399" s="789">
        <v>200107192</v>
      </c>
      <c r="I399" s="1469" t="s">
        <v>899</v>
      </c>
      <c r="J399" s="1144">
        <v>2</v>
      </c>
      <c r="K399" s="3" t="s">
        <v>60</v>
      </c>
      <c r="L399" s="3"/>
      <c r="M399" s="858">
        <v>150.99</v>
      </c>
      <c r="N399" s="786"/>
      <c r="O399" s="958">
        <v>45539</v>
      </c>
      <c r="P399" s="1324"/>
      <c r="Q399" s="1044">
        <v>2.16</v>
      </c>
      <c r="R399" s="784"/>
      <c r="S399" s="856"/>
      <c r="T399" s="851" t="s">
        <v>130</v>
      </c>
      <c r="U399" s="851"/>
      <c r="V399" s="858">
        <v>319</v>
      </c>
      <c r="W399" s="851"/>
      <c r="X399" s="1179">
        <v>45539</v>
      </c>
      <c r="Y399" s="1205"/>
      <c r="Z399" s="851"/>
      <c r="AA399" s="1076"/>
      <c r="AB399" s="1099"/>
      <c r="AC399" s="1099"/>
      <c r="AD399" s="1176"/>
      <c r="AE399" s="1227"/>
      <c r="AF399" s="1315"/>
      <c r="AG399" s="1317"/>
      <c r="AH399" s="1076"/>
      <c r="AI399" s="1266"/>
      <c r="AJ399" s="1266"/>
      <c r="AK399" s="1267"/>
      <c r="AL399" s="1264"/>
      <c r="AM399" s="1332"/>
      <c r="AN399" s="1261"/>
      <c r="AO399" s="1276"/>
      <c r="AP399" s="1277"/>
      <c r="AQ399" s="1276"/>
      <c r="AR399" s="1278"/>
      <c r="AS399" s="1278"/>
    </row>
    <row r="400" spans="1:45" ht="15.6">
      <c r="A400" s="1097"/>
      <c r="B400" s="992" t="s">
        <v>900</v>
      </c>
      <c r="C400" s="851" t="s">
        <v>875</v>
      </c>
      <c r="D400" s="1098"/>
      <c r="E400" s="1076"/>
      <c r="F400" s="856"/>
      <c r="G400" s="1099"/>
      <c r="H400" s="789"/>
      <c r="I400" s="1469" t="s">
        <v>897</v>
      </c>
      <c r="J400" s="1144"/>
      <c r="K400" s="3" t="s">
        <v>60</v>
      </c>
      <c r="L400" s="3"/>
      <c r="M400" s="762">
        <v>153.19999999999999</v>
      </c>
      <c r="N400" s="786"/>
      <c r="O400" s="958">
        <v>45539</v>
      </c>
      <c r="P400" s="1324"/>
      <c r="Q400" s="764">
        <v>2.93</v>
      </c>
      <c r="R400" s="784"/>
      <c r="S400" s="856"/>
      <c r="T400" s="851"/>
      <c r="U400" s="851"/>
      <c r="V400" s="851"/>
      <c r="W400" s="851"/>
      <c r="X400" s="1179"/>
      <c r="Y400" s="1205"/>
      <c r="Z400" s="851"/>
      <c r="AA400" s="1076"/>
      <c r="AB400" s="1099"/>
      <c r="AC400" s="1099"/>
      <c r="AD400" s="1176"/>
      <c r="AE400" s="1227"/>
      <c r="AF400" s="1315"/>
      <c r="AG400" s="1317"/>
      <c r="AH400" s="1076"/>
      <c r="AI400" s="1266"/>
      <c r="AJ400" s="1266"/>
      <c r="AK400" s="1267"/>
      <c r="AL400" s="1264"/>
      <c r="AM400" s="1332"/>
      <c r="AN400" s="1261"/>
      <c r="AO400" s="1276"/>
      <c r="AP400" s="1277"/>
      <c r="AQ400" s="1276"/>
      <c r="AR400" s="1278"/>
      <c r="AS400" s="1278"/>
    </row>
    <row r="401" spans="1:49" ht="15.6">
      <c r="A401" s="1097"/>
      <c r="B401" s="992" t="s">
        <v>900</v>
      </c>
      <c r="C401" s="851" t="s">
        <v>875</v>
      </c>
      <c r="D401" s="1098"/>
      <c r="E401" s="1076"/>
      <c r="F401" s="856"/>
      <c r="G401" s="1099"/>
      <c r="H401" s="789"/>
      <c r="I401" s="1469" t="s">
        <v>899</v>
      </c>
      <c r="J401" s="1144"/>
      <c r="K401" s="3" t="s">
        <v>60</v>
      </c>
      <c r="L401" s="3"/>
      <c r="M401" s="858">
        <v>153.97</v>
      </c>
      <c r="N401" s="786"/>
      <c r="O401" s="958">
        <v>45539</v>
      </c>
      <c r="P401" s="1324"/>
      <c r="Q401" s="1044">
        <v>2.68</v>
      </c>
      <c r="R401" s="784"/>
      <c r="S401" s="856"/>
      <c r="T401" s="851"/>
      <c r="U401" s="851"/>
      <c r="V401" s="851"/>
      <c r="W401" s="851"/>
      <c r="X401" s="1179"/>
      <c r="Y401" s="1205"/>
      <c r="Z401" s="851"/>
      <c r="AA401" s="1076"/>
      <c r="AB401" s="1099"/>
      <c r="AC401" s="1099"/>
      <c r="AD401" s="1176"/>
      <c r="AE401" s="1227"/>
      <c r="AF401" s="1315"/>
      <c r="AG401" s="1317"/>
      <c r="AH401" s="1076"/>
      <c r="AI401" s="1266"/>
      <c r="AJ401" s="1266"/>
      <c r="AK401" s="1267"/>
      <c r="AL401" s="1264"/>
      <c r="AM401" s="1332"/>
      <c r="AN401" s="1261"/>
      <c r="AO401" s="1276"/>
      <c r="AP401" s="1277"/>
      <c r="AQ401" s="1276"/>
      <c r="AR401" s="1278"/>
      <c r="AS401" s="1278"/>
    </row>
    <row r="402" spans="1:49" ht="15.6">
      <c r="A402" s="1097" t="s">
        <v>53</v>
      </c>
      <c r="B402" s="1103"/>
      <c r="C402" s="1098"/>
      <c r="D402" s="784"/>
      <c r="E402" s="1076"/>
      <c r="F402" s="1076"/>
      <c r="G402" s="1099"/>
      <c r="H402" s="1192"/>
      <c r="I402" s="1192"/>
      <c r="J402" s="851"/>
      <c r="K402" s="851"/>
      <c r="L402" s="851"/>
      <c r="M402" s="851"/>
      <c r="N402" s="851"/>
      <c r="O402" s="1205"/>
      <c r="P402" s="1205"/>
      <c r="Q402" s="851"/>
      <c r="R402" s="851"/>
      <c r="S402" s="851"/>
      <c r="T402" s="851"/>
      <c r="U402" s="851"/>
      <c r="V402" s="851"/>
      <c r="W402" s="851"/>
      <c r="X402" s="1179"/>
      <c r="Y402" s="1205"/>
      <c r="Z402" s="851"/>
      <c r="AA402" s="1176"/>
      <c r="AB402" s="1099"/>
      <c r="AC402" s="1099"/>
      <c r="AD402" s="1341"/>
      <c r="AE402" s="1227"/>
      <c r="AF402" s="1315"/>
      <c r="AG402" s="1318"/>
      <c r="AH402" s="851"/>
      <c r="AI402" s="1248"/>
      <c r="AJ402" s="1248"/>
      <c r="AK402" s="1263"/>
      <c r="AL402" s="1264"/>
      <c r="AM402" s="1260"/>
      <c r="AN402" s="1261"/>
      <c r="AO402" s="1276"/>
      <c r="AP402" s="1277"/>
      <c r="AQ402" s="1276"/>
      <c r="AR402" s="1278"/>
      <c r="AS402" s="1278"/>
    </row>
    <row r="403" spans="1:49" ht="15.6">
      <c r="A403" s="1097" t="s">
        <v>53</v>
      </c>
      <c r="B403" s="1103" t="s">
        <v>901</v>
      </c>
      <c r="C403" s="1098" t="s">
        <v>902</v>
      </c>
      <c r="D403" s="784" t="s">
        <v>903</v>
      </c>
      <c r="E403" s="1461" t="s">
        <v>125</v>
      </c>
      <c r="F403" s="856">
        <v>2024</v>
      </c>
      <c r="G403" s="1099">
        <v>45261</v>
      </c>
      <c r="H403" s="1192">
        <v>200104443</v>
      </c>
      <c r="I403" s="1445" t="s">
        <v>904</v>
      </c>
      <c r="J403" s="851">
        <v>1</v>
      </c>
      <c r="K403" s="3" t="s">
        <v>60</v>
      </c>
      <c r="L403" s="3" t="s">
        <v>60</v>
      </c>
      <c r="M403" s="762">
        <v>108.08</v>
      </c>
      <c r="N403" s="786">
        <v>64.3</v>
      </c>
      <c r="O403" s="958">
        <v>45274</v>
      </c>
      <c r="P403" s="958">
        <v>45273</v>
      </c>
      <c r="Q403" s="764">
        <v>4.3899999999999997</v>
      </c>
      <c r="R403" s="882">
        <v>4.41</v>
      </c>
      <c r="S403" s="851" t="s">
        <v>62</v>
      </c>
      <c r="T403" s="3" t="s">
        <v>905</v>
      </c>
      <c r="U403" s="3" t="s">
        <v>905</v>
      </c>
      <c r="V403" s="762">
        <v>117.6</v>
      </c>
      <c r="W403" s="762">
        <v>70</v>
      </c>
      <c r="X403" s="958">
        <v>45274</v>
      </c>
      <c r="Y403" s="958">
        <v>45274</v>
      </c>
      <c r="Z403" s="851" t="s">
        <v>62</v>
      </c>
      <c r="AA403" s="1176"/>
      <c r="AB403" s="1099">
        <v>45278</v>
      </c>
      <c r="AC403" s="1099">
        <v>45278</v>
      </c>
      <c r="AD403" s="1341">
        <f>129+50</f>
        <v>179</v>
      </c>
      <c r="AE403" s="1227">
        <f t="shared" ref="AE403:AE408" si="48">AD403/188</f>
        <v>0.9521276595744681</v>
      </c>
      <c r="AF403" s="1315" t="s">
        <v>131</v>
      </c>
      <c r="AG403" s="1318"/>
      <c r="AH403" s="1076" t="s">
        <v>869</v>
      </c>
      <c r="AI403" s="1266">
        <v>45302</v>
      </c>
      <c r="AJ403" s="1266">
        <v>45302</v>
      </c>
      <c r="AK403" s="1267">
        <f>21600+37946</f>
        <v>59546</v>
      </c>
      <c r="AL403" s="1264">
        <f t="shared" ref="AL403:AL408" si="49">AK403/62500</f>
        <v>0.95273600000000003</v>
      </c>
      <c r="AM403" s="1332" t="s">
        <v>62</v>
      </c>
      <c r="AN403" s="1261">
        <v>1</v>
      </c>
      <c r="AO403" s="1276"/>
      <c r="AP403" s="1277"/>
      <c r="AQ403" s="1276"/>
      <c r="AR403" s="1278"/>
      <c r="AS403" s="1278"/>
    </row>
    <row r="404" spans="1:49" ht="15.6">
      <c r="A404" s="1097" t="s">
        <v>53</v>
      </c>
      <c r="B404" s="1103"/>
      <c r="C404" s="1098"/>
      <c r="D404" s="784"/>
      <c r="E404" s="1076"/>
      <c r="F404" s="1076"/>
      <c r="G404" s="1099"/>
      <c r="H404" s="1192"/>
      <c r="I404" s="1192"/>
      <c r="J404" s="851"/>
      <c r="K404" s="851"/>
      <c r="L404" s="851"/>
      <c r="M404" s="851"/>
      <c r="N404" s="851"/>
      <c r="O404" s="1205"/>
      <c r="P404" s="1205"/>
      <c r="Q404" s="851"/>
      <c r="R404" s="851"/>
      <c r="S404" s="851"/>
      <c r="T404" s="851"/>
      <c r="U404" s="851"/>
      <c r="V404" s="851"/>
      <c r="W404" s="851"/>
      <c r="X404" s="958"/>
      <c r="Y404" s="958"/>
      <c r="Z404" s="851"/>
      <c r="AA404" s="1176"/>
      <c r="AB404" s="1099"/>
      <c r="AC404" s="1099"/>
      <c r="AD404" s="1341"/>
      <c r="AE404" s="1227"/>
      <c r="AF404" s="1315"/>
      <c r="AG404" s="1318"/>
      <c r="AH404" s="1076"/>
      <c r="AI404" s="1266"/>
      <c r="AJ404" s="1266"/>
      <c r="AK404" s="1267"/>
      <c r="AL404" s="1264"/>
      <c r="AM404" s="1260"/>
      <c r="AN404" s="1261"/>
      <c r="AO404" s="1276"/>
      <c r="AP404" s="1277"/>
      <c r="AQ404" s="1276"/>
      <c r="AR404" s="1278"/>
      <c r="AS404" s="1278"/>
    </row>
    <row r="405" spans="1:49" ht="15.6">
      <c r="A405" s="1097" t="s">
        <v>53</v>
      </c>
      <c r="B405" s="1103" t="s">
        <v>901</v>
      </c>
      <c r="C405" s="1098" t="s">
        <v>902</v>
      </c>
      <c r="D405" s="784" t="s">
        <v>903</v>
      </c>
      <c r="E405" s="1461" t="s">
        <v>213</v>
      </c>
      <c r="F405" s="856">
        <v>2024</v>
      </c>
      <c r="G405" s="1099">
        <v>45345</v>
      </c>
      <c r="H405" s="3">
        <v>200105088</v>
      </c>
      <c r="I405" s="1444" t="s">
        <v>906</v>
      </c>
      <c r="J405" s="851">
        <v>1</v>
      </c>
      <c r="K405" s="3" t="s">
        <v>60</v>
      </c>
      <c r="L405" s="3" t="s">
        <v>60</v>
      </c>
      <c r="M405" s="3">
        <v>107.6</v>
      </c>
      <c r="N405" s="3">
        <v>65.650000000000006</v>
      </c>
      <c r="O405" s="958">
        <v>45358</v>
      </c>
      <c r="P405" s="958">
        <v>45358</v>
      </c>
      <c r="Q405" s="3">
        <v>4.4000000000000004</v>
      </c>
      <c r="R405" s="3">
        <v>4.3899999999999997</v>
      </c>
      <c r="S405" s="851" t="s">
        <v>62</v>
      </c>
      <c r="T405" s="3" t="s">
        <v>905</v>
      </c>
      <c r="U405" s="3" t="s">
        <v>905</v>
      </c>
      <c r="V405" s="762">
        <v>117.01</v>
      </c>
      <c r="W405" s="762">
        <v>68.27</v>
      </c>
      <c r="X405" s="958">
        <v>45359</v>
      </c>
      <c r="Y405" s="958">
        <v>45359</v>
      </c>
      <c r="Z405" s="851" t="s">
        <v>62</v>
      </c>
      <c r="AA405" s="1076"/>
      <c r="AB405" s="1099">
        <v>45363</v>
      </c>
      <c r="AC405" s="1099">
        <v>45363</v>
      </c>
      <c r="AD405" s="1341">
        <f>171</f>
        <v>171</v>
      </c>
      <c r="AE405" s="1227">
        <f t="shared" si="48"/>
        <v>0.90957446808510634</v>
      </c>
      <c r="AF405" s="1315" t="s">
        <v>64</v>
      </c>
      <c r="AG405" s="1318">
        <v>1</v>
      </c>
      <c r="AH405" s="1076" t="s">
        <v>869</v>
      </c>
      <c r="AI405" s="1266">
        <v>45370</v>
      </c>
      <c r="AJ405" s="1266">
        <v>45372</v>
      </c>
      <c r="AK405" s="1267">
        <f>21600+37946</f>
        <v>59546</v>
      </c>
      <c r="AL405" s="1264">
        <f t="shared" si="49"/>
        <v>0.95273600000000003</v>
      </c>
      <c r="AM405" s="1332" t="s">
        <v>62</v>
      </c>
      <c r="AN405" s="1261">
        <v>1</v>
      </c>
      <c r="AO405" s="1276"/>
      <c r="AP405" s="1277"/>
      <c r="AQ405" s="1276"/>
      <c r="AR405" s="1278"/>
      <c r="AS405" s="1278"/>
    </row>
    <row r="406" spans="1:49" ht="15.6">
      <c r="A406" s="1097" t="s">
        <v>53</v>
      </c>
      <c r="B406" s="1103"/>
      <c r="C406" s="1098"/>
      <c r="D406" s="1098"/>
      <c r="E406" s="1076"/>
      <c r="F406" s="1076"/>
      <c r="G406" s="1256"/>
      <c r="H406" s="1256"/>
      <c r="I406" s="851"/>
      <c r="J406" s="851"/>
      <c r="K406" s="3"/>
      <c r="L406" s="3"/>
      <c r="M406" s="3"/>
      <c r="N406" s="762"/>
      <c r="O406" s="958"/>
      <c r="P406" s="958"/>
      <c r="Q406" s="8"/>
      <c r="R406" s="8"/>
      <c r="S406" s="851"/>
      <c r="T406" s="3"/>
      <c r="U406" s="3"/>
      <c r="V406" s="3"/>
      <c r="W406" s="3"/>
      <c r="X406" s="958"/>
      <c r="Y406" s="958"/>
      <c r="Z406" s="851"/>
      <c r="AA406" s="1076"/>
      <c r="AB406" s="1099"/>
      <c r="AC406" s="1099"/>
      <c r="AD406" s="1176"/>
      <c r="AE406" s="1227"/>
      <c r="AF406" s="1315"/>
      <c r="AG406" s="1318"/>
      <c r="AH406" s="851"/>
      <c r="AI406" s="1248"/>
      <c r="AJ406" s="1248"/>
      <c r="AK406" s="1263"/>
      <c r="AL406" s="1264"/>
      <c r="AM406" s="1260"/>
      <c r="AN406" s="1261"/>
      <c r="AO406" s="1276"/>
      <c r="AP406" s="1277"/>
      <c r="AQ406" s="1276"/>
      <c r="AR406" s="1278"/>
      <c r="AS406" s="1278"/>
    </row>
    <row r="407" spans="1:49" ht="15.6">
      <c r="A407" s="1097" t="s">
        <v>53</v>
      </c>
      <c r="B407" s="1103" t="s">
        <v>901</v>
      </c>
      <c r="C407" s="1098" t="s">
        <v>902</v>
      </c>
      <c r="D407" s="784" t="s">
        <v>903</v>
      </c>
      <c r="E407" s="1461" t="s">
        <v>277</v>
      </c>
      <c r="F407" s="856">
        <v>2024</v>
      </c>
      <c r="G407" s="1099">
        <v>45496</v>
      </c>
      <c r="H407" s="3">
        <v>200106944</v>
      </c>
      <c r="I407" s="1451" t="s">
        <v>907</v>
      </c>
      <c r="J407" s="851">
        <v>1</v>
      </c>
      <c r="K407" s="3" t="s">
        <v>60</v>
      </c>
      <c r="L407" s="3" t="s">
        <v>60</v>
      </c>
      <c r="M407" s="858">
        <v>106.6</v>
      </c>
      <c r="N407" s="858">
        <v>64.53</v>
      </c>
      <c r="O407" s="958">
        <v>45510</v>
      </c>
      <c r="P407" s="958">
        <v>45510</v>
      </c>
      <c r="Q407" s="1044">
        <v>4.2699999999999996</v>
      </c>
      <c r="R407" s="1044">
        <v>4.07</v>
      </c>
      <c r="S407" s="851" t="s">
        <v>62</v>
      </c>
      <c r="T407" s="3" t="s">
        <v>905</v>
      </c>
      <c r="U407" s="3" t="s">
        <v>905</v>
      </c>
      <c r="V407" s="858">
        <v>116.11</v>
      </c>
      <c r="W407" s="858">
        <v>70.099999999999994</v>
      </c>
      <c r="X407" s="958">
        <v>45511</v>
      </c>
      <c r="Y407" s="958">
        <v>45511</v>
      </c>
      <c r="Z407" s="851" t="s">
        <v>62</v>
      </c>
      <c r="AA407" s="1176"/>
      <c r="AB407" s="1099">
        <v>45513</v>
      </c>
      <c r="AC407" s="1099">
        <v>45513</v>
      </c>
      <c r="AD407" s="1341">
        <f>175</f>
        <v>175</v>
      </c>
      <c r="AE407" s="1227">
        <f t="shared" si="48"/>
        <v>0.93085106382978722</v>
      </c>
      <c r="AF407" s="1315" t="s">
        <v>64</v>
      </c>
      <c r="AG407" s="1318">
        <v>1</v>
      </c>
      <c r="AH407" s="1076" t="s">
        <v>869</v>
      </c>
      <c r="AI407" s="1266">
        <v>45520</v>
      </c>
      <c r="AJ407" s="1266">
        <v>45524</v>
      </c>
      <c r="AK407" s="1267">
        <f>4450+30732+4300+18713</f>
        <v>58195</v>
      </c>
      <c r="AL407" s="1264">
        <f t="shared" si="49"/>
        <v>0.93111999999999995</v>
      </c>
      <c r="AM407" s="1332" t="s">
        <v>62</v>
      </c>
      <c r="AN407" s="1261">
        <v>1</v>
      </c>
      <c r="AO407" s="1276"/>
      <c r="AP407" s="1277"/>
      <c r="AQ407" s="1276"/>
      <c r="AR407" s="1278">
        <v>190</v>
      </c>
      <c r="AS407" s="1278">
        <v>115</v>
      </c>
      <c r="AT407" s="784">
        <f>26+12</f>
        <v>38</v>
      </c>
      <c r="AU407" s="784">
        <v>0.12</v>
      </c>
      <c r="AV407" s="784">
        <v>8.8000000000000007</v>
      </c>
      <c r="AW407" s="1184">
        <v>9.9</v>
      </c>
    </row>
    <row r="408" spans="1:49" ht="15.6">
      <c r="A408" s="1097" t="s">
        <v>53</v>
      </c>
      <c r="B408" s="1103" t="s">
        <v>901</v>
      </c>
      <c r="C408" s="1098" t="s">
        <v>902</v>
      </c>
      <c r="D408" s="784" t="s">
        <v>903</v>
      </c>
      <c r="E408" s="1461" t="s">
        <v>277</v>
      </c>
      <c r="F408" s="856">
        <v>2024</v>
      </c>
      <c r="G408" s="1099">
        <v>45496</v>
      </c>
      <c r="H408" s="3">
        <v>200106945</v>
      </c>
      <c r="I408" s="1451" t="s">
        <v>908</v>
      </c>
      <c r="J408" s="851">
        <v>2</v>
      </c>
      <c r="K408" s="3" t="s">
        <v>60</v>
      </c>
      <c r="L408" s="3" t="s">
        <v>60</v>
      </c>
      <c r="M408" s="858">
        <v>107.21</v>
      </c>
      <c r="N408" s="858">
        <v>64.02</v>
      </c>
      <c r="O408" s="958">
        <v>45511</v>
      </c>
      <c r="P408" s="958">
        <v>45510</v>
      </c>
      <c r="Q408" s="1044">
        <v>4.3899999999999997</v>
      </c>
      <c r="R408" s="1044">
        <v>4.29</v>
      </c>
      <c r="S408" s="851" t="s">
        <v>62</v>
      </c>
      <c r="T408" s="3" t="s">
        <v>905</v>
      </c>
      <c r="U408" s="3" t="s">
        <v>905</v>
      </c>
      <c r="V408" s="858">
        <v>116.63</v>
      </c>
      <c r="W408" s="858">
        <v>69.599999999999994</v>
      </c>
      <c r="X408" s="958">
        <v>45511</v>
      </c>
      <c r="Y408" s="958">
        <v>45511</v>
      </c>
      <c r="Z408" s="851" t="s">
        <v>62</v>
      </c>
      <c r="AA408" s="1176"/>
      <c r="AB408" s="1099">
        <v>45513</v>
      </c>
      <c r="AC408" s="1099">
        <v>45513</v>
      </c>
      <c r="AD408" s="1341">
        <f>135+44</f>
        <v>179</v>
      </c>
      <c r="AE408" s="1227">
        <f t="shared" si="48"/>
        <v>0.9521276595744681</v>
      </c>
      <c r="AF408" s="1315" t="s">
        <v>64</v>
      </c>
      <c r="AG408" s="1318">
        <v>1</v>
      </c>
      <c r="AH408" s="1076" t="s">
        <v>869</v>
      </c>
      <c r="AI408" s="1266">
        <v>45524</v>
      </c>
      <c r="AJ408" s="1266">
        <v>45525</v>
      </c>
      <c r="AK408" s="1267">
        <f>31400+27701</f>
        <v>59101</v>
      </c>
      <c r="AL408" s="1264">
        <f t="shared" si="49"/>
        <v>0.94561600000000001</v>
      </c>
      <c r="AM408" s="1332" t="s">
        <v>62</v>
      </c>
      <c r="AN408" s="1261">
        <v>1</v>
      </c>
      <c r="AO408" s="1276"/>
      <c r="AP408" s="1277"/>
      <c r="AQ408" s="1276"/>
      <c r="AR408" s="1278">
        <v>190</v>
      </c>
      <c r="AS408" s="1278">
        <v>115</v>
      </c>
      <c r="AT408" s="784">
        <f>105+220</f>
        <v>325</v>
      </c>
      <c r="AU408" s="784">
        <v>1.32</v>
      </c>
      <c r="AV408" s="784">
        <v>15.9</v>
      </c>
      <c r="AW408" s="1184">
        <v>6.2</v>
      </c>
    </row>
    <row r="409" spans="1:49" ht="15.6">
      <c r="A409" s="1097" t="s">
        <v>53</v>
      </c>
      <c r="B409" s="4"/>
      <c r="C409" s="1098"/>
      <c r="D409" s="1098"/>
      <c r="E409" s="1076"/>
      <c r="F409" s="1076"/>
      <c r="G409" s="1099"/>
      <c r="H409" s="1192"/>
      <c r="I409" s="1192"/>
      <c r="J409" s="851"/>
      <c r="K409" s="851"/>
      <c r="L409" s="851"/>
      <c r="M409" s="851"/>
      <c r="N409" s="851"/>
      <c r="O409" s="1205"/>
      <c r="P409" s="1205"/>
      <c r="Q409" s="851"/>
      <c r="R409" s="851"/>
      <c r="S409" s="851"/>
      <c r="T409" s="851"/>
      <c r="U409" s="851"/>
      <c r="V409" s="851"/>
      <c r="W409" s="851"/>
      <c r="X409" s="1179"/>
      <c r="Y409" s="1205"/>
      <c r="Z409" s="851"/>
      <c r="AA409" s="1076"/>
      <c r="AB409" s="1099"/>
      <c r="AC409" s="1099"/>
      <c r="AD409" s="1176"/>
      <c r="AE409" s="1227"/>
      <c r="AF409" s="1315"/>
      <c r="AG409" s="1318"/>
      <c r="AH409" s="851"/>
      <c r="AI409" s="1248"/>
      <c r="AJ409" s="1248"/>
      <c r="AK409" s="1263"/>
      <c r="AL409" s="1264"/>
      <c r="AM409" s="1255"/>
      <c r="AN409" s="1261"/>
      <c r="AO409" s="1276"/>
      <c r="AP409" s="1277"/>
      <c r="AQ409" s="1276"/>
      <c r="AR409" s="1278"/>
      <c r="AS409" s="1278"/>
    </row>
    <row r="410" spans="1:49" ht="15.6">
      <c r="A410" s="1097" t="s">
        <v>53</v>
      </c>
      <c r="B410" s="4" t="s">
        <v>909</v>
      </c>
      <c r="C410" s="1098" t="s">
        <v>910</v>
      </c>
      <c r="D410" s="1336" t="s">
        <v>911</v>
      </c>
      <c r="E410" s="1461" t="s">
        <v>163</v>
      </c>
      <c r="F410" s="856">
        <v>2024</v>
      </c>
      <c r="G410" s="1099">
        <v>45307</v>
      </c>
      <c r="H410" s="1176">
        <v>200104725</v>
      </c>
      <c r="I410" s="1470" t="s">
        <v>912</v>
      </c>
      <c r="J410" s="851">
        <v>1</v>
      </c>
      <c r="K410" s="3" t="s">
        <v>128</v>
      </c>
      <c r="L410" s="3" t="s">
        <v>128</v>
      </c>
      <c r="M410" s="762">
        <v>84.02</v>
      </c>
      <c r="N410" s="762">
        <v>57.22</v>
      </c>
      <c r="O410" s="1205">
        <v>45299</v>
      </c>
      <c r="P410" s="1205">
        <v>45299</v>
      </c>
      <c r="Q410" s="764">
        <v>2.62</v>
      </c>
      <c r="R410" s="762">
        <v>2.77</v>
      </c>
      <c r="S410" s="851" t="s">
        <v>62</v>
      </c>
      <c r="T410" s="3" t="s">
        <v>905</v>
      </c>
      <c r="U410" s="3" t="s">
        <v>905</v>
      </c>
      <c r="V410" s="762">
        <v>87.4</v>
      </c>
      <c r="W410" s="762">
        <v>60.7</v>
      </c>
      <c r="X410" s="1179">
        <v>45310</v>
      </c>
      <c r="Y410" s="1205">
        <v>45310</v>
      </c>
      <c r="Z410" s="851" t="s">
        <v>62</v>
      </c>
      <c r="AA410" s="1176"/>
      <c r="AB410" s="1099">
        <v>45313</v>
      </c>
      <c r="AC410" s="1099">
        <v>45313</v>
      </c>
      <c r="AD410" s="1176">
        <v>126</v>
      </c>
      <c r="AE410" s="1227"/>
      <c r="AF410" s="1315" t="s">
        <v>64</v>
      </c>
      <c r="AG410" s="1318"/>
      <c r="AH410" s="851" t="s">
        <v>869</v>
      </c>
      <c r="AI410" s="1248">
        <v>45315</v>
      </c>
      <c r="AJ410" s="1248">
        <v>45317</v>
      </c>
      <c r="AK410" s="1263">
        <f>10700+3100+850+23900+2910</f>
        <v>41460</v>
      </c>
      <c r="AL410" s="1264"/>
      <c r="AM410" s="1252" t="s">
        <v>62</v>
      </c>
      <c r="AN410" s="1261"/>
      <c r="AO410" s="1276"/>
      <c r="AP410" s="1277"/>
      <c r="AQ410" s="1276"/>
      <c r="AR410" s="1278"/>
      <c r="AS410" s="1278"/>
    </row>
    <row r="411" spans="1:49" ht="15.6">
      <c r="A411" s="1097" t="s">
        <v>53</v>
      </c>
      <c r="B411" s="4"/>
      <c r="C411" s="1098"/>
      <c r="D411" s="1098"/>
      <c r="E411" s="1076"/>
      <c r="F411" s="1076"/>
      <c r="G411" s="1099"/>
      <c r="H411" s="1192"/>
      <c r="I411" s="1192"/>
      <c r="J411" s="851"/>
      <c r="K411" s="851"/>
      <c r="L411" s="851"/>
      <c r="M411" s="851"/>
      <c r="N411" s="851"/>
      <c r="O411" s="1205"/>
      <c r="P411" s="1205"/>
      <c r="Q411" s="851"/>
      <c r="R411" s="851"/>
      <c r="S411" s="851"/>
      <c r="T411" s="851"/>
      <c r="U411" s="851"/>
      <c r="V411" s="851"/>
      <c r="W411" s="851"/>
      <c r="X411" s="1179"/>
      <c r="Y411" s="1205"/>
      <c r="Z411" s="851"/>
      <c r="AA411" s="1076"/>
      <c r="AB411" s="1099"/>
      <c r="AC411" s="1099"/>
      <c r="AD411" s="1176"/>
      <c r="AE411" s="1264"/>
      <c r="AF411" s="1315"/>
      <c r="AG411" s="1318"/>
      <c r="AH411" s="851"/>
      <c r="AI411" s="1248"/>
      <c r="AJ411" s="1248"/>
      <c r="AK411" s="1263"/>
      <c r="AL411" s="1264"/>
      <c r="AM411" s="1255"/>
      <c r="AN411" s="1261"/>
      <c r="AO411" s="1276"/>
      <c r="AP411" s="1277"/>
      <c r="AQ411" s="1276"/>
      <c r="AR411" s="1278"/>
      <c r="AS411" s="1278"/>
    </row>
    <row r="412" spans="1:49" ht="15.6">
      <c r="A412" s="1097" t="s">
        <v>53</v>
      </c>
      <c r="B412" s="4" t="s">
        <v>913</v>
      </c>
      <c r="C412" s="1142" t="s">
        <v>914</v>
      </c>
      <c r="D412" s="13" t="s">
        <v>915</v>
      </c>
      <c r="E412" s="1471" t="s">
        <v>125</v>
      </c>
      <c r="F412" s="856">
        <v>2024</v>
      </c>
      <c r="G412" s="13" t="s">
        <v>916</v>
      </c>
      <c r="H412" s="13">
        <v>200104567</v>
      </c>
      <c r="I412" s="1472" t="s">
        <v>917</v>
      </c>
      <c r="J412" s="851">
        <v>1</v>
      </c>
      <c r="K412" s="3" t="s">
        <v>60</v>
      </c>
      <c r="L412" s="3" t="s">
        <v>128</v>
      </c>
      <c r="M412" s="786">
        <v>83.39</v>
      </c>
      <c r="N412" s="786">
        <v>57.15</v>
      </c>
      <c r="O412" s="1205">
        <v>45301</v>
      </c>
      <c r="P412" s="1205">
        <v>45301</v>
      </c>
      <c r="Q412" s="3">
        <v>2.56</v>
      </c>
      <c r="R412" s="3">
        <v>2.92</v>
      </c>
      <c r="S412" s="851" t="s">
        <v>62</v>
      </c>
      <c r="T412" s="3" t="s">
        <v>905</v>
      </c>
      <c r="U412" s="3" t="s">
        <v>905</v>
      </c>
      <c r="V412" s="786">
        <v>87.32</v>
      </c>
      <c r="W412" s="786">
        <v>60.97</v>
      </c>
      <c r="X412" s="1179">
        <v>45302</v>
      </c>
      <c r="Y412" s="1205">
        <v>45302</v>
      </c>
      <c r="Z412" s="851" t="s">
        <v>62</v>
      </c>
      <c r="AA412" s="1076"/>
      <c r="AB412" s="1099">
        <v>45306</v>
      </c>
      <c r="AC412" s="1099">
        <v>45306</v>
      </c>
      <c r="AD412" s="1176">
        <v>132</v>
      </c>
      <c r="AE412" s="1264"/>
      <c r="AF412" s="1315" t="s">
        <v>918</v>
      </c>
      <c r="AG412" s="1318">
        <v>1</v>
      </c>
      <c r="AH412" s="1076" t="s">
        <v>869</v>
      </c>
      <c r="AI412" s="1266">
        <v>45310</v>
      </c>
      <c r="AJ412" s="1266">
        <v>45313</v>
      </c>
      <c r="AK412" s="1267">
        <f>1000+31000+11318</f>
        <v>43318</v>
      </c>
      <c r="AL412" s="1264"/>
      <c r="AM412" s="1252" t="s">
        <v>919</v>
      </c>
      <c r="AN412" s="1261"/>
      <c r="AO412" s="1276"/>
      <c r="AP412" s="1277"/>
      <c r="AQ412" s="1276"/>
      <c r="AR412" s="1278"/>
      <c r="AS412" s="1278"/>
    </row>
    <row r="413" spans="1:49" ht="15.6">
      <c r="A413" s="1097" t="s">
        <v>53</v>
      </c>
      <c r="B413" s="4"/>
      <c r="C413" s="1098"/>
      <c r="D413" s="3"/>
      <c r="E413" s="1076"/>
      <c r="F413" s="1076"/>
      <c r="G413" s="3"/>
      <c r="H413" s="3"/>
      <c r="I413" s="3"/>
      <c r="J413" s="851"/>
      <c r="K413" s="851"/>
      <c r="L413" s="851"/>
      <c r="M413" s="851"/>
      <c r="N413" s="851"/>
      <c r="O413" s="1205"/>
      <c r="P413" s="1205"/>
      <c r="Q413" s="851"/>
      <c r="R413" s="851"/>
      <c r="S413" s="851"/>
      <c r="T413" s="851"/>
      <c r="U413" s="851"/>
      <c r="V413" s="851"/>
      <c r="W413" s="851"/>
      <c r="X413" s="1179"/>
      <c r="Y413" s="1205"/>
      <c r="Z413" s="851"/>
      <c r="AA413" s="1076"/>
      <c r="AB413" s="1099"/>
      <c r="AC413" s="1099"/>
      <c r="AD413" s="1176"/>
      <c r="AE413" s="1264"/>
      <c r="AF413" s="1315"/>
      <c r="AG413" s="1318"/>
      <c r="AH413" s="1076"/>
      <c r="AI413" s="1266"/>
      <c r="AJ413" s="1266"/>
      <c r="AK413" s="1267"/>
      <c r="AL413" s="1264"/>
      <c r="AM413" s="1255"/>
      <c r="AN413" s="1261"/>
      <c r="AO413" s="1276"/>
      <c r="AP413" s="1277"/>
      <c r="AQ413" s="1276"/>
      <c r="AR413" s="1278"/>
      <c r="AS413" s="1278"/>
    </row>
    <row r="414" spans="1:49" ht="15.6">
      <c r="A414" s="1097" t="s">
        <v>53</v>
      </c>
      <c r="B414" s="1143" t="s">
        <v>920</v>
      </c>
      <c r="C414" s="1144" t="s">
        <v>921</v>
      </c>
      <c r="D414" s="1144" t="s">
        <v>922</v>
      </c>
      <c r="E414" s="1473" t="s">
        <v>125</v>
      </c>
      <c r="F414" s="856">
        <v>2024</v>
      </c>
      <c r="G414" s="1099">
        <v>45656</v>
      </c>
      <c r="H414" s="3">
        <v>200104474</v>
      </c>
      <c r="I414" s="1474" t="s">
        <v>923</v>
      </c>
      <c r="J414" s="1144">
        <v>1</v>
      </c>
      <c r="K414" s="856" t="s">
        <v>924</v>
      </c>
      <c r="L414" s="856" t="s">
        <v>144</v>
      </c>
      <c r="M414" s="856">
        <v>454.96</v>
      </c>
      <c r="N414" s="784">
        <v>272.95999999999998</v>
      </c>
      <c r="O414" s="1179">
        <v>45296</v>
      </c>
      <c r="P414" s="1179">
        <v>45298</v>
      </c>
      <c r="Q414" s="3"/>
      <c r="R414" s="3"/>
      <c r="S414" s="851" t="s">
        <v>62</v>
      </c>
      <c r="T414" s="1201"/>
      <c r="U414" s="856"/>
      <c r="V414" s="856"/>
      <c r="W414" s="856"/>
      <c r="X414" s="1100"/>
      <c r="Y414" s="958"/>
      <c r="Z414" s="856"/>
      <c r="AA414" s="1076"/>
      <c r="AB414" s="1099">
        <v>45301</v>
      </c>
      <c r="AC414" s="1099">
        <v>45301</v>
      </c>
      <c r="AD414" s="1176">
        <f>310+415</f>
        <v>725</v>
      </c>
      <c r="AE414" s="1264">
        <f t="shared" ref="AE414:AE420" si="50">AD414/756</f>
        <v>0.95899470899470896</v>
      </c>
      <c r="AF414" s="1228" t="s">
        <v>64</v>
      </c>
      <c r="AG414" s="1262">
        <v>1</v>
      </c>
      <c r="AH414" s="851" t="s">
        <v>132</v>
      </c>
      <c r="AI414" s="1248">
        <v>45309</v>
      </c>
      <c r="AJ414" s="1248">
        <v>45310</v>
      </c>
      <c r="AK414" s="1249">
        <f>4000+99600+135963</f>
        <v>239563</v>
      </c>
      <c r="AL414" s="1264">
        <f t="shared" ref="AL414:AL420" si="51">AK414/250000</f>
        <v>0.95825199999999999</v>
      </c>
      <c r="AM414" s="1252" t="s">
        <v>62</v>
      </c>
      <c r="AN414" s="1334">
        <v>1</v>
      </c>
      <c r="AO414" s="1276"/>
      <c r="AP414" s="1277"/>
      <c r="AQ414" s="1276"/>
      <c r="AR414" s="1278"/>
      <c r="AS414" s="1278"/>
    </row>
    <row r="415" spans="1:49" ht="15.6">
      <c r="A415" s="1097" t="s">
        <v>53</v>
      </c>
      <c r="B415" s="1143" t="s">
        <v>920</v>
      </c>
      <c r="C415" s="1144" t="s">
        <v>921</v>
      </c>
      <c r="D415" s="1144" t="s">
        <v>922</v>
      </c>
      <c r="E415" s="1473" t="s">
        <v>125</v>
      </c>
      <c r="F415" s="856">
        <v>2024</v>
      </c>
      <c r="G415" s="1099">
        <v>45656</v>
      </c>
      <c r="H415" s="3">
        <v>200104475</v>
      </c>
      <c r="I415" s="1474" t="s">
        <v>925</v>
      </c>
      <c r="J415" s="1144">
        <v>2</v>
      </c>
      <c r="K415" s="856" t="s">
        <v>924</v>
      </c>
      <c r="L415" s="856" t="s">
        <v>144</v>
      </c>
      <c r="M415" s="856">
        <v>459.1</v>
      </c>
      <c r="N415" s="784">
        <v>281.68</v>
      </c>
      <c r="O415" s="1179">
        <v>45296</v>
      </c>
      <c r="P415" s="1179">
        <v>45299</v>
      </c>
      <c r="Q415" s="3"/>
      <c r="R415" s="3"/>
      <c r="S415" s="851" t="s">
        <v>62</v>
      </c>
      <c r="T415" s="1201"/>
      <c r="U415" s="856"/>
      <c r="V415" s="856"/>
      <c r="W415" s="856"/>
      <c r="X415" s="1100"/>
      <c r="Y415" s="958"/>
      <c r="Z415" s="856"/>
      <c r="AA415" s="1076"/>
      <c r="AB415" s="1099">
        <v>45302</v>
      </c>
      <c r="AC415" s="1099">
        <v>45302</v>
      </c>
      <c r="AD415" s="1176">
        <f>285+410+38</f>
        <v>733</v>
      </c>
      <c r="AE415" s="1264">
        <f t="shared" si="50"/>
        <v>0.96957671957671954</v>
      </c>
      <c r="AF415" s="1228" t="s">
        <v>64</v>
      </c>
      <c r="AG415" s="1262">
        <v>1</v>
      </c>
      <c r="AH415" s="1076" t="s">
        <v>132</v>
      </c>
      <c r="AI415" s="1266">
        <v>45310</v>
      </c>
      <c r="AJ415" s="1266">
        <v>45313</v>
      </c>
      <c r="AK415" s="1249">
        <f>136809+105207</f>
        <v>242016</v>
      </c>
      <c r="AL415" s="1264">
        <f t="shared" si="51"/>
        <v>0.96806400000000004</v>
      </c>
      <c r="AM415" s="1252" t="s">
        <v>62</v>
      </c>
      <c r="AN415" s="1334">
        <v>1</v>
      </c>
      <c r="AO415" s="1276"/>
      <c r="AP415" s="1277"/>
      <c r="AQ415" s="1276"/>
      <c r="AR415" s="1278"/>
      <c r="AS415" s="1278"/>
    </row>
    <row r="416" spans="1:49" ht="15.6">
      <c r="A416" s="1097" t="s">
        <v>53</v>
      </c>
      <c r="B416" s="1143" t="s">
        <v>920</v>
      </c>
      <c r="C416" s="1144" t="s">
        <v>921</v>
      </c>
      <c r="D416" s="1144" t="s">
        <v>922</v>
      </c>
      <c r="E416" s="1473" t="s">
        <v>125</v>
      </c>
      <c r="F416" s="856">
        <v>2024</v>
      </c>
      <c r="G416" s="1099">
        <v>45656</v>
      </c>
      <c r="H416" s="3">
        <v>200104476</v>
      </c>
      <c r="I416" s="1474" t="s">
        <v>926</v>
      </c>
      <c r="J416" s="1144">
        <v>3</v>
      </c>
      <c r="K416" s="856" t="s">
        <v>924</v>
      </c>
      <c r="L416" s="3" t="s">
        <v>128</v>
      </c>
      <c r="M416" s="856">
        <v>472.54</v>
      </c>
      <c r="N416" s="786">
        <v>255.54</v>
      </c>
      <c r="O416" s="1179">
        <v>45296</v>
      </c>
      <c r="P416" s="958">
        <v>45299</v>
      </c>
      <c r="Q416" s="3"/>
      <c r="R416" s="3" t="s">
        <v>927</v>
      </c>
      <c r="S416" s="851" t="s">
        <v>62</v>
      </c>
      <c r="T416" s="1201"/>
      <c r="U416" s="3" t="s">
        <v>130</v>
      </c>
      <c r="V416" s="848"/>
      <c r="W416" s="786">
        <v>277.89999999999998</v>
      </c>
      <c r="X416" s="1100"/>
      <c r="Y416" s="958">
        <v>45299</v>
      </c>
      <c r="Z416" s="856" t="s">
        <v>62</v>
      </c>
      <c r="AA416" s="1076"/>
      <c r="AB416" s="1099">
        <v>45299</v>
      </c>
      <c r="AC416" s="1099">
        <v>45300</v>
      </c>
      <c r="AD416" s="1176">
        <f>165+160+410</f>
        <v>735</v>
      </c>
      <c r="AE416" s="1264">
        <f t="shared" si="50"/>
        <v>0.97222222222222221</v>
      </c>
      <c r="AF416" s="1228" t="s">
        <v>64</v>
      </c>
      <c r="AG416" s="1262">
        <v>1</v>
      </c>
      <c r="AH416" s="1076" t="s">
        <v>132</v>
      </c>
      <c r="AI416" s="1266">
        <v>45313</v>
      </c>
      <c r="AJ416" s="1266">
        <v>45314</v>
      </c>
      <c r="AK416" s="1249">
        <f>14200+134117+94636</f>
        <v>242953</v>
      </c>
      <c r="AL416" s="1264">
        <f t="shared" si="51"/>
        <v>0.97181200000000001</v>
      </c>
      <c r="AM416" s="1252" t="s">
        <v>62</v>
      </c>
      <c r="AN416" s="1334">
        <v>1</v>
      </c>
      <c r="AO416" s="1276"/>
      <c r="AP416" s="1277"/>
      <c r="AQ416" s="1276"/>
      <c r="AR416" s="1278"/>
      <c r="AS416" s="1278"/>
    </row>
    <row r="417" spans="1:45" ht="15.6">
      <c r="A417" s="1097" t="s">
        <v>53</v>
      </c>
      <c r="B417" s="1143" t="s">
        <v>920</v>
      </c>
      <c r="C417" s="1144" t="s">
        <v>921</v>
      </c>
      <c r="D417" s="1144" t="s">
        <v>922</v>
      </c>
      <c r="E417" s="1473" t="s">
        <v>125</v>
      </c>
      <c r="F417" s="856">
        <v>2024</v>
      </c>
      <c r="G417" s="1099">
        <v>45656</v>
      </c>
      <c r="H417" s="3">
        <v>200104477</v>
      </c>
      <c r="I417" s="1474" t="s">
        <v>928</v>
      </c>
      <c r="J417" s="1144">
        <v>4</v>
      </c>
      <c r="K417" s="3" t="s">
        <v>128</v>
      </c>
      <c r="L417" s="3" t="s">
        <v>128</v>
      </c>
      <c r="M417" s="786">
        <v>462.9</v>
      </c>
      <c r="N417" s="786">
        <v>258.26</v>
      </c>
      <c r="O417" s="958">
        <v>45299</v>
      </c>
      <c r="P417" s="958">
        <v>45299</v>
      </c>
      <c r="Q417" s="3" t="s">
        <v>929</v>
      </c>
      <c r="R417" s="3" t="s">
        <v>930</v>
      </c>
      <c r="S417" s="851" t="s">
        <v>62</v>
      </c>
      <c r="T417" s="1201"/>
      <c r="U417" s="3" t="s">
        <v>130</v>
      </c>
      <c r="V417" s="848"/>
      <c r="W417" s="786">
        <v>281.3</v>
      </c>
      <c r="X417" s="1100"/>
      <c r="Y417" s="958">
        <v>45299</v>
      </c>
      <c r="Z417" s="856" t="s">
        <v>62</v>
      </c>
      <c r="AA417" s="1076"/>
      <c r="AB417" s="1099">
        <v>45300</v>
      </c>
      <c r="AC417" s="1099">
        <v>45301</v>
      </c>
      <c r="AD417" s="1176">
        <f>335+320+25+53</f>
        <v>733</v>
      </c>
      <c r="AE417" s="1264">
        <f t="shared" si="50"/>
        <v>0.96957671957671954</v>
      </c>
      <c r="AF417" s="1228" t="s">
        <v>64</v>
      </c>
      <c r="AG417" s="1262">
        <v>1</v>
      </c>
      <c r="AH417" s="1076" t="s">
        <v>132</v>
      </c>
      <c r="AI417" s="1266">
        <v>45316</v>
      </c>
      <c r="AJ417" s="1266">
        <v>45316</v>
      </c>
      <c r="AK417" s="1249">
        <f>48500+139866+53692</f>
        <v>242058</v>
      </c>
      <c r="AL417" s="1264">
        <f t="shared" si="51"/>
        <v>0.96823199999999998</v>
      </c>
      <c r="AM417" s="1252" t="s">
        <v>62</v>
      </c>
      <c r="AN417" s="1334">
        <v>1</v>
      </c>
      <c r="AO417" s="1276"/>
      <c r="AP417" s="1277"/>
      <c r="AQ417" s="1276"/>
      <c r="AR417" s="1278"/>
      <c r="AS417" s="1278"/>
    </row>
    <row r="418" spans="1:45" ht="15.6">
      <c r="A418" s="1097" t="s">
        <v>53</v>
      </c>
      <c r="B418" s="1143" t="s">
        <v>920</v>
      </c>
      <c r="C418" s="1144" t="s">
        <v>921</v>
      </c>
      <c r="D418" s="1144" t="s">
        <v>922</v>
      </c>
      <c r="E418" s="1473" t="s">
        <v>125</v>
      </c>
      <c r="F418" s="856">
        <v>2024</v>
      </c>
      <c r="G418" s="3" t="s">
        <v>607</v>
      </c>
      <c r="H418" s="3">
        <v>200104644</v>
      </c>
      <c r="I418" s="1436" t="s">
        <v>931</v>
      </c>
      <c r="J418" s="1144">
        <v>5</v>
      </c>
      <c r="K418" s="3" t="s">
        <v>932</v>
      </c>
      <c r="L418" s="3" t="s">
        <v>128</v>
      </c>
      <c r="M418" s="762">
        <v>462.4</v>
      </c>
      <c r="N418" s="786">
        <v>253.1</v>
      </c>
      <c r="O418" s="958">
        <v>45301</v>
      </c>
      <c r="P418" s="958">
        <v>45300</v>
      </c>
      <c r="Q418" s="3" t="s">
        <v>933</v>
      </c>
      <c r="R418" s="3" t="s">
        <v>934</v>
      </c>
      <c r="S418" s="851" t="s">
        <v>62</v>
      </c>
      <c r="T418" s="1201"/>
      <c r="U418" s="3" t="s">
        <v>130</v>
      </c>
      <c r="V418" s="848"/>
      <c r="W418" s="786">
        <v>276.3</v>
      </c>
      <c r="X418" s="1100"/>
      <c r="Y418" s="958">
        <v>45301</v>
      </c>
      <c r="Z418" s="856" t="s">
        <v>62</v>
      </c>
      <c r="AA418" s="1076"/>
      <c r="AB418" s="1099">
        <v>45302</v>
      </c>
      <c r="AC418" s="1099">
        <v>45303</v>
      </c>
      <c r="AD418" s="1176">
        <f>390+344</f>
        <v>734</v>
      </c>
      <c r="AE418" s="1264">
        <f t="shared" si="50"/>
        <v>0.97089947089947093</v>
      </c>
      <c r="AF418" s="1228" t="s">
        <v>64</v>
      </c>
      <c r="AG418" s="1262">
        <v>1</v>
      </c>
      <c r="AH418" s="1076" t="s">
        <v>132</v>
      </c>
      <c r="AI418" s="1266">
        <v>45314</v>
      </c>
      <c r="AJ418" s="1266">
        <v>45314</v>
      </c>
      <c r="AK418" s="1249">
        <f>43000+141200+58592</f>
        <v>242792</v>
      </c>
      <c r="AL418" s="1264">
        <f t="shared" si="51"/>
        <v>0.97116800000000003</v>
      </c>
      <c r="AM418" s="1252" t="s">
        <v>62</v>
      </c>
      <c r="AN418" s="1334">
        <v>1</v>
      </c>
      <c r="AO418" s="1276"/>
      <c r="AP418" s="1277"/>
      <c r="AQ418" s="1276"/>
      <c r="AR418" s="1278"/>
      <c r="AS418" s="1278"/>
    </row>
    <row r="419" spans="1:45" ht="15.6">
      <c r="A419" s="1097" t="s">
        <v>53</v>
      </c>
      <c r="B419" s="1143" t="s">
        <v>920</v>
      </c>
      <c r="C419" s="1144" t="s">
        <v>921</v>
      </c>
      <c r="D419" s="1144" t="s">
        <v>922</v>
      </c>
      <c r="E419" s="1473" t="s">
        <v>125</v>
      </c>
      <c r="F419" s="856">
        <v>2024</v>
      </c>
      <c r="G419" s="3" t="s">
        <v>607</v>
      </c>
      <c r="H419" s="3">
        <v>200104645</v>
      </c>
      <c r="I419" s="1436" t="s">
        <v>935</v>
      </c>
      <c r="J419" s="1144">
        <v>6</v>
      </c>
      <c r="K419" s="3" t="s">
        <v>932</v>
      </c>
      <c r="L419" s="3" t="s">
        <v>128</v>
      </c>
      <c r="M419" s="786">
        <v>461.8</v>
      </c>
      <c r="N419" s="786">
        <v>256.63</v>
      </c>
      <c r="O419" s="958">
        <v>45302</v>
      </c>
      <c r="P419" s="958">
        <v>45302</v>
      </c>
      <c r="Q419" s="3" t="s">
        <v>936</v>
      </c>
      <c r="R419" s="3" t="s">
        <v>937</v>
      </c>
      <c r="S419" s="851" t="s">
        <v>62</v>
      </c>
      <c r="T419" s="1201"/>
      <c r="U419" s="3" t="s">
        <v>130</v>
      </c>
      <c r="V419" s="848"/>
      <c r="W419" s="786">
        <v>279.60000000000002</v>
      </c>
      <c r="X419" s="1100"/>
      <c r="Y419" s="958">
        <v>45302</v>
      </c>
      <c r="Z419" s="856" t="s">
        <v>62</v>
      </c>
      <c r="AA419" s="1076"/>
      <c r="AB419" s="1099">
        <v>45303</v>
      </c>
      <c r="AC419" s="1099">
        <v>45303</v>
      </c>
      <c r="AD419" s="1176">
        <f>300+435</f>
        <v>735</v>
      </c>
      <c r="AE419" s="1264">
        <f t="shared" si="50"/>
        <v>0.97222222222222221</v>
      </c>
      <c r="AF419" s="1228" t="s">
        <v>64</v>
      </c>
      <c r="AG419" s="1262">
        <v>1</v>
      </c>
      <c r="AH419" s="1076" t="s">
        <v>132</v>
      </c>
      <c r="AI419" s="1266">
        <v>45314</v>
      </c>
      <c r="AJ419" s="1266">
        <v>45315</v>
      </c>
      <c r="AK419" s="1249">
        <f>93500+149281</f>
        <v>242781</v>
      </c>
      <c r="AL419" s="1264">
        <f t="shared" si="51"/>
        <v>0.97112399999999999</v>
      </c>
      <c r="AM419" s="1252" t="s">
        <v>62</v>
      </c>
      <c r="AN419" s="1334">
        <v>1</v>
      </c>
      <c r="AO419" s="1276"/>
      <c r="AP419" s="1277"/>
      <c r="AQ419" s="1276"/>
      <c r="AR419" s="1278"/>
      <c r="AS419" s="1278"/>
    </row>
    <row r="420" spans="1:45" ht="15.6">
      <c r="A420" s="1097" t="s">
        <v>53</v>
      </c>
      <c r="B420" s="1143" t="s">
        <v>920</v>
      </c>
      <c r="C420" s="1144" t="s">
        <v>921</v>
      </c>
      <c r="D420" s="1144" t="s">
        <v>922</v>
      </c>
      <c r="E420" s="1473" t="s">
        <v>125</v>
      </c>
      <c r="F420" s="856">
        <v>2024</v>
      </c>
      <c r="G420" s="3" t="s">
        <v>607</v>
      </c>
      <c r="H420" s="3">
        <v>200104646</v>
      </c>
      <c r="I420" s="1436" t="s">
        <v>938</v>
      </c>
      <c r="J420" s="1144">
        <v>7</v>
      </c>
      <c r="K420" s="3" t="s">
        <v>932</v>
      </c>
      <c r="L420" s="3" t="s">
        <v>128</v>
      </c>
      <c r="M420" s="762">
        <v>460.7</v>
      </c>
      <c r="N420" s="762">
        <v>255.48</v>
      </c>
      <c r="O420" s="958">
        <v>45303</v>
      </c>
      <c r="P420" s="958">
        <v>45303</v>
      </c>
      <c r="Q420" s="3" t="s">
        <v>939</v>
      </c>
      <c r="R420" s="3" t="s">
        <v>940</v>
      </c>
      <c r="S420" s="851" t="s">
        <v>62</v>
      </c>
      <c r="T420" s="1201"/>
      <c r="U420" s="3" t="s">
        <v>130</v>
      </c>
      <c r="V420" s="848"/>
      <c r="W420" s="786">
        <v>278.7</v>
      </c>
      <c r="X420" s="1100"/>
      <c r="Y420" s="958">
        <v>45303</v>
      </c>
      <c r="Z420" s="856" t="s">
        <v>62</v>
      </c>
      <c r="AA420" s="1076"/>
      <c r="AB420" s="1099">
        <v>45306</v>
      </c>
      <c r="AC420" s="1099">
        <v>45307</v>
      </c>
      <c r="AD420" s="1176">
        <f>100+355+280</f>
        <v>735</v>
      </c>
      <c r="AE420" s="1264">
        <f t="shared" si="50"/>
        <v>0.97222222222222221</v>
      </c>
      <c r="AF420" s="1228" t="s">
        <v>64</v>
      </c>
      <c r="AG420" s="1262">
        <v>1</v>
      </c>
      <c r="AH420" s="1076" t="s">
        <v>132</v>
      </c>
      <c r="AI420" s="1266">
        <v>45315</v>
      </c>
      <c r="AJ420" s="1266">
        <v>45315</v>
      </c>
      <c r="AK420" s="1249">
        <f>113289+129897</f>
        <v>243186</v>
      </c>
      <c r="AL420" s="1264">
        <f t="shared" si="51"/>
        <v>0.97274400000000005</v>
      </c>
      <c r="AM420" s="1252" t="s">
        <v>62</v>
      </c>
      <c r="AN420" s="1334">
        <v>1</v>
      </c>
      <c r="AO420" s="1276"/>
      <c r="AP420" s="1277"/>
      <c r="AQ420" s="1276"/>
      <c r="AR420" s="1278"/>
      <c r="AS420" s="1278"/>
    </row>
    <row r="421" spans="1:45" ht="15.6">
      <c r="A421" s="1097" t="s">
        <v>53</v>
      </c>
      <c r="B421" s="1143"/>
      <c r="C421" s="1144"/>
      <c r="D421" s="1144"/>
      <c r="E421" s="1098"/>
      <c r="F421" s="1098"/>
      <c r="G421" s="3"/>
      <c r="H421" s="3"/>
      <c r="I421" s="3"/>
      <c r="J421" s="1144"/>
      <c r="K421" s="856"/>
      <c r="L421" s="856"/>
      <c r="M421" s="856"/>
      <c r="N421" s="856"/>
      <c r="O421" s="1179"/>
      <c r="P421" s="1179"/>
      <c r="Q421" s="1099"/>
      <c r="R421" s="1099"/>
      <c r="S421" s="1340"/>
      <c r="T421" s="856"/>
      <c r="U421" s="856"/>
      <c r="V421" s="856"/>
      <c r="W421" s="856"/>
      <c r="X421" s="1179"/>
      <c r="Y421" s="1202"/>
      <c r="Z421" s="856"/>
      <c r="AA421" s="1076"/>
      <c r="AB421" s="1099"/>
      <c r="AC421" s="1099"/>
      <c r="AD421" s="1176"/>
      <c r="AE421" s="1264"/>
      <c r="AF421" s="1342"/>
      <c r="AG421" s="1317"/>
      <c r="AH421" s="1076"/>
      <c r="AI421" s="1266"/>
      <c r="AJ421" s="1266"/>
      <c r="AK421" s="1249"/>
      <c r="AL421" s="1264"/>
      <c r="AM421" s="1331"/>
      <c r="AN421" s="1334"/>
      <c r="AO421" s="1276"/>
      <c r="AP421" s="1277"/>
      <c r="AQ421" s="1276"/>
      <c r="AR421" s="1278"/>
      <c r="AS421" s="1278"/>
    </row>
    <row r="422" spans="1:45" ht="15.6">
      <c r="A422" s="1097" t="s">
        <v>53</v>
      </c>
      <c r="B422" s="1143" t="s">
        <v>920</v>
      </c>
      <c r="C422" s="1144" t="s">
        <v>921</v>
      </c>
      <c r="D422" s="1144" t="s">
        <v>922</v>
      </c>
      <c r="E422" s="1473" t="s">
        <v>163</v>
      </c>
      <c r="F422" s="856">
        <v>2024</v>
      </c>
      <c r="G422" s="1099">
        <v>45314</v>
      </c>
      <c r="H422" s="3">
        <v>200104802</v>
      </c>
      <c r="I422" s="1475" t="s">
        <v>941</v>
      </c>
      <c r="J422" s="1144">
        <v>1</v>
      </c>
      <c r="K422" s="3" t="s">
        <v>932</v>
      </c>
      <c r="L422" s="3" t="s">
        <v>128</v>
      </c>
      <c r="M422" s="785">
        <v>464.8</v>
      </c>
      <c r="N422" s="786">
        <v>253.03</v>
      </c>
      <c r="O422" s="958">
        <v>45323</v>
      </c>
      <c r="P422" s="958">
        <v>45323</v>
      </c>
      <c r="Q422" s="3" t="s">
        <v>942</v>
      </c>
      <c r="R422" s="3" t="s">
        <v>934</v>
      </c>
      <c r="S422" s="851" t="s">
        <v>62</v>
      </c>
      <c r="T422" s="848"/>
      <c r="U422" s="3" t="s">
        <v>130</v>
      </c>
      <c r="V422" s="848"/>
      <c r="W422" s="762">
        <v>275.3</v>
      </c>
      <c r="X422" s="1282"/>
      <c r="Y422" s="958">
        <v>45324</v>
      </c>
      <c r="Z422" s="856" t="s">
        <v>62</v>
      </c>
      <c r="AA422" s="1076"/>
      <c r="AB422" s="1099">
        <v>45327</v>
      </c>
      <c r="AC422" s="1099">
        <v>45327</v>
      </c>
      <c r="AD422" s="1176">
        <f>110+260+365</f>
        <v>735</v>
      </c>
      <c r="AE422" s="1264">
        <f t="shared" ref="AE422:AE433" si="52">AD422/756</f>
        <v>0.97222222222222221</v>
      </c>
      <c r="AF422" s="1228" t="s">
        <v>64</v>
      </c>
      <c r="AG422" s="1262">
        <v>1</v>
      </c>
      <c r="AH422" s="1248" t="s">
        <v>132</v>
      </c>
      <c r="AI422" s="1266">
        <v>45331</v>
      </c>
      <c r="AJ422" s="1266">
        <v>45334</v>
      </c>
      <c r="AK422" s="1249">
        <f>2000+127000+88000+25824</f>
        <v>242824</v>
      </c>
      <c r="AL422" s="1264">
        <f t="shared" ref="AL422:AL433" si="53">AK422/250000</f>
        <v>0.97129600000000005</v>
      </c>
      <c r="AM422" s="1252" t="s">
        <v>62</v>
      </c>
      <c r="AN422" s="1334">
        <v>1</v>
      </c>
      <c r="AO422" s="1276"/>
      <c r="AP422" s="1277"/>
      <c r="AQ422" s="1276"/>
      <c r="AR422" s="1278"/>
      <c r="AS422" s="1278"/>
    </row>
    <row r="423" spans="1:45" ht="15.6">
      <c r="A423" s="1097" t="s">
        <v>53</v>
      </c>
      <c r="B423" s="1143" t="s">
        <v>920</v>
      </c>
      <c r="C423" s="1144" t="s">
        <v>921</v>
      </c>
      <c r="D423" s="1144" t="s">
        <v>922</v>
      </c>
      <c r="E423" s="1473" t="s">
        <v>163</v>
      </c>
      <c r="F423" s="856">
        <v>2024</v>
      </c>
      <c r="G423" s="1099">
        <v>45314</v>
      </c>
      <c r="H423" s="3">
        <v>200104803</v>
      </c>
      <c r="I423" s="1475" t="s">
        <v>943</v>
      </c>
      <c r="J423" s="1144">
        <v>2</v>
      </c>
      <c r="K423" s="3" t="s">
        <v>932</v>
      </c>
      <c r="L423" s="3" t="s">
        <v>128</v>
      </c>
      <c r="M423" s="762">
        <v>464.2</v>
      </c>
      <c r="N423" s="786">
        <v>257.5</v>
      </c>
      <c r="O423" s="958">
        <v>45324</v>
      </c>
      <c r="P423" s="958">
        <v>45323</v>
      </c>
      <c r="Q423" s="3" t="s">
        <v>944</v>
      </c>
      <c r="R423" s="3" t="s">
        <v>945</v>
      </c>
      <c r="S423" s="851" t="s">
        <v>62</v>
      </c>
      <c r="T423" s="848"/>
      <c r="U423" s="3" t="s">
        <v>130</v>
      </c>
      <c r="V423" s="848"/>
      <c r="W423" s="762">
        <v>280.89999999999998</v>
      </c>
      <c r="X423" s="1282"/>
      <c r="Y423" s="958">
        <v>45324</v>
      </c>
      <c r="Z423" s="856" t="s">
        <v>62</v>
      </c>
      <c r="AA423" s="1076"/>
      <c r="AB423" s="1099">
        <v>45328</v>
      </c>
      <c r="AC423" s="1099">
        <v>45328</v>
      </c>
      <c r="AD423" s="1176">
        <f>310+430</f>
        <v>740</v>
      </c>
      <c r="AE423" s="1264">
        <f t="shared" si="52"/>
        <v>0.97883597883597884</v>
      </c>
      <c r="AF423" s="1228" t="s">
        <v>64</v>
      </c>
      <c r="AG423" s="1262">
        <v>1</v>
      </c>
      <c r="AH423" s="1248" t="s">
        <v>132</v>
      </c>
      <c r="AI423" s="1266">
        <v>45334</v>
      </c>
      <c r="AJ423" s="1266">
        <v>45335</v>
      </c>
      <c r="AK423" s="1249">
        <f>43050+144300+57633</f>
        <v>244983</v>
      </c>
      <c r="AL423" s="1264">
        <f t="shared" si="53"/>
        <v>0.97993200000000003</v>
      </c>
      <c r="AM423" s="1252" t="s">
        <v>62</v>
      </c>
      <c r="AN423" s="1334">
        <v>1</v>
      </c>
      <c r="AO423" s="1276"/>
      <c r="AP423" s="1277"/>
      <c r="AQ423" s="1276"/>
      <c r="AR423" s="1278"/>
      <c r="AS423" s="1278"/>
    </row>
    <row r="424" spans="1:45" ht="15.6">
      <c r="A424" s="1097" t="s">
        <v>53</v>
      </c>
      <c r="B424" s="1143" t="s">
        <v>920</v>
      </c>
      <c r="C424" s="1144" t="s">
        <v>921</v>
      </c>
      <c r="D424" s="1144" t="s">
        <v>922</v>
      </c>
      <c r="E424" s="1473" t="s">
        <v>163</v>
      </c>
      <c r="F424" s="856">
        <v>2024</v>
      </c>
      <c r="G424" s="1099">
        <v>45314</v>
      </c>
      <c r="H424" s="3">
        <v>200104804</v>
      </c>
      <c r="I424" s="1475" t="s">
        <v>946</v>
      </c>
      <c r="J424" s="1144">
        <v>3</v>
      </c>
      <c r="K424" s="3" t="s">
        <v>932</v>
      </c>
      <c r="L424" s="3" t="s">
        <v>128</v>
      </c>
      <c r="M424" s="786">
        <v>466.9</v>
      </c>
      <c r="N424" s="786">
        <v>259.95999999999998</v>
      </c>
      <c r="O424" s="958">
        <v>45327</v>
      </c>
      <c r="P424" s="958">
        <v>45323</v>
      </c>
      <c r="Q424" s="3" t="s">
        <v>947</v>
      </c>
      <c r="R424" s="3" t="s">
        <v>948</v>
      </c>
      <c r="S424" s="851" t="s">
        <v>62</v>
      </c>
      <c r="T424" s="848"/>
      <c r="U424" s="3" t="s">
        <v>130</v>
      </c>
      <c r="V424" s="848"/>
      <c r="W424" s="762">
        <v>282.3</v>
      </c>
      <c r="X424" s="1282"/>
      <c r="Y424" s="958">
        <v>45324</v>
      </c>
      <c r="Z424" s="856" t="s">
        <v>62</v>
      </c>
      <c r="AA424" s="1076"/>
      <c r="AB424" s="1099">
        <v>45328</v>
      </c>
      <c r="AC424" s="1099">
        <v>45329</v>
      </c>
      <c r="AD424" s="1176">
        <f>410+332</f>
        <v>742</v>
      </c>
      <c r="AE424" s="1264">
        <f t="shared" si="52"/>
        <v>0.98148148148148151</v>
      </c>
      <c r="AF424" s="1228" t="s">
        <v>64</v>
      </c>
      <c r="AG424" s="1262">
        <v>1</v>
      </c>
      <c r="AH424" s="1248" t="s">
        <v>132</v>
      </c>
      <c r="AI424" s="1266">
        <v>45335</v>
      </c>
      <c r="AJ424" s="1266">
        <v>45335</v>
      </c>
      <c r="AK424" s="1249">
        <f>86600+158301</f>
        <v>244901</v>
      </c>
      <c r="AL424" s="1264">
        <f t="shared" si="53"/>
        <v>0.97960400000000003</v>
      </c>
      <c r="AM424" s="1252" t="s">
        <v>62</v>
      </c>
      <c r="AN424" s="1334">
        <v>1</v>
      </c>
      <c r="AO424" s="1276"/>
      <c r="AP424" s="1277"/>
      <c r="AQ424" s="1276"/>
      <c r="AR424" s="1278"/>
      <c r="AS424" s="1278"/>
    </row>
    <row r="425" spans="1:45" ht="15.6">
      <c r="A425" s="1097" t="s">
        <v>53</v>
      </c>
      <c r="B425" s="1143" t="s">
        <v>920</v>
      </c>
      <c r="C425" s="1144" t="s">
        <v>921</v>
      </c>
      <c r="D425" s="1144" t="s">
        <v>922</v>
      </c>
      <c r="E425" s="1473" t="s">
        <v>163</v>
      </c>
      <c r="F425" s="856">
        <v>2024</v>
      </c>
      <c r="G425" s="1099">
        <v>45314</v>
      </c>
      <c r="H425" s="3">
        <v>200104805</v>
      </c>
      <c r="I425" s="1475" t="s">
        <v>949</v>
      </c>
      <c r="J425" s="1144">
        <v>4</v>
      </c>
      <c r="K425" s="3" t="s">
        <v>932</v>
      </c>
      <c r="L425" s="3" t="s">
        <v>128</v>
      </c>
      <c r="M425" s="786">
        <v>466.8</v>
      </c>
      <c r="N425" s="786">
        <v>259.25</v>
      </c>
      <c r="O425" s="958">
        <v>45327</v>
      </c>
      <c r="P425" s="958">
        <v>45324</v>
      </c>
      <c r="Q425" s="3" t="s">
        <v>950</v>
      </c>
      <c r="R425" s="3" t="s">
        <v>951</v>
      </c>
      <c r="S425" s="851" t="s">
        <v>62</v>
      </c>
      <c r="T425" s="848"/>
      <c r="U425" s="3" t="s">
        <v>130</v>
      </c>
      <c r="V425" s="848"/>
      <c r="W425" s="3">
        <v>282.39999999999998</v>
      </c>
      <c r="X425" s="1282"/>
      <c r="Y425" s="958">
        <v>45328</v>
      </c>
      <c r="Z425" s="856" t="s">
        <v>62</v>
      </c>
      <c r="AA425" s="1076"/>
      <c r="AB425" s="1099">
        <v>45329</v>
      </c>
      <c r="AC425" s="1099">
        <v>45329</v>
      </c>
      <c r="AD425" s="1176">
        <f>50+420+271</f>
        <v>741</v>
      </c>
      <c r="AE425" s="1264">
        <f t="shared" si="52"/>
        <v>0.98015873015873012</v>
      </c>
      <c r="AF425" s="1228" t="s">
        <v>64</v>
      </c>
      <c r="AG425" s="1262">
        <v>1</v>
      </c>
      <c r="AH425" s="1248" t="s">
        <v>132</v>
      </c>
      <c r="AI425" s="1266">
        <v>45335</v>
      </c>
      <c r="AJ425" s="1266">
        <v>45337</v>
      </c>
      <c r="AK425" s="1249">
        <f>151000+93842</f>
        <v>244842</v>
      </c>
      <c r="AL425" s="1264">
        <f t="shared" si="53"/>
        <v>0.97936800000000002</v>
      </c>
      <c r="AM425" s="1252" t="s">
        <v>62</v>
      </c>
      <c r="AN425" s="1334">
        <v>1</v>
      </c>
      <c r="AO425" s="1276"/>
      <c r="AP425" s="1277"/>
      <c r="AQ425" s="1276"/>
      <c r="AR425" s="1278"/>
      <c r="AS425" s="1278"/>
    </row>
    <row r="426" spans="1:45" ht="15.6">
      <c r="A426" s="1097" t="s">
        <v>53</v>
      </c>
      <c r="B426" s="1143" t="s">
        <v>920</v>
      </c>
      <c r="C426" s="1144" t="s">
        <v>921</v>
      </c>
      <c r="D426" s="1144" t="s">
        <v>922</v>
      </c>
      <c r="E426" s="1473" t="s">
        <v>163</v>
      </c>
      <c r="F426" s="856">
        <v>2024</v>
      </c>
      <c r="G426" s="1099">
        <v>45314</v>
      </c>
      <c r="H426" s="3">
        <v>200104806</v>
      </c>
      <c r="I426" s="1475" t="s">
        <v>952</v>
      </c>
      <c r="J426" s="1144">
        <v>5</v>
      </c>
      <c r="K426" s="3" t="s">
        <v>932</v>
      </c>
      <c r="L426" s="3" t="s">
        <v>128</v>
      </c>
      <c r="M426" s="762">
        <v>462.04</v>
      </c>
      <c r="N426" s="762">
        <v>251.84</v>
      </c>
      <c r="O426" s="958">
        <v>45328</v>
      </c>
      <c r="P426" s="958">
        <v>45327</v>
      </c>
      <c r="Q426" s="3" t="s">
        <v>953</v>
      </c>
      <c r="R426" s="3" t="s">
        <v>954</v>
      </c>
      <c r="S426" s="851" t="s">
        <v>62</v>
      </c>
      <c r="T426" s="848"/>
      <c r="U426" s="3" t="s">
        <v>130</v>
      </c>
      <c r="V426" s="848"/>
      <c r="W426" s="762">
        <v>274.7</v>
      </c>
      <c r="X426" s="1282"/>
      <c r="Y426" s="958">
        <v>45329</v>
      </c>
      <c r="Z426" s="856" t="s">
        <v>62</v>
      </c>
      <c r="AA426" s="1076"/>
      <c r="AB426" s="1099">
        <v>45329</v>
      </c>
      <c r="AC426" s="1099">
        <v>45331</v>
      </c>
      <c r="AD426" s="1176">
        <f>130+260+337</f>
        <v>727</v>
      </c>
      <c r="AE426" s="1264">
        <f t="shared" si="52"/>
        <v>0.96164021164021163</v>
      </c>
      <c r="AF426" s="1228" t="s">
        <v>64</v>
      </c>
      <c r="AG426" s="1262">
        <v>1</v>
      </c>
      <c r="AH426" s="1248" t="s">
        <v>132</v>
      </c>
      <c r="AI426" s="1266">
        <v>45337</v>
      </c>
      <c r="AJ426" s="1266">
        <v>45337</v>
      </c>
      <c r="AK426" s="1249">
        <f>16200+111000+113018</f>
        <v>240218</v>
      </c>
      <c r="AL426" s="1264">
        <f t="shared" si="53"/>
        <v>0.96087199999999995</v>
      </c>
      <c r="AM426" s="1252" t="s">
        <v>62</v>
      </c>
      <c r="AN426" s="1334">
        <v>1</v>
      </c>
      <c r="AO426" s="1276"/>
      <c r="AP426" s="1277"/>
      <c r="AQ426" s="1276"/>
      <c r="AR426" s="1278"/>
      <c r="AS426" s="1278"/>
    </row>
    <row r="427" spans="1:45" ht="15.6">
      <c r="A427" s="1097" t="s">
        <v>53</v>
      </c>
      <c r="B427" s="1143" t="s">
        <v>920</v>
      </c>
      <c r="C427" s="1144" t="s">
        <v>921</v>
      </c>
      <c r="D427" s="1144" t="s">
        <v>922</v>
      </c>
      <c r="E427" s="1473" t="s">
        <v>163</v>
      </c>
      <c r="F427" s="856">
        <v>2024</v>
      </c>
      <c r="G427" s="1099">
        <v>45327</v>
      </c>
      <c r="H427" s="1192">
        <v>200104905</v>
      </c>
      <c r="I427" s="1476" t="s">
        <v>955</v>
      </c>
      <c r="J427" s="1144">
        <v>6</v>
      </c>
      <c r="K427" s="3" t="s">
        <v>932</v>
      </c>
      <c r="L427" s="3" t="s">
        <v>128</v>
      </c>
      <c r="M427" s="762">
        <v>462.09</v>
      </c>
      <c r="N427" s="762">
        <v>255.01</v>
      </c>
      <c r="O427" s="958">
        <v>45328</v>
      </c>
      <c r="P427" s="958">
        <v>45329</v>
      </c>
      <c r="Q427" s="3" t="s">
        <v>956</v>
      </c>
      <c r="R427" s="3" t="s">
        <v>957</v>
      </c>
      <c r="S427" s="851" t="s">
        <v>62</v>
      </c>
      <c r="T427" s="848"/>
      <c r="U427" s="3" t="s">
        <v>130</v>
      </c>
      <c r="V427" s="848"/>
      <c r="W427" s="762">
        <v>277.60000000000002</v>
      </c>
      <c r="X427" s="1282"/>
      <c r="Y427" s="958">
        <v>45331</v>
      </c>
      <c r="Z427" s="856" t="s">
        <v>62</v>
      </c>
      <c r="AA427" s="1076"/>
      <c r="AB427" s="1099">
        <v>45331</v>
      </c>
      <c r="AC427" s="1099">
        <v>45334</v>
      </c>
      <c r="AD427" s="1176">
        <f>30+425+275</f>
        <v>730</v>
      </c>
      <c r="AE427" s="1264">
        <f t="shared" si="52"/>
        <v>0.96560846560846558</v>
      </c>
      <c r="AF427" s="1228" t="s">
        <v>64</v>
      </c>
      <c r="AG427" s="1262">
        <v>1</v>
      </c>
      <c r="AH427" s="1248" t="s">
        <v>132</v>
      </c>
      <c r="AI427" s="1266">
        <v>45337</v>
      </c>
      <c r="AJ427" s="1266">
        <v>45338</v>
      </c>
      <c r="AK427" s="1249">
        <f>19100+120000+101963</f>
        <v>241063</v>
      </c>
      <c r="AL427" s="1264">
        <f t="shared" si="53"/>
        <v>0.964252</v>
      </c>
      <c r="AM427" s="1252" t="s">
        <v>62</v>
      </c>
      <c r="AN427" s="1334">
        <v>1</v>
      </c>
      <c r="AO427" s="1276"/>
      <c r="AP427" s="1277"/>
      <c r="AQ427" s="1276"/>
      <c r="AR427" s="1278"/>
      <c r="AS427" s="1278"/>
    </row>
    <row r="428" spans="1:45" ht="15.6">
      <c r="A428" s="1097" t="s">
        <v>53</v>
      </c>
      <c r="B428" s="1143" t="s">
        <v>920</v>
      </c>
      <c r="C428" s="1144" t="s">
        <v>921</v>
      </c>
      <c r="D428" s="1144" t="s">
        <v>922</v>
      </c>
      <c r="E428" s="1473" t="s">
        <v>163</v>
      </c>
      <c r="F428" s="856">
        <v>2024</v>
      </c>
      <c r="G428" s="1099">
        <v>45327</v>
      </c>
      <c r="H428" s="1192">
        <v>200104906</v>
      </c>
      <c r="I428" s="1476" t="s">
        <v>958</v>
      </c>
      <c r="J428" s="1144">
        <v>7</v>
      </c>
      <c r="K428" s="3" t="s">
        <v>932</v>
      </c>
      <c r="L428" s="3" t="s">
        <v>128</v>
      </c>
      <c r="M428" s="762">
        <v>461.4</v>
      </c>
      <c r="N428" s="762">
        <v>259.95999999999998</v>
      </c>
      <c r="O428" s="958">
        <v>45329</v>
      </c>
      <c r="P428" s="958">
        <v>45329</v>
      </c>
      <c r="Q428" s="3" t="s">
        <v>959</v>
      </c>
      <c r="R428" s="3" t="s">
        <v>960</v>
      </c>
      <c r="S428" s="851" t="s">
        <v>62</v>
      </c>
      <c r="T428" s="848"/>
      <c r="U428" s="3" t="s">
        <v>130</v>
      </c>
      <c r="V428" s="848"/>
      <c r="W428" s="762">
        <v>282.8</v>
      </c>
      <c r="X428" s="1282"/>
      <c r="Y428" s="958">
        <v>45331</v>
      </c>
      <c r="Z428" s="856" t="s">
        <v>62</v>
      </c>
      <c r="AA428" s="1076"/>
      <c r="AB428" s="1099">
        <v>45334</v>
      </c>
      <c r="AC428" s="1099">
        <v>45335</v>
      </c>
      <c r="AD428" s="1176">
        <f>140+510+87</f>
        <v>737</v>
      </c>
      <c r="AE428" s="1264">
        <f t="shared" si="52"/>
        <v>0.97486772486772488</v>
      </c>
      <c r="AF428" s="1228" t="s">
        <v>64</v>
      </c>
      <c r="AG428" s="1262">
        <v>1</v>
      </c>
      <c r="AH428" s="1248" t="s">
        <v>132</v>
      </c>
      <c r="AI428" s="1266">
        <v>45338</v>
      </c>
      <c r="AJ428" s="1266">
        <v>45339</v>
      </c>
      <c r="AK428" s="1249">
        <f>149500+93775</f>
        <v>243275</v>
      </c>
      <c r="AL428" s="1264">
        <f t="shared" si="53"/>
        <v>0.97309999999999997</v>
      </c>
      <c r="AM428" s="1252" t="s">
        <v>62</v>
      </c>
      <c r="AN428" s="1334">
        <v>1</v>
      </c>
      <c r="AO428" s="1276"/>
      <c r="AP428" s="1277"/>
      <c r="AQ428" s="1276"/>
      <c r="AR428" s="1278"/>
      <c r="AS428" s="1278"/>
    </row>
    <row r="429" spans="1:45" ht="15.6">
      <c r="A429" s="1097" t="s">
        <v>53</v>
      </c>
      <c r="B429" s="1143" t="s">
        <v>920</v>
      </c>
      <c r="C429" s="1144" t="s">
        <v>921</v>
      </c>
      <c r="D429" s="1144" t="s">
        <v>922</v>
      </c>
      <c r="E429" s="1473" t="s">
        <v>163</v>
      </c>
      <c r="F429" s="856">
        <v>2024</v>
      </c>
      <c r="G429" s="1099">
        <v>45327</v>
      </c>
      <c r="H429" s="1192">
        <v>200104907</v>
      </c>
      <c r="I429" s="1476" t="s">
        <v>961</v>
      </c>
      <c r="J429" s="1144">
        <v>8</v>
      </c>
      <c r="K429" s="3" t="s">
        <v>932</v>
      </c>
      <c r="L429" s="3" t="s">
        <v>128</v>
      </c>
      <c r="M429" s="762">
        <v>467.2</v>
      </c>
      <c r="N429" s="762">
        <v>258.79000000000002</v>
      </c>
      <c r="O429" s="958">
        <v>45329</v>
      </c>
      <c r="P429" s="958">
        <v>45329</v>
      </c>
      <c r="Q429" s="3" t="s">
        <v>962</v>
      </c>
      <c r="R429" s="3" t="s">
        <v>963</v>
      </c>
      <c r="S429" s="851" t="s">
        <v>62</v>
      </c>
      <c r="T429" s="848"/>
      <c r="U429" s="3" t="s">
        <v>130</v>
      </c>
      <c r="V429" s="848"/>
      <c r="W429" s="762">
        <v>277.60000000000002</v>
      </c>
      <c r="X429" s="1282"/>
      <c r="Y429" s="958">
        <v>45331</v>
      </c>
      <c r="Z429" s="856" t="s">
        <v>62</v>
      </c>
      <c r="AA429" s="1076"/>
      <c r="AB429" s="1099">
        <v>45335</v>
      </c>
      <c r="AC429" s="1099">
        <v>45335</v>
      </c>
      <c r="AD429" s="1176">
        <f>360+381</f>
        <v>741</v>
      </c>
      <c r="AE429" s="1264">
        <f t="shared" si="52"/>
        <v>0.98015873015873012</v>
      </c>
      <c r="AF429" s="1228" t="s">
        <v>64</v>
      </c>
      <c r="AG429" s="1262">
        <v>1</v>
      </c>
      <c r="AH429" s="1248" t="s">
        <v>132</v>
      </c>
      <c r="AI429" s="1266">
        <v>45339</v>
      </c>
      <c r="AJ429" s="1266">
        <v>45339</v>
      </c>
      <c r="AK429" s="1249">
        <f>51700+144000+49066</f>
        <v>244766</v>
      </c>
      <c r="AL429" s="1264">
        <f t="shared" si="53"/>
        <v>0.97906400000000005</v>
      </c>
      <c r="AM429" s="1252" t="s">
        <v>62</v>
      </c>
      <c r="AN429" s="1334">
        <v>1</v>
      </c>
      <c r="AO429" s="1276"/>
      <c r="AP429" s="1277"/>
      <c r="AQ429" s="1276"/>
      <c r="AR429" s="1278"/>
      <c r="AS429" s="1278"/>
    </row>
    <row r="430" spans="1:45" ht="15.6">
      <c r="A430" s="1097" t="s">
        <v>53</v>
      </c>
      <c r="B430" s="1143" t="s">
        <v>920</v>
      </c>
      <c r="C430" s="1144" t="s">
        <v>921</v>
      </c>
      <c r="D430" s="1144" t="s">
        <v>922</v>
      </c>
      <c r="E430" s="1473" t="s">
        <v>163</v>
      </c>
      <c r="F430" s="856">
        <v>2024</v>
      </c>
      <c r="G430" s="1099">
        <v>45327</v>
      </c>
      <c r="H430" s="1192">
        <v>200104908</v>
      </c>
      <c r="I430" s="1476" t="s">
        <v>964</v>
      </c>
      <c r="J430" s="1144">
        <v>9</v>
      </c>
      <c r="K430" s="3" t="s">
        <v>932</v>
      </c>
      <c r="L430" s="3" t="s">
        <v>128</v>
      </c>
      <c r="M430" s="762">
        <v>457.46</v>
      </c>
      <c r="N430" s="762">
        <v>258.81</v>
      </c>
      <c r="O430" s="958">
        <v>45331</v>
      </c>
      <c r="P430" s="958">
        <v>45329</v>
      </c>
      <c r="Q430" s="3" t="s">
        <v>965</v>
      </c>
      <c r="R430" s="3" t="s">
        <v>966</v>
      </c>
      <c r="S430" s="851" t="s">
        <v>62</v>
      </c>
      <c r="T430" s="848"/>
      <c r="U430" s="3" t="s">
        <v>130</v>
      </c>
      <c r="V430" s="848"/>
      <c r="W430" s="762">
        <v>281.7</v>
      </c>
      <c r="X430" s="1282"/>
      <c r="Y430" s="958">
        <v>45331</v>
      </c>
      <c r="Z430" s="856" t="s">
        <v>62</v>
      </c>
      <c r="AA430" s="1076"/>
      <c r="AB430" s="1099">
        <v>45335</v>
      </c>
      <c r="AC430" s="1099">
        <v>45337</v>
      </c>
      <c r="AD430" s="1176">
        <f>70+555+108</f>
        <v>733</v>
      </c>
      <c r="AE430" s="1264">
        <f t="shared" si="52"/>
        <v>0.96957671957671954</v>
      </c>
      <c r="AF430" s="1228" t="s">
        <v>64</v>
      </c>
      <c r="AG430" s="1262">
        <v>1</v>
      </c>
      <c r="AH430" s="1248" t="s">
        <v>132</v>
      </c>
      <c r="AI430" s="1266">
        <v>45339</v>
      </c>
      <c r="AJ430" s="1266">
        <v>45341</v>
      </c>
      <c r="AK430" s="1249">
        <f>74100+127100+40785</f>
        <v>241985</v>
      </c>
      <c r="AL430" s="1264">
        <f t="shared" si="53"/>
        <v>0.96794000000000002</v>
      </c>
      <c r="AM430" s="1252" t="s">
        <v>62</v>
      </c>
      <c r="AN430" s="1334">
        <v>1</v>
      </c>
      <c r="AO430" s="1276"/>
      <c r="AP430" s="1277"/>
      <c r="AQ430" s="1276"/>
      <c r="AR430" s="1278"/>
      <c r="AS430" s="1278"/>
    </row>
    <row r="431" spans="1:45" ht="15.6">
      <c r="A431" s="1097" t="s">
        <v>53</v>
      </c>
      <c r="B431" s="1143" t="s">
        <v>920</v>
      </c>
      <c r="C431" s="1144" t="s">
        <v>921</v>
      </c>
      <c r="D431" s="1144" t="s">
        <v>922</v>
      </c>
      <c r="E431" s="1473" t="s">
        <v>163</v>
      </c>
      <c r="F431" s="856">
        <v>2024</v>
      </c>
      <c r="G431" s="1099">
        <v>45327</v>
      </c>
      <c r="H431" s="1192">
        <v>200104924</v>
      </c>
      <c r="I431" s="1477" t="s">
        <v>967</v>
      </c>
      <c r="J431" s="1144">
        <v>10</v>
      </c>
      <c r="K431" s="3" t="s">
        <v>932</v>
      </c>
      <c r="L431" s="3" t="s">
        <v>128</v>
      </c>
      <c r="M431" s="762">
        <v>469.94</v>
      </c>
      <c r="N431" s="762">
        <v>252.79</v>
      </c>
      <c r="O431" s="958">
        <v>45331</v>
      </c>
      <c r="P431" s="958">
        <v>45334</v>
      </c>
      <c r="Q431" s="3" t="s">
        <v>968</v>
      </c>
      <c r="R431" s="3" t="s">
        <v>969</v>
      </c>
      <c r="S431" s="851" t="s">
        <v>62</v>
      </c>
      <c r="T431" s="848"/>
      <c r="U431" s="3" t="s">
        <v>130</v>
      </c>
      <c r="V431" s="848"/>
      <c r="W431" s="3">
        <v>275.8</v>
      </c>
      <c r="X431" s="1282"/>
      <c r="Y431" s="958">
        <v>45334</v>
      </c>
      <c r="Z431" s="856" t="s">
        <v>62</v>
      </c>
      <c r="AA431" s="1076"/>
      <c r="AB431" s="1099">
        <v>45337</v>
      </c>
      <c r="AC431" s="1099">
        <v>45337</v>
      </c>
      <c r="AD431" s="1176">
        <f>280+461</f>
        <v>741</v>
      </c>
      <c r="AE431" s="1264">
        <f t="shared" si="52"/>
        <v>0.98015873015873012</v>
      </c>
      <c r="AF431" s="1228" t="s">
        <v>64</v>
      </c>
      <c r="AG431" s="1262">
        <v>1</v>
      </c>
      <c r="AH431" s="1248" t="s">
        <v>132</v>
      </c>
      <c r="AI431" s="1266">
        <v>45341</v>
      </c>
      <c r="AJ431" s="1266">
        <v>45341</v>
      </c>
      <c r="AK431" s="1249">
        <f>86500+158203</f>
        <v>244703</v>
      </c>
      <c r="AL431" s="1264">
        <f t="shared" si="53"/>
        <v>0.97881200000000002</v>
      </c>
      <c r="AM431" s="1252" t="s">
        <v>62</v>
      </c>
      <c r="AN431" s="1334">
        <v>1</v>
      </c>
      <c r="AO431" s="1276"/>
      <c r="AP431" s="1277"/>
      <c r="AQ431" s="1276"/>
      <c r="AR431" s="1278"/>
      <c r="AS431" s="1278"/>
    </row>
    <row r="432" spans="1:45" ht="15.6">
      <c r="A432" s="1097" t="s">
        <v>53</v>
      </c>
      <c r="B432" s="1143" t="s">
        <v>920</v>
      </c>
      <c r="C432" s="1144" t="s">
        <v>921</v>
      </c>
      <c r="D432" s="1144" t="s">
        <v>922</v>
      </c>
      <c r="E432" s="1473" t="s">
        <v>163</v>
      </c>
      <c r="F432" s="856">
        <v>2024</v>
      </c>
      <c r="G432" s="1099">
        <v>45327</v>
      </c>
      <c r="H432" s="1192">
        <v>200104925</v>
      </c>
      <c r="I432" s="1477" t="s">
        <v>970</v>
      </c>
      <c r="J432" s="1144">
        <v>11</v>
      </c>
      <c r="K432" s="3" t="s">
        <v>932</v>
      </c>
      <c r="L432" s="3" t="s">
        <v>128</v>
      </c>
      <c r="M432" s="762">
        <v>462.6</v>
      </c>
      <c r="N432" s="762">
        <v>254.97</v>
      </c>
      <c r="O432" s="958">
        <v>45334</v>
      </c>
      <c r="P432" s="958">
        <v>45334</v>
      </c>
      <c r="Q432" s="3" t="s">
        <v>971</v>
      </c>
      <c r="R432" s="3" t="s">
        <v>972</v>
      </c>
      <c r="S432" s="851" t="s">
        <v>62</v>
      </c>
      <c r="T432" s="848"/>
      <c r="U432" s="3" t="s">
        <v>130</v>
      </c>
      <c r="V432" s="848"/>
      <c r="W432" s="3">
        <v>277.89999999999998</v>
      </c>
      <c r="X432" s="1282"/>
      <c r="Y432" s="958">
        <v>45334</v>
      </c>
      <c r="Z432" s="856" t="s">
        <v>62</v>
      </c>
      <c r="AA432" s="1076"/>
      <c r="AB432" s="1099">
        <v>45337</v>
      </c>
      <c r="AC432" s="1099">
        <v>45338</v>
      </c>
      <c r="AD432" s="1176">
        <f>555+180</f>
        <v>735</v>
      </c>
      <c r="AE432" s="1264">
        <f t="shared" si="52"/>
        <v>0.97222222222222221</v>
      </c>
      <c r="AF432" s="1228" t="s">
        <v>64</v>
      </c>
      <c r="AG432" s="1262">
        <v>1</v>
      </c>
      <c r="AH432" s="1248" t="s">
        <v>132</v>
      </c>
      <c r="AI432" s="1266">
        <v>45342</v>
      </c>
      <c r="AJ432" s="1266">
        <v>45342</v>
      </c>
      <c r="AK432" s="1249">
        <f>102000+141158</f>
        <v>243158</v>
      </c>
      <c r="AL432" s="1264">
        <f t="shared" si="53"/>
        <v>0.97263200000000005</v>
      </c>
      <c r="AM432" s="1252" t="s">
        <v>62</v>
      </c>
      <c r="AN432" s="1334">
        <v>1</v>
      </c>
      <c r="AO432" s="1276"/>
      <c r="AP432" s="1277"/>
      <c r="AQ432" s="1276"/>
      <c r="AR432" s="1278"/>
      <c r="AS432" s="1278"/>
    </row>
    <row r="433" spans="1:45" ht="15.6">
      <c r="A433" s="1097" t="s">
        <v>53</v>
      </c>
      <c r="B433" s="1143" t="s">
        <v>920</v>
      </c>
      <c r="C433" s="1144" t="s">
        <v>921</v>
      </c>
      <c r="D433" s="1144" t="s">
        <v>922</v>
      </c>
      <c r="E433" s="1473" t="s">
        <v>163</v>
      </c>
      <c r="F433" s="856">
        <v>2024</v>
      </c>
      <c r="G433" s="1099">
        <v>45327</v>
      </c>
      <c r="H433" s="1192">
        <v>200104926</v>
      </c>
      <c r="I433" s="1477" t="s">
        <v>973</v>
      </c>
      <c r="J433" s="1144">
        <v>12</v>
      </c>
      <c r="K433" s="3" t="s">
        <v>932</v>
      </c>
      <c r="L433" s="3" t="s">
        <v>128</v>
      </c>
      <c r="M433" s="762">
        <v>466.9</v>
      </c>
      <c r="N433" s="762">
        <v>257.25</v>
      </c>
      <c r="O433" s="958">
        <v>45334</v>
      </c>
      <c r="P433" s="958">
        <v>45334</v>
      </c>
      <c r="Q433" s="3" t="s">
        <v>974</v>
      </c>
      <c r="R433" s="3" t="s">
        <v>972</v>
      </c>
      <c r="S433" s="851" t="s">
        <v>62</v>
      </c>
      <c r="T433" s="848"/>
      <c r="U433" s="3" t="s">
        <v>130</v>
      </c>
      <c r="V433" s="848"/>
      <c r="W433" s="3">
        <v>280.39999999999998</v>
      </c>
      <c r="X433" s="1282"/>
      <c r="Y433" s="958">
        <v>45334</v>
      </c>
      <c r="Z433" s="856" t="s">
        <v>62</v>
      </c>
      <c r="AA433" s="1076"/>
      <c r="AB433" s="1099">
        <v>45338</v>
      </c>
      <c r="AC433" s="1099">
        <v>45338</v>
      </c>
      <c r="AD433" s="1176">
        <f>230+420+91</f>
        <v>741</v>
      </c>
      <c r="AE433" s="1264">
        <f t="shared" si="52"/>
        <v>0.98015873015873012</v>
      </c>
      <c r="AF433" s="1228" t="s">
        <v>64</v>
      </c>
      <c r="AG433" s="1262">
        <v>1</v>
      </c>
      <c r="AH433" s="1248" t="s">
        <v>132</v>
      </c>
      <c r="AI433" s="1266">
        <v>45342</v>
      </c>
      <c r="AJ433" s="1266">
        <v>45343</v>
      </c>
      <c r="AK433" s="1249">
        <f>150000+94880</f>
        <v>244880</v>
      </c>
      <c r="AL433" s="1264">
        <f t="shared" si="53"/>
        <v>0.97951999999999995</v>
      </c>
      <c r="AM433" s="1252" t="s">
        <v>62</v>
      </c>
      <c r="AN433" s="1334">
        <v>1</v>
      </c>
      <c r="AO433" s="1276"/>
      <c r="AP433" s="1277"/>
      <c r="AQ433" s="1276"/>
      <c r="AR433" s="1278"/>
      <c r="AS433" s="1278"/>
    </row>
    <row r="434" spans="1:45" ht="15.6">
      <c r="A434" s="1097" t="s">
        <v>53</v>
      </c>
      <c r="B434" s="1143"/>
      <c r="C434" s="1144"/>
      <c r="D434" s="1144"/>
      <c r="E434" s="1098"/>
      <c r="F434" s="1098"/>
      <c r="G434" s="1099"/>
      <c r="H434" s="1192"/>
      <c r="I434" s="1192"/>
      <c r="J434" s="1144"/>
      <c r="K434" s="856"/>
      <c r="L434" s="856"/>
      <c r="M434" s="856"/>
      <c r="N434" s="856"/>
      <c r="O434" s="1179"/>
      <c r="P434" s="1179"/>
      <c r="Q434" s="1099"/>
      <c r="R434" s="1099"/>
      <c r="S434" s="1340"/>
      <c r="T434" s="856"/>
      <c r="U434" s="856"/>
      <c r="V434" s="856"/>
      <c r="W434" s="856"/>
      <c r="X434" s="1179"/>
      <c r="Y434" s="1202"/>
      <c r="Z434" s="856"/>
      <c r="AA434" s="1076"/>
      <c r="AB434" s="1099"/>
      <c r="AC434" s="1099"/>
      <c r="AD434" s="1176"/>
      <c r="AE434" s="1264"/>
      <c r="AF434" s="1342"/>
      <c r="AG434" s="1317"/>
      <c r="AH434" s="1248"/>
      <c r="AI434" s="1266"/>
      <c r="AJ434" s="1266"/>
      <c r="AK434" s="1249"/>
      <c r="AL434" s="1264"/>
      <c r="AM434" s="1331"/>
      <c r="AN434" s="1334"/>
      <c r="AO434" s="1276"/>
      <c r="AP434" s="1277"/>
      <c r="AQ434" s="1276"/>
      <c r="AR434" s="1278"/>
      <c r="AS434" s="1278"/>
    </row>
    <row r="435" spans="1:45" ht="15.6">
      <c r="A435" s="1097" t="s">
        <v>53</v>
      </c>
      <c r="B435" s="1143" t="s">
        <v>920</v>
      </c>
      <c r="C435" s="1144" t="s">
        <v>921</v>
      </c>
      <c r="D435" s="1144" t="s">
        <v>922</v>
      </c>
      <c r="E435" s="1473" t="s">
        <v>213</v>
      </c>
      <c r="F435" s="856">
        <v>2024</v>
      </c>
      <c r="G435" s="1099">
        <v>45342</v>
      </c>
      <c r="H435" s="3">
        <v>200104953</v>
      </c>
      <c r="I435" s="1444" t="s">
        <v>975</v>
      </c>
      <c r="J435" s="1144">
        <v>1</v>
      </c>
      <c r="K435" s="3" t="s">
        <v>932</v>
      </c>
      <c r="L435" s="3" t="s">
        <v>128</v>
      </c>
      <c r="M435" s="3">
        <v>463.7</v>
      </c>
      <c r="N435" s="762">
        <v>249.51</v>
      </c>
      <c r="O435" s="958">
        <v>45344</v>
      </c>
      <c r="P435" s="958">
        <v>45344</v>
      </c>
      <c r="Q435" s="3" t="s">
        <v>976</v>
      </c>
      <c r="R435" s="3" t="s">
        <v>977</v>
      </c>
      <c r="S435" s="851" t="s">
        <v>62</v>
      </c>
      <c r="T435" s="848"/>
      <c r="U435" s="3" t="s">
        <v>130</v>
      </c>
      <c r="V435" s="848"/>
      <c r="W435" s="762">
        <v>275.10000000000002</v>
      </c>
      <c r="X435" s="1282"/>
      <c r="Y435" s="958">
        <v>45345</v>
      </c>
      <c r="Z435" s="856" t="s">
        <v>62</v>
      </c>
      <c r="AA435" s="1076"/>
      <c r="AB435" s="1099"/>
      <c r="AC435" s="1099"/>
      <c r="AD435" s="1176"/>
      <c r="AE435" s="1264"/>
      <c r="AF435" s="1228"/>
      <c r="AG435" s="1262"/>
      <c r="AH435" s="1248" t="s">
        <v>869</v>
      </c>
      <c r="AI435" s="1266">
        <v>45398</v>
      </c>
      <c r="AJ435" s="1266">
        <v>45398</v>
      </c>
      <c r="AK435" s="1249">
        <f>2843</f>
        <v>2843</v>
      </c>
      <c r="AL435" s="1264">
        <f t="shared" ref="AL435:AL443" si="54">AK435/250000</f>
        <v>1.1372E-2</v>
      </c>
      <c r="AM435" s="1252" t="s">
        <v>62</v>
      </c>
      <c r="AN435" s="1334"/>
      <c r="AO435" s="1276">
        <v>2843</v>
      </c>
      <c r="AP435" s="1277">
        <v>45398</v>
      </c>
      <c r="AQ435" s="1276" t="s">
        <v>617</v>
      </c>
      <c r="AR435" s="1278"/>
      <c r="AS435" s="1278"/>
    </row>
    <row r="436" spans="1:45" ht="15.6">
      <c r="A436" s="1097" t="s">
        <v>53</v>
      </c>
      <c r="B436" s="1143" t="s">
        <v>920</v>
      </c>
      <c r="C436" s="1144" t="s">
        <v>921</v>
      </c>
      <c r="D436" s="1144" t="s">
        <v>922</v>
      </c>
      <c r="E436" s="1473" t="s">
        <v>213</v>
      </c>
      <c r="F436" s="856">
        <v>2024</v>
      </c>
      <c r="G436" s="1099">
        <v>45342</v>
      </c>
      <c r="H436" s="1192">
        <v>200104954</v>
      </c>
      <c r="I436" s="1478" t="s">
        <v>978</v>
      </c>
      <c r="J436" s="1144">
        <v>2</v>
      </c>
      <c r="K436" s="3" t="s">
        <v>932</v>
      </c>
      <c r="L436" s="3" t="s">
        <v>128</v>
      </c>
      <c r="M436" s="3">
        <v>466.15</v>
      </c>
      <c r="N436" s="762">
        <v>251.83</v>
      </c>
      <c r="O436" s="958">
        <v>45344</v>
      </c>
      <c r="P436" s="958">
        <v>45344</v>
      </c>
      <c r="Q436" s="785" t="s">
        <v>979</v>
      </c>
      <c r="R436" s="3" t="s">
        <v>980</v>
      </c>
      <c r="S436" s="851" t="s">
        <v>62</v>
      </c>
      <c r="T436" s="848"/>
      <c r="U436" s="3" t="s">
        <v>130</v>
      </c>
      <c r="V436" s="848"/>
      <c r="W436" s="762">
        <v>274.7</v>
      </c>
      <c r="X436" s="1282"/>
      <c r="Y436" s="958">
        <v>45345</v>
      </c>
      <c r="Z436" s="856" t="s">
        <v>62</v>
      </c>
      <c r="AA436" s="1076"/>
      <c r="AB436" s="1099">
        <v>45349</v>
      </c>
      <c r="AC436" s="1099">
        <v>45349</v>
      </c>
      <c r="AD436" s="1176">
        <f>130+350+245</f>
        <v>725</v>
      </c>
      <c r="AE436" s="1264">
        <f t="shared" ref="AE436:AE443" si="55">AD436/756</f>
        <v>0.95899470899470896</v>
      </c>
      <c r="AF436" s="1228" t="s">
        <v>64</v>
      </c>
      <c r="AG436" s="1262">
        <v>1</v>
      </c>
      <c r="AH436" s="1248" t="s">
        <v>132</v>
      </c>
      <c r="AI436" s="1266">
        <v>45365</v>
      </c>
      <c r="AJ436" s="1266">
        <v>45366</v>
      </c>
      <c r="AK436" s="1249">
        <f>30000+154101+54913</f>
        <v>239014</v>
      </c>
      <c r="AL436" s="1264">
        <f t="shared" si="54"/>
        <v>0.95605600000000002</v>
      </c>
      <c r="AM436" s="1252" t="s">
        <v>62</v>
      </c>
      <c r="AN436" s="1334">
        <v>1</v>
      </c>
      <c r="AO436" s="1276"/>
      <c r="AP436" s="1277"/>
      <c r="AQ436" s="1276"/>
      <c r="AR436" s="1278"/>
      <c r="AS436" s="1278"/>
    </row>
    <row r="437" spans="1:45" ht="15.6">
      <c r="A437" s="1097" t="s">
        <v>53</v>
      </c>
      <c r="B437" s="1143" t="s">
        <v>920</v>
      </c>
      <c r="C437" s="1144" t="s">
        <v>921</v>
      </c>
      <c r="D437" s="1144" t="s">
        <v>922</v>
      </c>
      <c r="E437" s="1473" t="s">
        <v>213</v>
      </c>
      <c r="F437" s="856">
        <v>2024</v>
      </c>
      <c r="G437" s="1099">
        <v>45342</v>
      </c>
      <c r="H437" s="1192">
        <v>200104955</v>
      </c>
      <c r="I437" s="1478" t="s">
        <v>981</v>
      </c>
      <c r="J437" s="1144">
        <v>3</v>
      </c>
      <c r="K437" s="3" t="s">
        <v>932</v>
      </c>
      <c r="L437" s="3" t="s">
        <v>128</v>
      </c>
      <c r="M437" s="762">
        <v>460.8</v>
      </c>
      <c r="N437" s="762">
        <v>251.12</v>
      </c>
      <c r="O437" s="958">
        <v>45345</v>
      </c>
      <c r="P437" s="958">
        <v>45345</v>
      </c>
      <c r="Q437" s="3" t="s">
        <v>982</v>
      </c>
      <c r="R437" s="3" t="s">
        <v>983</v>
      </c>
      <c r="S437" s="851" t="s">
        <v>62</v>
      </c>
      <c r="T437" s="848"/>
      <c r="U437" s="3" t="s">
        <v>130</v>
      </c>
      <c r="V437" s="848"/>
      <c r="W437" s="762">
        <v>273.8</v>
      </c>
      <c r="X437" s="1282"/>
      <c r="Y437" s="958">
        <v>45345</v>
      </c>
      <c r="Z437" s="856" t="s">
        <v>62</v>
      </c>
      <c r="AA437" s="1076"/>
      <c r="AB437" s="1099">
        <v>45349</v>
      </c>
      <c r="AC437" s="1099">
        <v>45350</v>
      </c>
      <c r="AD437" s="1176">
        <v>723</v>
      </c>
      <c r="AE437" s="1264">
        <f t="shared" si="55"/>
        <v>0.95634920634920639</v>
      </c>
      <c r="AF437" s="1228" t="s">
        <v>64</v>
      </c>
      <c r="AG437" s="1262">
        <v>1</v>
      </c>
      <c r="AH437" s="1248" t="s">
        <v>162</v>
      </c>
      <c r="AI437" s="1266">
        <v>45366</v>
      </c>
      <c r="AJ437" s="1266">
        <v>45369</v>
      </c>
      <c r="AK437" s="1249">
        <f>87450+63000+73752+13588</f>
        <v>237790</v>
      </c>
      <c r="AL437" s="1264">
        <f t="shared" si="54"/>
        <v>0.95116000000000001</v>
      </c>
      <c r="AM437" s="1252" t="s">
        <v>62</v>
      </c>
      <c r="AN437" s="1334">
        <v>1</v>
      </c>
      <c r="AO437" s="1276"/>
      <c r="AP437" s="1277"/>
      <c r="AQ437" s="1276"/>
      <c r="AR437" s="1278"/>
      <c r="AS437" s="1278"/>
    </row>
    <row r="438" spans="1:45" ht="15.6">
      <c r="A438" s="1097" t="s">
        <v>53</v>
      </c>
      <c r="B438" s="1143" t="s">
        <v>920</v>
      </c>
      <c r="C438" s="1144" t="s">
        <v>921</v>
      </c>
      <c r="D438" s="1144" t="s">
        <v>922</v>
      </c>
      <c r="E438" s="1473" t="s">
        <v>213</v>
      </c>
      <c r="F438" s="856">
        <v>2024</v>
      </c>
      <c r="G438" s="1099">
        <v>45342</v>
      </c>
      <c r="H438" s="1192">
        <v>200104956</v>
      </c>
      <c r="I438" s="1478" t="s">
        <v>984</v>
      </c>
      <c r="J438" s="1144">
        <v>4</v>
      </c>
      <c r="K438" s="3" t="s">
        <v>932</v>
      </c>
      <c r="L438" s="3" t="s">
        <v>128</v>
      </c>
      <c r="M438" s="762">
        <v>466</v>
      </c>
      <c r="N438" s="762">
        <v>253.13</v>
      </c>
      <c r="O438" s="958">
        <v>45345</v>
      </c>
      <c r="P438" s="958">
        <v>45345</v>
      </c>
      <c r="Q438" s="3" t="s">
        <v>985</v>
      </c>
      <c r="R438" s="3" t="s">
        <v>986</v>
      </c>
      <c r="S438" s="851" t="s">
        <v>62</v>
      </c>
      <c r="T438" s="848"/>
      <c r="U438" s="3" t="s">
        <v>130</v>
      </c>
      <c r="V438" s="848"/>
      <c r="W438" s="786">
        <v>275.7</v>
      </c>
      <c r="X438" s="1282"/>
      <c r="Y438" s="958">
        <v>45345</v>
      </c>
      <c r="Z438" s="856" t="s">
        <v>62</v>
      </c>
      <c r="AA438" s="1076"/>
      <c r="AB438" s="1099">
        <v>45350</v>
      </c>
      <c r="AC438" s="1099">
        <v>45351</v>
      </c>
      <c r="AD438" s="1176">
        <f>415+312</f>
        <v>727</v>
      </c>
      <c r="AE438" s="1264">
        <f t="shared" si="55"/>
        <v>0.96164021164021163</v>
      </c>
      <c r="AF438" s="1228" t="s">
        <v>64</v>
      </c>
      <c r="AG438" s="1262">
        <v>1</v>
      </c>
      <c r="AH438" s="1248" t="s">
        <v>162</v>
      </c>
      <c r="AI438" s="1266">
        <v>45364</v>
      </c>
      <c r="AJ438" s="1266">
        <v>45365</v>
      </c>
      <c r="AK438" s="1249">
        <f>19500+82540+102000+36796</f>
        <v>240836</v>
      </c>
      <c r="AL438" s="1264">
        <f t="shared" si="54"/>
        <v>0.96334399999999998</v>
      </c>
      <c r="AM438" s="1252" t="s">
        <v>62</v>
      </c>
      <c r="AN438" s="1334">
        <v>1</v>
      </c>
      <c r="AO438" s="1276"/>
      <c r="AP438" s="1277"/>
      <c r="AQ438" s="1276"/>
      <c r="AR438" s="1278"/>
      <c r="AS438" s="1278"/>
    </row>
    <row r="439" spans="1:45" ht="15.6">
      <c r="A439" s="1097" t="s">
        <v>53</v>
      </c>
      <c r="B439" s="1143" t="s">
        <v>920</v>
      </c>
      <c r="C439" s="1144" t="s">
        <v>921</v>
      </c>
      <c r="D439" s="1144" t="s">
        <v>922</v>
      </c>
      <c r="E439" s="1473" t="s">
        <v>213</v>
      </c>
      <c r="F439" s="856">
        <v>2024</v>
      </c>
      <c r="G439" s="1099">
        <v>45342</v>
      </c>
      <c r="H439" s="1192">
        <v>200104957</v>
      </c>
      <c r="I439" s="1478" t="s">
        <v>987</v>
      </c>
      <c r="J439" s="1144">
        <v>5</v>
      </c>
      <c r="K439" s="3" t="s">
        <v>932</v>
      </c>
      <c r="L439" s="3" t="s">
        <v>128</v>
      </c>
      <c r="M439" s="786">
        <v>467.3</v>
      </c>
      <c r="N439" s="786">
        <v>261.93</v>
      </c>
      <c r="O439" s="958">
        <v>45345</v>
      </c>
      <c r="P439" s="958">
        <v>45345</v>
      </c>
      <c r="Q439" s="3" t="s">
        <v>988</v>
      </c>
      <c r="R439" s="3" t="s">
        <v>989</v>
      </c>
      <c r="S439" s="851" t="s">
        <v>62</v>
      </c>
      <c r="T439" s="848"/>
      <c r="U439" s="3" t="s">
        <v>130</v>
      </c>
      <c r="V439" s="848"/>
      <c r="W439" s="786">
        <v>284.7</v>
      </c>
      <c r="X439" s="1282"/>
      <c r="Y439" s="958">
        <v>45345</v>
      </c>
      <c r="Z439" s="856" t="s">
        <v>62</v>
      </c>
      <c r="AA439" s="1076"/>
      <c r="AB439" s="1099">
        <v>45351</v>
      </c>
      <c r="AC439" s="1099">
        <v>45352</v>
      </c>
      <c r="AD439" s="1176">
        <v>738</v>
      </c>
      <c r="AE439" s="1264">
        <f t="shared" si="55"/>
        <v>0.97619047619047616</v>
      </c>
      <c r="AF439" s="1228" t="s">
        <v>64</v>
      </c>
      <c r="AG439" s="1262">
        <v>1</v>
      </c>
      <c r="AH439" s="1248" t="s">
        <v>132</v>
      </c>
      <c r="AI439" s="1266">
        <v>45363</v>
      </c>
      <c r="AJ439" s="1266">
        <v>45364</v>
      </c>
      <c r="AK439" s="1249">
        <f>7600+112700+123707</f>
        <v>244007</v>
      </c>
      <c r="AL439" s="1264">
        <f t="shared" si="54"/>
        <v>0.97602800000000001</v>
      </c>
      <c r="AM439" s="1252" t="s">
        <v>62</v>
      </c>
      <c r="AN439" s="1334">
        <v>1</v>
      </c>
      <c r="AO439" s="1276"/>
      <c r="AP439" s="1277"/>
      <c r="AQ439" s="1276"/>
      <c r="AR439" s="1278"/>
      <c r="AS439" s="1278"/>
    </row>
    <row r="440" spans="1:45" ht="15.6">
      <c r="A440" s="1097" t="s">
        <v>53</v>
      </c>
      <c r="B440" s="1143" t="s">
        <v>920</v>
      </c>
      <c r="C440" s="1144" t="s">
        <v>921</v>
      </c>
      <c r="D440" s="1144" t="s">
        <v>922</v>
      </c>
      <c r="E440" s="1473" t="s">
        <v>213</v>
      </c>
      <c r="F440" s="856">
        <v>2024</v>
      </c>
      <c r="G440" s="1099">
        <v>45348</v>
      </c>
      <c r="H440" s="1192">
        <v>200105054</v>
      </c>
      <c r="I440" s="1434" t="s">
        <v>990</v>
      </c>
      <c r="J440" s="1144">
        <v>6</v>
      </c>
      <c r="K440" s="3" t="s">
        <v>932</v>
      </c>
      <c r="L440" s="3" t="s">
        <v>128</v>
      </c>
      <c r="M440" s="762">
        <v>462.8</v>
      </c>
      <c r="N440" s="786">
        <v>253.23</v>
      </c>
      <c r="O440" s="958">
        <v>45350</v>
      </c>
      <c r="P440" s="958">
        <v>45349</v>
      </c>
      <c r="Q440" s="3" t="s">
        <v>991</v>
      </c>
      <c r="R440" s="3" t="s">
        <v>992</v>
      </c>
      <c r="S440" s="851" t="s">
        <v>62</v>
      </c>
      <c r="T440" s="848"/>
      <c r="U440" s="3" t="s">
        <v>130</v>
      </c>
      <c r="V440" s="848"/>
      <c r="W440" s="762">
        <v>276</v>
      </c>
      <c r="X440" s="1282"/>
      <c r="Y440" s="958">
        <v>45350</v>
      </c>
      <c r="Z440" s="856" t="s">
        <v>62</v>
      </c>
      <c r="AA440" s="1076"/>
      <c r="AB440" s="1099">
        <v>45352</v>
      </c>
      <c r="AC440" s="1099">
        <v>45352</v>
      </c>
      <c r="AD440" s="1176">
        <f>165+310+250</f>
        <v>725</v>
      </c>
      <c r="AE440" s="1264">
        <f t="shared" si="55"/>
        <v>0.95899470899470896</v>
      </c>
      <c r="AF440" s="1228" t="s">
        <v>64</v>
      </c>
      <c r="AG440" s="1262">
        <v>1</v>
      </c>
      <c r="AH440" s="1248" t="s">
        <v>132</v>
      </c>
      <c r="AI440" s="1266">
        <v>45364</v>
      </c>
      <c r="AJ440" s="1266">
        <v>45365</v>
      </c>
      <c r="AK440" s="1249">
        <f>65000+37000+60183+77336</f>
        <v>239519</v>
      </c>
      <c r="AL440" s="1264">
        <f t="shared" si="54"/>
        <v>0.95807600000000004</v>
      </c>
      <c r="AM440" s="1252" t="s">
        <v>62</v>
      </c>
      <c r="AN440" s="1334">
        <v>1</v>
      </c>
      <c r="AO440" s="1276"/>
      <c r="AP440" s="1277"/>
      <c r="AQ440" s="1276"/>
      <c r="AR440" s="1278"/>
      <c r="AS440" s="1278"/>
    </row>
    <row r="441" spans="1:45" ht="15.6">
      <c r="A441" s="1097" t="s">
        <v>53</v>
      </c>
      <c r="B441" s="1143" t="s">
        <v>920</v>
      </c>
      <c r="C441" s="1144" t="s">
        <v>921</v>
      </c>
      <c r="D441" s="1144" t="s">
        <v>922</v>
      </c>
      <c r="E441" s="1473" t="s">
        <v>213</v>
      </c>
      <c r="F441" s="856">
        <v>2024</v>
      </c>
      <c r="G441" s="1099">
        <v>45348</v>
      </c>
      <c r="H441" s="1192">
        <v>200105055</v>
      </c>
      <c r="I441" s="1434" t="s">
        <v>993</v>
      </c>
      <c r="J441" s="1144">
        <v>7</v>
      </c>
      <c r="K441" s="3" t="s">
        <v>932</v>
      </c>
      <c r="L441" s="3" t="s">
        <v>128</v>
      </c>
      <c r="M441" s="762">
        <v>463.1</v>
      </c>
      <c r="N441" s="786">
        <v>259.66000000000003</v>
      </c>
      <c r="O441" s="958">
        <v>45350</v>
      </c>
      <c r="P441" s="958">
        <v>45349</v>
      </c>
      <c r="Q441" s="3" t="s">
        <v>994</v>
      </c>
      <c r="R441" s="3" t="s">
        <v>995</v>
      </c>
      <c r="S441" s="851" t="s">
        <v>62</v>
      </c>
      <c r="T441" s="848"/>
      <c r="U441" s="3" t="s">
        <v>130</v>
      </c>
      <c r="V441" s="848"/>
      <c r="W441" s="762">
        <v>282.39999999999998</v>
      </c>
      <c r="X441" s="1282"/>
      <c r="Y441" s="958">
        <v>45350</v>
      </c>
      <c r="Z441" s="856" t="s">
        <v>62</v>
      </c>
      <c r="AA441" s="1076"/>
      <c r="AB441" s="1099">
        <v>45358</v>
      </c>
      <c r="AC441" s="1099">
        <v>45358</v>
      </c>
      <c r="AD441" s="1176">
        <f>150+425+150</f>
        <v>725</v>
      </c>
      <c r="AE441" s="1264">
        <f t="shared" si="55"/>
        <v>0.95899470899470896</v>
      </c>
      <c r="AF441" s="1228" t="s">
        <v>64</v>
      </c>
      <c r="AG441" s="1262">
        <v>1</v>
      </c>
      <c r="AH441" s="1248" t="s">
        <v>162</v>
      </c>
      <c r="AI441" s="1266">
        <v>45365</v>
      </c>
      <c r="AJ441" s="1266">
        <v>45366</v>
      </c>
      <c r="AK441" s="1249">
        <f>6000+81600+84346+67564</f>
        <v>239510</v>
      </c>
      <c r="AL441" s="1264">
        <f t="shared" si="54"/>
        <v>0.95804</v>
      </c>
      <c r="AM441" s="1252" t="s">
        <v>62</v>
      </c>
      <c r="AN441" s="1334">
        <v>1</v>
      </c>
      <c r="AO441" s="1276"/>
      <c r="AP441" s="1277"/>
      <c r="AQ441" s="1276"/>
      <c r="AR441" s="1278"/>
      <c r="AS441" s="1278"/>
    </row>
    <row r="442" spans="1:45" ht="15.6">
      <c r="A442" s="1097" t="s">
        <v>53</v>
      </c>
      <c r="B442" s="1143" t="s">
        <v>920</v>
      </c>
      <c r="C442" s="1144" t="s">
        <v>921</v>
      </c>
      <c r="D442" s="1144" t="s">
        <v>922</v>
      </c>
      <c r="E442" s="1473" t="s">
        <v>213</v>
      </c>
      <c r="F442" s="856">
        <v>2024</v>
      </c>
      <c r="G442" s="1099">
        <v>45355</v>
      </c>
      <c r="H442" s="3">
        <v>200105241</v>
      </c>
      <c r="I442" s="1444" t="s">
        <v>996</v>
      </c>
      <c r="J442" s="1144">
        <v>8</v>
      </c>
      <c r="K442" s="3" t="s">
        <v>932</v>
      </c>
      <c r="L442" s="3" t="s">
        <v>128</v>
      </c>
      <c r="M442" s="786">
        <v>465.5</v>
      </c>
      <c r="N442" s="786">
        <v>255.39</v>
      </c>
      <c r="O442" s="958">
        <v>45373</v>
      </c>
      <c r="P442" s="958">
        <v>45371</v>
      </c>
      <c r="Q442" s="785" t="s">
        <v>997</v>
      </c>
      <c r="R442" s="785" t="s">
        <v>998</v>
      </c>
      <c r="S442" s="851" t="s">
        <v>62</v>
      </c>
      <c r="T442" s="848"/>
      <c r="U442" s="3" t="s">
        <v>130</v>
      </c>
      <c r="V442" s="848"/>
      <c r="W442" s="762">
        <v>278</v>
      </c>
      <c r="X442" s="1282"/>
      <c r="Y442" s="958">
        <v>45376</v>
      </c>
      <c r="Z442" s="856" t="s">
        <v>62</v>
      </c>
      <c r="AA442" s="1076"/>
      <c r="AB442" s="1099">
        <v>45376</v>
      </c>
      <c r="AC442" s="1099">
        <v>45376</v>
      </c>
      <c r="AD442" s="1176">
        <f>195+380+151</f>
        <v>726</v>
      </c>
      <c r="AE442" s="1264">
        <f t="shared" si="55"/>
        <v>0.96031746031746035</v>
      </c>
      <c r="AF442" s="1228" t="s">
        <v>64</v>
      </c>
      <c r="AG442" s="1262">
        <v>1</v>
      </c>
      <c r="AH442" s="1248" t="s">
        <v>162</v>
      </c>
      <c r="AI442" s="1266">
        <v>45377</v>
      </c>
      <c r="AJ442" s="1266">
        <v>45378</v>
      </c>
      <c r="AK442" s="1249">
        <f>46061+99342+90000+4435</f>
        <v>239838</v>
      </c>
      <c r="AL442" s="1264">
        <f t="shared" si="54"/>
        <v>0.95935199999999998</v>
      </c>
      <c r="AM442" s="1252" t="s">
        <v>62</v>
      </c>
      <c r="AN442" s="1334">
        <v>1</v>
      </c>
      <c r="AO442" s="1276"/>
      <c r="AP442" s="1277"/>
      <c r="AQ442" s="1276"/>
      <c r="AR442" s="1278"/>
      <c r="AS442" s="1278"/>
    </row>
    <row r="443" spans="1:45" ht="15.6">
      <c r="A443" s="1097" t="s">
        <v>53</v>
      </c>
      <c r="B443" s="1143" t="s">
        <v>920</v>
      </c>
      <c r="C443" s="1144" t="s">
        <v>921</v>
      </c>
      <c r="D443" s="1144" t="s">
        <v>922</v>
      </c>
      <c r="E443" s="1473" t="s">
        <v>213</v>
      </c>
      <c r="F443" s="856">
        <v>2024</v>
      </c>
      <c r="G443" s="1099">
        <v>45355</v>
      </c>
      <c r="H443" s="3">
        <v>200105242</v>
      </c>
      <c r="I443" s="1444" t="s">
        <v>999</v>
      </c>
      <c r="J443" s="1144">
        <v>9</v>
      </c>
      <c r="K443" s="3" t="s">
        <v>932</v>
      </c>
      <c r="L443" s="3" t="s">
        <v>128</v>
      </c>
      <c r="M443" s="762">
        <v>464.6</v>
      </c>
      <c r="N443" s="762">
        <v>254.59</v>
      </c>
      <c r="O443" s="958">
        <v>45376</v>
      </c>
      <c r="P443" s="958">
        <v>45376</v>
      </c>
      <c r="Q443" s="785" t="s">
        <v>1000</v>
      </c>
      <c r="R443" s="3" t="s">
        <v>934</v>
      </c>
      <c r="S443" s="851" t="s">
        <v>62</v>
      </c>
      <c r="T443" s="848"/>
      <c r="U443" s="3" t="s">
        <v>130</v>
      </c>
      <c r="V443" s="848"/>
      <c r="W443" s="762">
        <v>277.39999999999998</v>
      </c>
      <c r="X443" s="1282"/>
      <c r="Y443" s="958">
        <v>45376</v>
      </c>
      <c r="Z443" s="856" t="s">
        <v>62</v>
      </c>
      <c r="AA443" s="1076"/>
      <c r="AB443" s="1099">
        <v>45376</v>
      </c>
      <c r="AC443" s="1099">
        <v>45377</v>
      </c>
      <c r="AD443" s="1176">
        <f>285+446</f>
        <v>731</v>
      </c>
      <c r="AE443" s="1264">
        <f t="shared" si="55"/>
        <v>0.96693121693121697</v>
      </c>
      <c r="AF443" s="1228" t="s">
        <v>64</v>
      </c>
      <c r="AG443" s="1262">
        <v>1</v>
      </c>
      <c r="AH443" s="1248" t="s">
        <v>162</v>
      </c>
      <c r="AI443" s="1266">
        <v>45378</v>
      </c>
      <c r="AJ443" s="1266">
        <v>45379</v>
      </c>
      <c r="AK443" s="1249">
        <f>37462+100544+85500+17750</f>
        <v>241256</v>
      </c>
      <c r="AL443" s="1264">
        <f t="shared" si="54"/>
        <v>0.96502399999999999</v>
      </c>
      <c r="AM443" s="1252" t="s">
        <v>62</v>
      </c>
      <c r="AN443" s="1334">
        <v>1</v>
      </c>
      <c r="AO443" s="1276"/>
      <c r="AP443" s="1277"/>
      <c r="AQ443" s="1276"/>
      <c r="AR443" s="1278"/>
      <c r="AS443" s="1278"/>
    </row>
    <row r="444" spans="1:45" ht="15.6">
      <c r="A444" s="1097" t="s">
        <v>53</v>
      </c>
      <c r="B444" s="1143"/>
      <c r="C444" s="1144"/>
      <c r="D444" s="1144"/>
      <c r="E444" s="1098"/>
      <c r="F444" s="1098"/>
      <c r="G444" s="1099"/>
      <c r="H444" s="3"/>
      <c r="I444" s="3"/>
      <c r="J444" s="1144"/>
      <c r="K444" s="856"/>
      <c r="L444" s="856"/>
      <c r="M444" s="856"/>
      <c r="N444" s="856"/>
      <c r="O444" s="1179"/>
      <c r="P444" s="1179"/>
      <c r="Q444" s="1099"/>
      <c r="R444" s="1099"/>
      <c r="S444" s="1340"/>
      <c r="T444" s="856"/>
      <c r="U444" s="856"/>
      <c r="V444" s="856"/>
      <c r="W444" s="856"/>
      <c r="X444" s="1179"/>
      <c r="Y444" s="1202"/>
      <c r="Z444" s="856"/>
      <c r="AA444" s="1076"/>
      <c r="AB444" s="1099"/>
      <c r="AC444" s="1099"/>
      <c r="AD444" s="1176"/>
      <c r="AE444" s="1264"/>
      <c r="AF444" s="1342"/>
      <c r="AG444" s="1320"/>
      <c r="AH444" s="1248"/>
      <c r="AI444" s="1266"/>
      <c r="AJ444" s="1266"/>
      <c r="AK444" s="1249"/>
      <c r="AL444" s="1264"/>
      <c r="AM444" s="1331"/>
      <c r="AN444" s="1334"/>
      <c r="AO444" s="1276"/>
      <c r="AP444" s="1277"/>
      <c r="AQ444" s="1276"/>
      <c r="AR444" s="1278"/>
      <c r="AS444" s="1278"/>
    </row>
    <row r="445" spans="1:45" ht="15.6">
      <c r="A445" s="1097" t="s">
        <v>53</v>
      </c>
      <c r="B445" s="1143" t="s">
        <v>920</v>
      </c>
      <c r="C445" s="1144" t="s">
        <v>921</v>
      </c>
      <c r="D445" s="1144" t="s">
        <v>922</v>
      </c>
      <c r="E445" s="1473" t="s">
        <v>277</v>
      </c>
      <c r="F445" s="856">
        <v>2024</v>
      </c>
      <c r="G445" s="1099">
        <v>45364</v>
      </c>
      <c r="H445" s="1192">
        <v>200105354</v>
      </c>
      <c r="I445" s="1440" t="s">
        <v>1001</v>
      </c>
      <c r="J445" s="1144">
        <v>1</v>
      </c>
      <c r="K445" s="3" t="s">
        <v>932</v>
      </c>
      <c r="L445" s="3" t="s">
        <v>128</v>
      </c>
      <c r="M445" s="762">
        <v>464.6</v>
      </c>
      <c r="N445" s="762">
        <v>256.08</v>
      </c>
      <c r="O445" s="958">
        <v>45376</v>
      </c>
      <c r="P445" s="958">
        <v>45376</v>
      </c>
      <c r="Q445" s="3" t="s">
        <v>1002</v>
      </c>
      <c r="R445" s="3" t="s">
        <v>1003</v>
      </c>
      <c r="S445" s="851" t="s">
        <v>62</v>
      </c>
      <c r="T445" s="848"/>
      <c r="U445" s="3" t="s">
        <v>130</v>
      </c>
      <c r="V445" s="848"/>
      <c r="W445" s="786">
        <v>279</v>
      </c>
      <c r="X445" s="1282"/>
      <c r="Y445" s="958">
        <v>45376</v>
      </c>
      <c r="Z445" s="856" t="s">
        <v>62</v>
      </c>
      <c r="AA445" s="1076"/>
      <c r="AB445" s="1099">
        <v>45377</v>
      </c>
      <c r="AC445" s="1099">
        <v>45377</v>
      </c>
      <c r="AD445" s="1176">
        <f>390+340</f>
        <v>730</v>
      </c>
      <c r="AE445" s="1264">
        <f t="shared" ref="AE445:AE455" si="56">AD445/756</f>
        <v>0.96560846560846558</v>
      </c>
      <c r="AF445" s="1228" t="s">
        <v>64</v>
      </c>
      <c r="AG445" s="1262">
        <v>1</v>
      </c>
      <c r="AH445" s="1248" t="s">
        <v>162</v>
      </c>
      <c r="AI445" s="1266">
        <v>45379</v>
      </c>
      <c r="AJ445" s="1266">
        <v>45379</v>
      </c>
      <c r="AK445" s="1249">
        <f>53550+98359+89111</f>
        <v>241020</v>
      </c>
      <c r="AL445" s="1264">
        <f t="shared" ref="AL445:AL455" si="57">AK445/250000</f>
        <v>0.96408000000000005</v>
      </c>
      <c r="AM445" s="1252" t="s">
        <v>62</v>
      </c>
      <c r="AN445" s="1334">
        <v>1</v>
      </c>
      <c r="AO445" s="1276"/>
      <c r="AP445" s="1277"/>
      <c r="AQ445" s="1276"/>
      <c r="AR445" s="1278"/>
      <c r="AS445" s="1278"/>
    </row>
    <row r="446" spans="1:45" ht="15.6">
      <c r="A446" s="1097" t="s">
        <v>53</v>
      </c>
      <c r="B446" s="1143" t="s">
        <v>920</v>
      </c>
      <c r="C446" s="1144" t="s">
        <v>921</v>
      </c>
      <c r="D446" s="1144" t="s">
        <v>922</v>
      </c>
      <c r="E446" s="1473" t="s">
        <v>277</v>
      </c>
      <c r="F446" s="856">
        <v>2024</v>
      </c>
      <c r="G446" s="1099">
        <v>45364</v>
      </c>
      <c r="H446" s="1192">
        <v>200105355</v>
      </c>
      <c r="I446" s="1440" t="s">
        <v>1004</v>
      </c>
      <c r="J446" s="1144">
        <v>2</v>
      </c>
      <c r="K446" s="3" t="s">
        <v>932</v>
      </c>
      <c r="L446" s="3" t="s">
        <v>128</v>
      </c>
      <c r="M446" s="762">
        <v>466</v>
      </c>
      <c r="N446" s="762">
        <v>261.54000000000002</v>
      </c>
      <c r="O446" s="958">
        <v>45376</v>
      </c>
      <c r="P446" s="958">
        <v>45376</v>
      </c>
      <c r="Q446" s="3" t="s">
        <v>1005</v>
      </c>
      <c r="R446" s="785" t="s">
        <v>1006</v>
      </c>
      <c r="S446" s="851" t="s">
        <v>62</v>
      </c>
      <c r="T446" s="848"/>
      <c r="U446" s="3" t="s">
        <v>130</v>
      </c>
      <c r="V446" s="848"/>
      <c r="W446" s="786">
        <v>284.3</v>
      </c>
      <c r="X446" s="1282"/>
      <c r="Y446" s="958">
        <v>45376</v>
      </c>
      <c r="Z446" s="856" t="s">
        <v>62</v>
      </c>
      <c r="AA446" s="1076"/>
      <c r="AB446" s="1099">
        <v>45378</v>
      </c>
      <c r="AC446" s="1099">
        <v>45378</v>
      </c>
      <c r="AD446" s="1176">
        <f>335+404</f>
        <v>739</v>
      </c>
      <c r="AE446" s="1264">
        <f t="shared" si="56"/>
        <v>0.97751322751322756</v>
      </c>
      <c r="AF446" s="1228" t="s">
        <v>64</v>
      </c>
      <c r="AG446" s="1262">
        <v>1</v>
      </c>
      <c r="AH446" s="1248" t="s">
        <v>617</v>
      </c>
      <c r="AI446" s="1266">
        <v>45379</v>
      </c>
      <c r="AJ446" s="1266">
        <v>45384</v>
      </c>
      <c r="AK446" s="1249">
        <f>38700+45000+38300+62600+58955</f>
        <v>243555</v>
      </c>
      <c r="AL446" s="1264">
        <f t="shared" si="57"/>
        <v>0.97421999999999997</v>
      </c>
      <c r="AM446" s="1252" t="s">
        <v>62</v>
      </c>
      <c r="AN446" s="1334">
        <v>1</v>
      </c>
      <c r="AO446" s="1276"/>
      <c r="AP446" s="1277"/>
      <c r="AQ446" s="1276"/>
      <c r="AR446" s="1278"/>
      <c r="AS446" s="1278"/>
    </row>
    <row r="447" spans="1:45" ht="15.6">
      <c r="A447" s="1097" t="s">
        <v>53</v>
      </c>
      <c r="B447" s="1143" t="s">
        <v>920</v>
      </c>
      <c r="C447" s="1144" t="s">
        <v>921</v>
      </c>
      <c r="D447" s="1144" t="s">
        <v>922</v>
      </c>
      <c r="E447" s="1473" t="s">
        <v>277</v>
      </c>
      <c r="F447" s="856">
        <v>2024</v>
      </c>
      <c r="G447" s="1099">
        <v>45364</v>
      </c>
      <c r="H447" s="1192">
        <v>200105374</v>
      </c>
      <c r="I447" s="1477" t="s">
        <v>1007</v>
      </c>
      <c r="J447" s="1144">
        <v>3</v>
      </c>
      <c r="K447" s="3" t="s">
        <v>932</v>
      </c>
      <c r="L447" s="3" t="s">
        <v>128</v>
      </c>
      <c r="M447" s="762">
        <v>462.2</v>
      </c>
      <c r="N447" s="762">
        <v>259.07</v>
      </c>
      <c r="O447" s="958">
        <v>45377</v>
      </c>
      <c r="P447" s="958">
        <v>45376</v>
      </c>
      <c r="Q447" s="3" t="s">
        <v>1008</v>
      </c>
      <c r="R447" s="3" t="s">
        <v>1009</v>
      </c>
      <c r="S447" s="851" t="s">
        <v>62</v>
      </c>
      <c r="T447" s="848"/>
      <c r="U447" s="3" t="s">
        <v>130</v>
      </c>
      <c r="V447" s="848"/>
      <c r="W447" s="762">
        <v>281</v>
      </c>
      <c r="X447" s="1282"/>
      <c r="Y447" s="958">
        <v>45377</v>
      </c>
      <c r="Z447" s="856" t="s">
        <v>62</v>
      </c>
      <c r="AA447" s="1076"/>
      <c r="AB447" s="1099">
        <v>45378</v>
      </c>
      <c r="AC447" s="1099">
        <v>45379</v>
      </c>
      <c r="AD447" s="1176">
        <f>470+261</f>
        <v>731</v>
      </c>
      <c r="AE447" s="1264">
        <f t="shared" si="56"/>
        <v>0.96693121693121697</v>
      </c>
      <c r="AF447" s="1228" t="s">
        <v>64</v>
      </c>
      <c r="AG447" s="1262">
        <v>1</v>
      </c>
      <c r="AH447" s="1248" t="s">
        <v>617</v>
      </c>
      <c r="AI447" s="1266">
        <v>45385</v>
      </c>
      <c r="AJ447" s="1248">
        <v>45386</v>
      </c>
      <c r="AK447" s="1249">
        <f>61500+67600+69700+43271</f>
        <v>242071</v>
      </c>
      <c r="AL447" s="1264">
        <f t="shared" si="57"/>
        <v>0.96828400000000003</v>
      </c>
      <c r="AM447" s="1252" t="s">
        <v>62</v>
      </c>
      <c r="AN447" s="1334">
        <v>1</v>
      </c>
      <c r="AO447" s="1276"/>
      <c r="AP447" s="1277"/>
      <c r="AQ447" s="1276"/>
      <c r="AR447" s="1278"/>
      <c r="AS447" s="1278"/>
    </row>
    <row r="448" spans="1:45" ht="15.6">
      <c r="A448" s="1097" t="s">
        <v>53</v>
      </c>
      <c r="B448" s="1143" t="s">
        <v>920</v>
      </c>
      <c r="C448" s="1144" t="s">
        <v>921</v>
      </c>
      <c r="D448" s="1144" t="s">
        <v>922</v>
      </c>
      <c r="E448" s="1473" t="s">
        <v>277</v>
      </c>
      <c r="F448" s="856">
        <v>2024</v>
      </c>
      <c r="G448" s="1099">
        <v>45364</v>
      </c>
      <c r="H448" s="1192">
        <v>200105375</v>
      </c>
      <c r="I448" s="1477" t="s">
        <v>1010</v>
      </c>
      <c r="J448" s="1144">
        <v>4</v>
      </c>
      <c r="K448" s="3" t="s">
        <v>932</v>
      </c>
      <c r="L448" s="3" t="s">
        <v>128</v>
      </c>
      <c r="M448" s="762">
        <v>464.2</v>
      </c>
      <c r="N448" s="762">
        <v>251.2</v>
      </c>
      <c r="O448" s="958">
        <v>45377</v>
      </c>
      <c r="P448" s="958">
        <v>45377</v>
      </c>
      <c r="Q448" s="3" t="s">
        <v>1011</v>
      </c>
      <c r="R448" s="3" t="s">
        <v>1012</v>
      </c>
      <c r="S448" s="851" t="s">
        <v>62</v>
      </c>
      <c r="T448" s="848"/>
      <c r="U448" s="3" t="s">
        <v>130</v>
      </c>
      <c r="V448" s="848"/>
      <c r="W448" s="762">
        <v>274</v>
      </c>
      <c r="X448" s="1282"/>
      <c r="Y448" s="958">
        <v>45377</v>
      </c>
      <c r="Z448" s="856" t="s">
        <v>62</v>
      </c>
      <c r="AA448" s="1076"/>
      <c r="AB448" s="1099">
        <v>45379</v>
      </c>
      <c r="AC448" s="1099">
        <v>45379</v>
      </c>
      <c r="AD448" s="1176">
        <f>195+450+84</f>
        <v>729</v>
      </c>
      <c r="AE448" s="1264">
        <f t="shared" si="56"/>
        <v>0.9642857142857143</v>
      </c>
      <c r="AF448" s="1228" t="s">
        <v>64</v>
      </c>
      <c r="AG448" s="1262">
        <v>1</v>
      </c>
      <c r="AH448" s="1248" t="s">
        <v>162</v>
      </c>
      <c r="AI448" s="1266">
        <v>45383</v>
      </c>
      <c r="AJ448" s="1266">
        <v>45384</v>
      </c>
      <c r="AK448" s="1249">
        <f>58200+52730+100200+28995</f>
        <v>240125</v>
      </c>
      <c r="AL448" s="1264">
        <f t="shared" si="57"/>
        <v>0.96050000000000002</v>
      </c>
      <c r="AM448" s="1252" t="s">
        <v>62</v>
      </c>
      <c r="AN448" s="1334">
        <v>1</v>
      </c>
      <c r="AO448" s="1276"/>
      <c r="AP448" s="1277"/>
      <c r="AQ448" s="1276"/>
      <c r="AR448" s="1278"/>
      <c r="AS448" s="1278"/>
    </row>
    <row r="449" spans="1:45" ht="15.6">
      <c r="A449" s="1097" t="s">
        <v>53</v>
      </c>
      <c r="B449" s="1143" t="s">
        <v>920</v>
      </c>
      <c r="C449" s="1144" t="s">
        <v>921</v>
      </c>
      <c r="D449" s="1144" t="s">
        <v>922</v>
      </c>
      <c r="E449" s="1473" t="s">
        <v>277</v>
      </c>
      <c r="F449" s="856">
        <v>2024</v>
      </c>
      <c r="G449" s="1099">
        <v>45364</v>
      </c>
      <c r="H449" s="1192">
        <v>200105376</v>
      </c>
      <c r="I449" s="1477" t="s">
        <v>1013</v>
      </c>
      <c r="J449" s="1144">
        <v>5</v>
      </c>
      <c r="K449" s="3" t="s">
        <v>932</v>
      </c>
      <c r="L449" s="3" t="s">
        <v>128</v>
      </c>
      <c r="M449" s="786">
        <v>466.4</v>
      </c>
      <c r="N449" s="786">
        <v>258.05</v>
      </c>
      <c r="O449" s="958">
        <v>45378</v>
      </c>
      <c r="P449" s="958">
        <v>45377</v>
      </c>
      <c r="Q449" s="785" t="s">
        <v>1014</v>
      </c>
      <c r="R449" s="785" t="s">
        <v>1015</v>
      </c>
      <c r="S449" s="851" t="s">
        <v>62</v>
      </c>
      <c r="T449" s="848"/>
      <c r="U449" s="3" t="s">
        <v>130</v>
      </c>
      <c r="V449" s="848"/>
      <c r="W449" s="762">
        <v>280.8</v>
      </c>
      <c r="X449" s="1282"/>
      <c r="Y449" s="958">
        <v>45377</v>
      </c>
      <c r="Z449" s="856" t="s">
        <v>62</v>
      </c>
      <c r="AA449" s="1076"/>
      <c r="AB449" s="1099">
        <v>45379</v>
      </c>
      <c r="AC449" s="1099">
        <v>45383</v>
      </c>
      <c r="AD449" s="1176">
        <f>350+255+128</f>
        <v>733</v>
      </c>
      <c r="AE449" s="1264">
        <f t="shared" si="56"/>
        <v>0.96957671957671954</v>
      </c>
      <c r="AF449" s="1228" t="s">
        <v>64</v>
      </c>
      <c r="AG449" s="1262">
        <v>1</v>
      </c>
      <c r="AH449" s="1076" t="s">
        <v>132</v>
      </c>
      <c r="AI449" s="1248">
        <v>45385</v>
      </c>
      <c r="AJ449" s="1248">
        <v>45385</v>
      </c>
      <c r="AK449" s="1285">
        <f>80000+162563</f>
        <v>242563</v>
      </c>
      <c r="AL449" s="1264">
        <f t="shared" si="57"/>
        <v>0.970252</v>
      </c>
      <c r="AM449" s="1252" t="s">
        <v>62</v>
      </c>
      <c r="AN449" s="1334">
        <v>1</v>
      </c>
      <c r="AO449" s="1276"/>
      <c r="AP449" s="1277"/>
      <c r="AQ449" s="1276"/>
      <c r="AR449" s="1278"/>
      <c r="AS449" s="1278"/>
    </row>
    <row r="450" spans="1:45" ht="15.6">
      <c r="A450" s="1097" t="s">
        <v>53</v>
      </c>
      <c r="B450" s="1143" t="s">
        <v>920</v>
      </c>
      <c r="C450" s="1144" t="s">
        <v>921</v>
      </c>
      <c r="D450" s="1144" t="s">
        <v>922</v>
      </c>
      <c r="E450" s="1473" t="s">
        <v>277</v>
      </c>
      <c r="F450" s="856">
        <v>2024</v>
      </c>
      <c r="G450" s="1099">
        <v>45369</v>
      </c>
      <c r="H450" s="1192">
        <v>200105422</v>
      </c>
      <c r="I450" s="1479" t="s">
        <v>1016</v>
      </c>
      <c r="J450" s="1144">
        <v>6</v>
      </c>
      <c r="K450" s="3" t="s">
        <v>932</v>
      </c>
      <c r="L450" s="3" t="s">
        <v>128</v>
      </c>
      <c r="M450" s="762">
        <v>467</v>
      </c>
      <c r="N450" s="762">
        <v>253.78</v>
      </c>
      <c r="O450" s="958">
        <v>45378</v>
      </c>
      <c r="P450" s="958">
        <v>45378</v>
      </c>
      <c r="Q450" s="785" t="s">
        <v>1017</v>
      </c>
      <c r="R450" s="3" t="s">
        <v>1018</v>
      </c>
      <c r="S450" s="851" t="s">
        <v>62</v>
      </c>
      <c r="T450" s="848"/>
      <c r="U450" s="3" t="s">
        <v>130</v>
      </c>
      <c r="V450" s="848"/>
      <c r="W450" s="762">
        <v>276.10000000000002</v>
      </c>
      <c r="X450" s="1282"/>
      <c r="Y450" s="958">
        <v>45378</v>
      </c>
      <c r="Z450" s="856" t="s">
        <v>62</v>
      </c>
      <c r="AA450" s="1076"/>
      <c r="AB450" s="1099">
        <v>45384</v>
      </c>
      <c r="AC450" s="1099">
        <v>45384</v>
      </c>
      <c r="AD450" s="1176">
        <f>315+415</f>
        <v>730</v>
      </c>
      <c r="AE450" s="1264">
        <f t="shared" si="56"/>
        <v>0.96560846560846558</v>
      </c>
      <c r="AF450" s="1228" t="s">
        <v>64</v>
      </c>
      <c r="AG450" s="1262">
        <v>1</v>
      </c>
      <c r="AH450" s="1076" t="s">
        <v>132</v>
      </c>
      <c r="AI450" s="1248">
        <v>45386</v>
      </c>
      <c r="AJ450" s="1248">
        <v>45386</v>
      </c>
      <c r="AK450" s="1285">
        <f>89900+151444</f>
        <v>241344</v>
      </c>
      <c r="AL450" s="1264">
        <f t="shared" si="57"/>
        <v>0.96537600000000001</v>
      </c>
      <c r="AM450" s="1252" t="s">
        <v>62</v>
      </c>
      <c r="AN450" s="1334">
        <v>1</v>
      </c>
      <c r="AO450" s="1276"/>
      <c r="AP450" s="1277"/>
      <c r="AQ450" s="1276"/>
      <c r="AR450" s="1278"/>
      <c r="AS450" s="1278"/>
    </row>
    <row r="451" spans="1:45" ht="15.6">
      <c r="A451" s="1097" t="s">
        <v>53</v>
      </c>
      <c r="B451" s="1143" t="s">
        <v>920</v>
      </c>
      <c r="C451" s="1144" t="s">
        <v>921</v>
      </c>
      <c r="D451" s="1144" t="s">
        <v>922</v>
      </c>
      <c r="E451" s="1473" t="s">
        <v>277</v>
      </c>
      <c r="F451" s="856">
        <v>2024</v>
      </c>
      <c r="G451" s="1099">
        <v>45376</v>
      </c>
      <c r="H451" s="1192">
        <v>200105444</v>
      </c>
      <c r="I451" s="1479" t="s">
        <v>1019</v>
      </c>
      <c r="J451" s="1144">
        <v>7</v>
      </c>
      <c r="K451" s="3" t="s">
        <v>932</v>
      </c>
      <c r="L451" s="3" t="s">
        <v>128</v>
      </c>
      <c r="M451" s="786">
        <v>467.5</v>
      </c>
      <c r="N451" s="762">
        <v>258.33999999999997</v>
      </c>
      <c r="O451" s="958">
        <v>45378</v>
      </c>
      <c r="P451" s="958">
        <v>45378</v>
      </c>
      <c r="Q451" s="3" t="s">
        <v>1020</v>
      </c>
      <c r="R451" s="3" t="s">
        <v>1021</v>
      </c>
      <c r="S451" s="851" t="s">
        <v>62</v>
      </c>
      <c r="T451" s="848"/>
      <c r="U451" s="3" t="s">
        <v>130</v>
      </c>
      <c r="V451" s="848"/>
      <c r="W451" s="762">
        <v>281</v>
      </c>
      <c r="X451" s="1282"/>
      <c r="Y451" s="958">
        <v>45379</v>
      </c>
      <c r="Z451" s="856" t="s">
        <v>62</v>
      </c>
      <c r="AA451" s="1076"/>
      <c r="AB451" s="1099">
        <v>45384</v>
      </c>
      <c r="AC451" s="1099">
        <v>45385</v>
      </c>
      <c r="AD451" s="1176">
        <f>420+317</f>
        <v>737</v>
      </c>
      <c r="AE451" s="1264">
        <f t="shared" si="56"/>
        <v>0.97486772486772488</v>
      </c>
      <c r="AF451" s="1228" t="s">
        <v>64</v>
      </c>
      <c r="AG451" s="1262">
        <v>1</v>
      </c>
      <c r="AH451" s="1076" t="s">
        <v>132</v>
      </c>
      <c r="AI451" s="1248">
        <v>45386</v>
      </c>
      <c r="AJ451" s="1248">
        <v>45386</v>
      </c>
      <c r="AK451" s="1293">
        <f>105000+98000+15273</f>
        <v>218273</v>
      </c>
      <c r="AL451" s="1264">
        <f t="shared" si="57"/>
        <v>0.87309199999999998</v>
      </c>
      <c r="AM451" s="1252" t="s">
        <v>62</v>
      </c>
      <c r="AN451" s="1334">
        <v>1</v>
      </c>
      <c r="AO451" s="1276"/>
      <c r="AP451" s="1277"/>
      <c r="AQ451" s="1276"/>
      <c r="AR451" s="1278"/>
      <c r="AS451" s="1278"/>
    </row>
    <row r="452" spans="1:45" ht="15.6">
      <c r="A452" s="1097" t="s">
        <v>53</v>
      </c>
      <c r="B452" s="1143" t="s">
        <v>920</v>
      </c>
      <c r="C452" s="1144" t="s">
        <v>921</v>
      </c>
      <c r="D452" s="1144" t="s">
        <v>922</v>
      </c>
      <c r="E452" s="1473" t="s">
        <v>277</v>
      </c>
      <c r="F452" s="856">
        <v>2024</v>
      </c>
      <c r="G452" s="1099">
        <v>45376</v>
      </c>
      <c r="H452" s="1192">
        <v>200105445</v>
      </c>
      <c r="I452" s="1479" t="s">
        <v>1022</v>
      </c>
      <c r="J452" s="1144">
        <v>8</v>
      </c>
      <c r="K452" s="3" t="s">
        <v>932</v>
      </c>
      <c r="L452" s="3" t="s">
        <v>128</v>
      </c>
      <c r="M452" s="762">
        <v>464.18</v>
      </c>
      <c r="N452" s="786">
        <v>256.10000000000002</v>
      </c>
      <c r="O452" s="958">
        <v>45379</v>
      </c>
      <c r="P452" s="958">
        <v>45383</v>
      </c>
      <c r="Q452" s="785" t="s">
        <v>1023</v>
      </c>
      <c r="R452" s="3" t="s">
        <v>1024</v>
      </c>
      <c r="S452" s="851" t="s">
        <v>62</v>
      </c>
      <c r="T452" s="848"/>
      <c r="U452" s="3" t="s">
        <v>130</v>
      </c>
      <c r="V452" s="848"/>
      <c r="W452" s="786">
        <v>278.8</v>
      </c>
      <c r="X452" s="1282"/>
      <c r="Y452" s="958">
        <v>45383</v>
      </c>
      <c r="Z452" s="856" t="s">
        <v>62</v>
      </c>
      <c r="AA452" s="1076"/>
      <c r="AB452" s="1099">
        <v>45385</v>
      </c>
      <c r="AC452" s="1099">
        <v>45385</v>
      </c>
      <c r="AD452" s="1176">
        <f>120+430+184</f>
        <v>734</v>
      </c>
      <c r="AE452" s="1264">
        <f t="shared" si="56"/>
        <v>0.97089947089947093</v>
      </c>
      <c r="AF452" s="1228" t="s">
        <v>64</v>
      </c>
      <c r="AG452" s="1262">
        <v>1</v>
      </c>
      <c r="AH452" s="1248" t="s">
        <v>617</v>
      </c>
      <c r="AI452" s="1248">
        <v>45386</v>
      </c>
      <c r="AJ452" s="1248">
        <v>45398</v>
      </c>
      <c r="AK452" s="1249">
        <f>18900+54000+52700+35500+60600+20785</f>
        <v>242485</v>
      </c>
      <c r="AL452" s="1264">
        <f t="shared" si="57"/>
        <v>0.96994000000000002</v>
      </c>
      <c r="AM452" s="1252" t="s">
        <v>62</v>
      </c>
      <c r="AN452" s="1334">
        <v>1</v>
      </c>
      <c r="AO452" s="1276"/>
      <c r="AP452" s="1277"/>
      <c r="AQ452" s="1276"/>
      <c r="AR452" s="1278"/>
      <c r="AS452" s="1278"/>
    </row>
    <row r="453" spans="1:45" ht="15.6">
      <c r="A453" s="1097" t="s">
        <v>53</v>
      </c>
      <c r="B453" s="1143" t="s">
        <v>920</v>
      </c>
      <c r="C453" s="1144" t="s">
        <v>921</v>
      </c>
      <c r="D453" s="1144" t="s">
        <v>922</v>
      </c>
      <c r="E453" s="1473" t="s">
        <v>277</v>
      </c>
      <c r="F453" s="856">
        <v>2024</v>
      </c>
      <c r="G453" s="1099">
        <v>45376</v>
      </c>
      <c r="H453" s="1192">
        <v>200105446</v>
      </c>
      <c r="I453" s="1479" t="s">
        <v>1025</v>
      </c>
      <c r="J453" s="1144">
        <v>9</v>
      </c>
      <c r="K453" s="3" t="s">
        <v>932</v>
      </c>
      <c r="L453" s="3" t="s">
        <v>128</v>
      </c>
      <c r="M453" s="762">
        <v>469.08</v>
      </c>
      <c r="N453" s="786">
        <v>253.24</v>
      </c>
      <c r="O453" s="958">
        <v>45379</v>
      </c>
      <c r="P453" s="958">
        <v>45383</v>
      </c>
      <c r="Q453" s="3" t="s">
        <v>1026</v>
      </c>
      <c r="R453" s="3" t="s">
        <v>1027</v>
      </c>
      <c r="S453" s="851" t="s">
        <v>62</v>
      </c>
      <c r="T453" s="848"/>
      <c r="U453" s="3" t="s">
        <v>130</v>
      </c>
      <c r="V453" s="848"/>
      <c r="W453" s="786">
        <v>280.7</v>
      </c>
      <c r="X453" s="1282"/>
      <c r="Y453" s="958">
        <v>45383</v>
      </c>
      <c r="Z453" s="856" t="s">
        <v>62</v>
      </c>
      <c r="AA453" s="1076"/>
      <c r="AB453" s="1099">
        <v>45385</v>
      </c>
      <c r="AC453" s="1099">
        <v>45386</v>
      </c>
      <c r="AD453" s="1176">
        <f>260+445+32</f>
        <v>737</v>
      </c>
      <c r="AE453" s="1264">
        <f t="shared" si="56"/>
        <v>0.97486772486772488</v>
      </c>
      <c r="AF453" s="1228" t="s">
        <v>64</v>
      </c>
      <c r="AG453" s="1262">
        <v>1</v>
      </c>
      <c r="AH453" s="1076" t="s">
        <v>132</v>
      </c>
      <c r="AI453" s="1248">
        <v>45387</v>
      </c>
      <c r="AJ453" s="1248">
        <v>45397</v>
      </c>
      <c r="AK453" s="1285">
        <f>72100+85600+69437+16471</f>
        <v>243608</v>
      </c>
      <c r="AL453" s="1264">
        <f t="shared" si="57"/>
        <v>0.97443199999999996</v>
      </c>
      <c r="AM453" s="1252" t="s">
        <v>62</v>
      </c>
      <c r="AN453" s="1334">
        <v>1</v>
      </c>
      <c r="AO453" s="1276"/>
      <c r="AP453" s="1277"/>
      <c r="AQ453" s="1276"/>
      <c r="AR453" s="1278"/>
      <c r="AS453" s="1278"/>
    </row>
    <row r="454" spans="1:45" ht="15.6">
      <c r="A454" s="1097" t="s">
        <v>53</v>
      </c>
      <c r="B454" s="1143" t="s">
        <v>920</v>
      </c>
      <c r="C454" s="1144" t="s">
        <v>921</v>
      </c>
      <c r="D454" s="1144" t="s">
        <v>922</v>
      </c>
      <c r="E454" s="1473" t="s">
        <v>277</v>
      </c>
      <c r="F454" s="856">
        <v>2024</v>
      </c>
      <c r="G454" s="1099">
        <v>45376</v>
      </c>
      <c r="H454" s="3">
        <v>200105447</v>
      </c>
      <c r="I454" s="1480" t="s">
        <v>1028</v>
      </c>
      <c r="J454" s="1144">
        <v>10</v>
      </c>
      <c r="K454" s="3" t="s">
        <v>932</v>
      </c>
      <c r="L454" s="3" t="s">
        <v>128</v>
      </c>
      <c r="M454" s="786">
        <v>464.8</v>
      </c>
      <c r="N454" s="786">
        <v>257.93</v>
      </c>
      <c r="O454" s="958">
        <v>45384</v>
      </c>
      <c r="P454" s="958">
        <v>45383</v>
      </c>
      <c r="Q454" s="3" t="s">
        <v>1029</v>
      </c>
      <c r="R454" s="3" t="s">
        <v>1030</v>
      </c>
      <c r="S454" s="851" t="s">
        <v>62</v>
      </c>
      <c r="T454" s="848"/>
      <c r="U454" s="3" t="s">
        <v>130</v>
      </c>
      <c r="V454" s="848"/>
      <c r="W454" s="786">
        <v>276</v>
      </c>
      <c r="X454" s="1282"/>
      <c r="Y454" s="958">
        <v>45383</v>
      </c>
      <c r="Z454" s="856" t="s">
        <v>62</v>
      </c>
      <c r="AA454" s="1076"/>
      <c r="AB454" s="1099">
        <v>45385</v>
      </c>
      <c r="AC454" s="1099">
        <v>45386</v>
      </c>
      <c r="AD454" s="1176">
        <f>380+351</f>
        <v>731</v>
      </c>
      <c r="AE454" s="1264">
        <f t="shared" si="56"/>
        <v>0.96693121693121697</v>
      </c>
      <c r="AF454" s="1228" t="s">
        <v>64</v>
      </c>
      <c r="AG454" s="1262">
        <v>1</v>
      </c>
      <c r="AH454" s="1076" t="s">
        <v>132</v>
      </c>
      <c r="AI454" s="1248">
        <v>45397</v>
      </c>
      <c r="AJ454" s="1248">
        <v>45397</v>
      </c>
      <c r="AK454" s="1285">
        <f>110000+131639</f>
        <v>241639</v>
      </c>
      <c r="AL454" s="1264">
        <f t="shared" si="57"/>
        <v>0.96655599999999997</v>
      </c>
      <c r="AM454" s="1252" t="s">
        <v>62</v>
      </c>
      <c r="AN454" s="1334">
        <v>1</v>
      </c>
      <c r="AO454" s="1276"/>
      <c r="AP454" s="1277"/>
      <c r="AQ454" s="1276"/>
      <c r="AR454" s="1278"/>
      <c r="AS454" s="1278"/>
    </row>
    <row r="455" spans="1:45" ht="15.6">
      <c r="A455" s="1097" t="s">
        <v>53</v>
      </c>
      <c r="B455" s="1143" t="s">
        <v>920</v>
      </c>
      <c r="C455" s="1144" t="s">
        <v>921</v>
      </c>
      <c r="D455" s="1144" t="s">
        <v>922</v>
      </c>
      <c r="E455" s="1473" t="s">
        <v>277</v>
      </c>
      <c r="F455" s="856">
        <v>2024</v>
      </c>
      <c r="G455" s="1099">
        <v>45376</v>
      </c>
      <c r="H455" s="3">
        <v>200105448</v>
      </c>
      <c r="I455" s="1480" t="s">
        <v>1031</v>
      </c>
      <c r="J455" s="1144">
        <v>11</v>
      </c>
      <c r="K455" s="3" t="s">
        <v>932</v>
      </c>
      <c r="L455" s="3" t="s">
        <v>128</v>
      </c>
      <c r="M455" s="786">
        <v>468.6</v>
      </c>
      <c r="N455" s="786">
        <v>254.72</v>
      </c>
      <c r="O455" s="958">
        <v>45384</v>
      </c>
      <c r="P455" s="958">
        <v>45383</v>
      </c>
      <c r="Q455" s="3" t="s">
        <v>1032</v>
      </c>
      <c r="R455" s="3" t="s">
        <v>1033</v>
      </c>
      <c r="S455" s="851" t="s">
        <v>62</v>
      </c>
      <c r="T455" s="848"/>
      <c r="U455" s="3" t="s">
        <v>130</v>
      </c>
      <c r="V455" s="848"/>
      <c r="W455" s="786">
        <v>277.8</v>
      </c>
      <c r="X455" s="1282"/>
      <c r="Y455" s="958">
        <v>45384</v>
      </c>
      <c r="Z455" s="856" t="s">
        <v>62</v>
      </c>
      <c r="AA455" s="1076"/>
      <c r="AB455" s="1099">
        <v>45385</v>
      </c>
      <c r="AC455" s="1099">
        <v>45387</v>
      </c>
      <c r="AD455" s="1176">
        <f>65+305+362</f>
        <v>732</v>
      </c>
      <c r="AE455" s="1264">
        <f t="shared" si="56"/>
        <v>0.96825396825396826</v>
      </c>
      <c r="AF455" s="1228" t="s">
        <v>64</v>
      </c>
      <c r="AG455" s="1262">
        <v>1</v>
      </c>
      <c r="AH455" s="1248" t="s">
        <v>162</v>
      </c>
      <c r="AI455" s="1248">
        <v>45399</v>
      </c>
      <c r="AJ455" s="1248">
        <v>45400</v>
      </c>
      <c r="AK455" s="1285">
        <f>38152+100438+92455+9514</f>
        <v>240559</v>
      </c>
      <c r="AL455" s="1264">
        <f t="shared" si="57"/>
        <v>0.96223599999999998</v>
      </c>
      <c r="AM455" s="1252" t="s">
        <v>62</v>
      </c>
      <c r="AN455" s="1334">
        <v>1</v>
      </c>
      <c r="AO455" s="1276"/>
      <c r="AP455" s="1277"/>
      <c r="AQ455" s="1276"/>
      <c r="AR455" s="1278"/>
      <c r="AS455" s="1278"/>
    </row>
    <row r="456" spans="1:45" ht="15.6">
      <c r="A456" s="1097" t="s">
        <v>53</v>
      </c>
      <c r="B456" s="1143"/>
      <c r="C456" s="1144"/>
      <c r="D456" s="1144"/>
      <c r="E456" s="1098"/>
      <c r="F456" s="1098"/>
      <c r="G456" s="1099"/>
      <c r="H456" s="3"/>
      <c r="I456" s="782"/>
      <c r="J456" s="1144"/>
      <c r="K456" s="856"/>
      <c r="L456" s="856"/>
      <c r="M456" s="856"/>
      <c r="N456" s="856"/>
      <c r="O456" s="1179"/>
      <c r="P456" s="1179"/>
      <c r="Q456" s="1099"/>
      <c r="R456" s="1099"/>
      <c r="S456" s="1340"/>
      <c r="T456" s="856"/>
      <c r="U456" s="856"/>
      <c r="V456" s="856"/>
      <c r="W456" s="856"/>
      <c r="X456" s="1179"/>
      <c r="Y456" s="1202"/>
      <c r="Z456" s="856"/>
      <c r="AA456" s="1076"/>
      <c r="AB456" s="1099"/>
      <c r="AC456" s="1099"/>
      <c r="AD456" s="1176"/>
      <c r="AE456" s="1264"/>
      <c r="AF456" s="1342"/>
      <c r="AG456" s="1317"/>
      <c r="AH456" s="1248"/>
      <c r="AI456" s="1248"/>
      <c r="AJ456" s="1248"/>
      <c r="AK456" s="1285"/>
      <c r="AL456" s="1264"/>
      <c r="AM456" s="1331"/>
      <c r="AN456" s="1334"/>
      <c r="AO456" s="1276"/>
      <c r="AP456" s="1277"/>
      <c r="AQ456" s="1276"/>
      <c r="AR456" s="1278"/>
      <c r="AS456" s="1278"/>
    </row>
    <row r="457" spans="1:45" ht="15.6">
      <c r="A457" s="1097" t="s">
        <v>53</v>
      </c>
      <c r="B457" s="1143" t="s">
        <v>920</v>
      </c>
      <c r="C457" s="1144" t="s">
        <v>921</v>
      </c>
      <c r="D457" s="1144" t="s">
        <v>922</v>
      </c>
      <c r="E457" s="1473" t="s">
        <v>57</v>
      </c>
      <c r="F457" s="856">
        <v>2024</v>
      </c>
      <c r="G457" s="1099">
        <v>45399</v>
      </c>
      <c r="H457" s="3">
        <v>200105670</v>
      </c>
      <c r="I457" s="1439" t="s">
        <v>1034</v>
      </c>
      <c r="J457" s="1144">
        <v>1</v>
      </c>
      <c r="K457" s="3" t="s">
        <v>60</v>
      </c>
      <c r="L457" s="3" t="s">
        <v>60</v>
      </c>
      <c r="M457" s="786">
        <v>465.9</v>
      </c>
      <c r="N457" s="786">
        <v>253.93</v>
      </c>
      <c r="O457" s="958">
        <v>45406</v>
      </c>
      <c r="P457" s="958">
        <v>45406</v>
      </c>
      <c r="Q457" s="784" t="s">
        <v>1035</v>
      </c>
      <c r="R457" s="784" t="s">
        <v>1036</v>
      </c>
      <c r="S457" s="851" t="s">
        <v>62</v>
      </c>
      <c r="T457" s="848"/>
      <c r="U457" s="3" t="s">
        <v>130</v>
      </c>
      <c r="V457" s="848"/>
      <c r="W457" s="786">
        <v>276.5</v>
      </c>
      <c r="X457" s="1282"/>
      <c r="Y457" s="958">
        <v>45406</v>
      </c>
      <c r="Z457" s="856" t="s">
        <v>62</v>
      </c>
      <c r="AA457" s="1076"/>
      <c r="AB457" s="1099">
        <v>45418</v>
      </c>
      <c r="AC457" s="1099">
        <v>45418</v>
      </c>
      <c r="AD457" s="1176">
        <f>230+385+114</f>
        <v>729</v>
      </c>
      <c r="AE457" s="1264">
        <f t="shared" ref="AE457:AE469" si="58">AD457/756</f>
        <v>0.9642857142857143</v>
      </c>
      <c r="AF457" s="1228" t="s">
        <v>64</v>
      </c>
      <c r="AG457" s="1262">
        <v>1</v>
      </c>
      <c r="AH457" s="1248" t="s">
        <v>617</v>
      </c>
      <c r="AI457" s="1248">
        <v>45419</v>
      </c>
      <c r="AJ457" s="1248">
        <v>45420</v>
      </c>
      <c r="AK457" s="1285">
        <f>59100+70200+60000+51914</f>
        <v>241214</v>
      </c>
      <c r="AL457" s="1264">
        <f t="shared" ref="AL457:AL469" si="59">AK457/250000</f>
        <v>0.96485600000000005</v>
      </c>
      <c r="AM457" s="1252" t="s">
        <v>62</v>
      </c>
      <c r="AN457" s="1334">
        <v>1</v>
      </c>
      <c r="AO457" s="1276"/>
      <c r="AP457" s="1277"/>
      <c r="AQ457" s="1276"/>
      <c r="AR457" s="1278"/>
      <c r="AS457" s="1278"/>
    </row>
    <row r="458" spans="1:45" ht="15.6">
      <c r="A458" s="1097" t="s">
        <v>53</v>
      </c>
      <c r="B458" s="1143" t="s">
        <v>920</v>
      </c>
      <c r="C458" s="1144" t="s">
        <v>921</v>
      </c>
      <c r="D458" s="1144" t="s">
        <v>922</v>
      </c>
      <c r="E458" s="1473" t="s">
        <v>57</v>
      </c>
      <c r="F458" s="856">
        <v>2024</v>
      </c>
      <c r="G458" s="1099">
        <v>45399</v>
      </c>
      <c r="H458" s="3">
        <v>200105671</v>
      </c>
      <c r="I458" s="1439" t="s">
        <v>1037</v>
      </c>
      <c r="J458" s="1144">
        <v>2</v>
      </c>
      <c r="K458" s="3" t="s">
        <v>60</v>
      </c>
      <c r="L458" s="3" t="s">
        <v>60</v>
      </c>
      <c r="M458" s="786">
        <v>466.8</v>
      </c>
      <c r="N458" s="786">
        <v>255.56</v>
      </c>
      <c r="O458" s="958">
        <v>45407</v>
      </c>
      <c r="P458" s="958">
        <v>45406</v>
      </c>
      <c r="Q458" s="3" t="s">
        <v>1038</v>
      </c>
      <c r="R458" s="784" t="s">
        <v>1039</v>
      </c>
      <c r="S458" s="851" t="s">
        <v>62</v>
      </c>
      <c r="T458" s="848"/>
      <c r="U458" s="3" t="s">
        <v>130</v>
      </c>
      <c r="V458" s="848"/>
      <c r="W458" s="786">
        <v>278.5</v>
      </c>
      <c r="X458" s="1282"/>
      <c r="Y458" s="958">
        <v>45406</v>
      </c>
      <c r="Z458" s="856" t="s">
        <v>62</v>
      </c>
      <c r="AA458" s="1076"/>
      <c r="AB458" s="1099">
        <v>45418</v>
      </c>
      <c r="AC458" s="1099">
        <v>45419</v>
      </c>
      <c r="AD458" s="1176">
        <f>315+310+110</f>
        <v>735</v>
      </c>
      <c r="AE458" s="1264">
        <f t="shared" si="58"/>
        <v>0.97222222222222221</v>
      </c>
      <c r="AF458" s="1228" t="s">
        <v>64</v>
      </c>
      <c r="AG458" s="1262">
        <v>1</v>
      </c>
      <c r="AH458" s="1248" t="s">
        <v>617</v>
      </c>
      <c r="AI458" s="1248">
        <v>45420</v>
      </c>
      <c r="AJ458" s="1248">
        <v>45425</v>
      </c>
      <c r="AK458" s="1285">
        <f>43200+43200+55500+30500+56700+12238</f>
        <v>241338</v>
      </c>
      <c r="AL458" s="1264">
        <f t="shared" si="59"/>
        <v>0.96535199999999999</v>
      </c>
      <c r="AM458" s="1252" t="s">
        <v>62</v>
      </c>
      <c r="AN458" s="1334">
        <v>1</v>
      </c>
      <c r="AO458" s="1276"/>
      <c r="AP458" s="1277"/>
      <c r="AQ458" s="1276"/>
      <c r="AR458" s="1278"/>
      <c r="AS458" s="1278"/>
    </row>
    <row r="459" spans="1:45" ht="15.6">
      <c r="A459" s="1097" t="s">
        <v>53</v>
      </c>
      <c r="B459" s="1143" t="s">
        <v>920</v>
      </c>
      <c r="C459" s="1144" t="s">
        <v>921</v>
      </c>
      <c r="D459" s="1144" t="s">
        <v>922</v>
      </c>
      <c r="E459" s="1473" t="s">
        <v>57</v>
      </c>
      <c r="F459" s="856">
        <v>2024</v>
      </c>
      <c r="G459" s="1099">
        <v>45400</v>
      </c>
      <c r="H459" s="3">
        <v>200105697</v>
      </c>
      <c r="I459" s="1457" t="s">
        <v>1040</v>
      </c>
      <c r="J459" s="1144">
        <v>3</v>
      </c>
      <c r="K459" s="3" t="s">
        <v>60</v>
      </c>
      <c r="L459" s="3" t="s">
        <v>1041</v>
      </c>
      <c r="M459" s="786">
        <v>464.2</v>
      </c>
      <c r="N459" s="786">
        <v>253.76</v>
      </c>
      <c r="O459" s="958">
        <v>45414</v>
      </c>
      <c r="P459" s="958">
        <v>45414</v>
      </c>
      <c r="Q459" s="3" t="s">
        <v>1042</v>
      </c>
      <c r="R459" s="3" t="s">
        <v>1043</v>
      </c>
      <c r="S459" s="851" t="s">
        <v>62</v>
      </c>
      <c r="T459" s="848"/>
      <c r="U459" s="3" t="s">
        <v>130</v>
      </c>
      <c r="V459" s="848"/>
      <c r="W459" s="786">
        <v>276.7</v>
      </c>
      <c r="X459" s="1282"/>
      <c r="Y459" s="958">
        <v>45414</v>
      </c>
      <c r="Z459" s="856" t="s">
        <v>62</v>
      </c>
      <c r="AA459" s="1076"/>
      <c r="AB459" s="1099">
        <v>45419</v>
      </c>
      <c r="AC459" s="1099">
        <v>45420</v>
      </c>
      <c r="AD459" s="1176">
        <f>245+470+15</f>
        <v>730</v>
      </c>
      <c r="AE459" s="1264">
        <f t="shared" si="58"/>
        <v>0.96560846560846558</v>
      </c>
      <c r="AF459" s="1228" t="s">
        <v>64</v>
      </c>
      <c r="AG459" s="1262">
        <v>1</v>
      </c>
      <c r="AH459" s="1076" t="s">
        <v>162</v>
      </c>
      <c r="AI459" s="1248">
        <v>45425</v>
      </c>
      <c r="AJ459" s="1248">
        <v>45426</v>
      </c>
      <c r="AK459" s="1291">
        <f>16930+79500+96743+46894</f>
        <v>240067</v>
      </c>
      <c r="AL459" s="1264">
        <f t="shared" si="59"/>
        <v>0.96026800000000001</v>
      </c>
      <c r="AM459" s="1252" t="s">
        <v>62</v>
      </c>
      <c r="AN459" s="1334">
        <v>1</v>
      </c>
      <c r="AO459" s="1276"/>
      <c r="AP459" s="1277"/>
      <c r="AQ459" s="1276"/>
      <c r="AR459" s="1278"/>
      <c r="AS459" s="1278"/>
    </row>
    <row r="460" spans="1:45" ht="15.6">
      <c r="A460" s="1097" t="s">
        <v>53</v>
      </c>
      <c r="B460" s="1143" t="s">
        <v>920</v>
      </c>
      <c r="C460" s="1144" t="s">
        <v>921</v>
      </c>
      <c r="D460" s="1144" t="s">
        <v>922</v>
      </c>
      <c r="E460" s="1473" t="s">
        <v>57</v>
      </c>
      <c r="F460" s="856">
        <v>2024</v>
      </c>
      <c r="G460" s="1099">
        <v>45400</v>
      </c>
      <c r="H460" s="3">
        <v>200105698</v>
      </c>
      <c r="I460" s="1457" t="s">
        <v>1044</v>
      </c>
      <c r="J460" s="1144">
        <v>4</v>
      </c>
      <c r="K460" s="3" t="s">
        <v>60</v>
      </c>
      <c r="L460" s="3" t="s">
        <v>1041</v>
      </c>
      <c r="M460" s="786">
        <v>467.8</v>
      </c>
      <c r="N460" s="786">
        <v>260.17</v>
      </c>
      <c r="O460" s="958">
        <v>45414</v>
      </c>
      <c r="P460" s="958">
        <v>45414</v>
      </c>
      <c r="Q460" s="3" t="s">
        <v>1045</v>
      </c>
      <c r="R460" s="3" t="s">
        <v>1046</v>
      </c>
      <c r="S460" s="851" t="s">
        <v>62</v>
      </c>
      <c r="T460" s="848"/>
      <c r="U460" s="3" t="s">
        <v>130</v>
      </c>
      <c r="V460" s="848"/>
      <c r="W460" s="786">
        <v>283</v>
      </c>
      <c r="X460" s="1282"/>
      <c r="Y460" s="958">
        <v>45414</v>
      </c>
      <c r="Z460" s="856" t="s">
        <v>62</v>
      </c>
      <c r="AA460" s="1076"/>
      <c r="AB460" s="1099">
        <v>45420</v>
      </c>
      <c r="AC460" s="1099">
        <v>45420</v>
      </c>
      <c r="AD460" s="1176">
        <f>420+319</f>
        <v>739</v>
      </c>
      <c r="AE460" s="1264">
        <f t="shared" si="58"/>
        <v>0.97751322751322756</v>
      </c>
      <c r="AF460" s="1228" t="s">
        <v>64</v>
      </c>
      <c r="AG460" s="1262">
        <v>1</v>
      </c>
      <c r="AH460" s="1248" t="s">
        <v>617</v>
      </c>
      <c r="AI460" s="1248">
        <v>45425</v>
      </c>
      <c r="AJ460" s="1248">
        <v>45428</v>
      </c>
      <c r="AK460" s="1285">
        <f>35500+59400+61200+56000+20000+11950</f>
        <v>244050</v>
      </c>
      <c r="AL460" s="1264">
        <f t="shared" si="59"/>
        <v>0.97619999999999996</v>
      </c>
      <c r="AM460" s="1252" t="s">
        <v>62</v>
      </c>
      <c r="AN460" s="1334">
        <v>1</v>
      </c>
      <c r="AO460" s="1276"/>
      <c r="AP460" s="1277"/>
      <c r="AQ460" s="1276"/>
      <c r="AR460" s="1278"/>
      <c r="AS460" s="1278"/>
    </row>
    <row r="461" spans="1:45" ht="15.6">
      <c r="A461" s="1097" t="s">
        <v>53</v>
      </c>
      <c r="B461" s="1143" t="s">
        <v>920</v>
      </c>
      <c r="C461" s="1144" t="s">
        <v>921</v>
      </c>
      <c r="D461" s="1144" t="s">
        <v>922</v>
      </c>
      <c r="E461" s="1473" t="s">
        <v>57</v>
      </c>
      <c r="F461" s="856">
        <v>2024</v>
      </c>
      <c r="G461" s="1099">
        <v>45400</v>
      </c>
      <c r="H461" s="3">
        <v>200105699</v>
      </c>
      <c r="I461" s="1457" t="s">
        <v>1047</v>
      </c>
      <c r="J461" s="1144">
        <v>5</v>
      </c>
      <c r="K461" s="3" t="s">
        <v>60</v>
      </c>
      <c r="L461" s="3" t="s">
        <v>1041</v>
      </c>
      <c r="M461" s="786">
        <v>463.7</v>
      </c>
      <c r="N461" s="786">
        <v>254.35</v>
      </c>
      <c r="O461" s="958">
        <v>45415</v>
      </c>
      <c r="P461" s="958">
        <v>45415</v>
      </c>
      <c r="Q461" s="3" t="s">
        <v>1048</v>
      </c>
      <c r="R461" s="3" t="s">
        <v>1049</v>
      </c>
      <c r="S461" s="851" t="s">
        <v>62</v>
      </c>
      <c r="T461" s="848"/>
      <c r="U461" s="3" t="s">
        <v>130</v>
      </c>
      <c r="V461" s="848"/>
      <c r="W461" s="786">
        <v>277.2</v>
      </c>
      <c r="X461" s="1282"/>
      <c r="Y461" s="958">
        <v>45418</v>
      </c>
      <c r="Z461" s="856" t="s">
        <v>62</v>
      </c>
      <c r="AA461" s="1076"/>
      <c r="AB461" s="1099">
        <v>45420</v>
      </c>
      <c r="AC461" s="1099">
        <v>45422</v>
      </c>
      <c r="AD461" s="1176">
        <f>455+275</f>
        <v>730</v>
      </c>
      <c r="AE461" s="1264">
        <f t="shared" si="58"/>
        <v>0.96560846560846558</v>
      </c>
      <c r="AF461" s="1228" t="s">
        <v>64</v>
      </c>
      <c r="AG461" s="1262">
        <v>1</v>
      </c>
      <c r="AH461" s="1248" t="s">
        <v>1050</v>
      </c>
      <c r="AI461" s="1248">
        <v>45426</v>
      </c>
      <c r="AJ461" s="1248">
        <v>45427</v>
      </c>
      <c r="AK461" s="1285">
        <f>29146+65000+47353+98640</f>
        <v>240139</v>
      </c>
      <c r="AL461" s="1264">
        <f t="shared" si="59"/>
        <v>0.96055599999999997</v>
      </c>
      <c r="AM461" s="1252" t="s">
        <v>62</v>
      </c>
      <c r="AN461" s="1334">
        <v>1</v>
      </c>
      <c r="AO461" s="1276"/>
      <c r="AP461" s="1277"/>
      <c r="AQ461" s="1276"/>
      <c r="AR461" s="1278"/>
      <c r="AS461" s="1278"/>
    </row>
    <row r="462" spans="1:45" ht="15.6">
      <c r="A462" s="1097" t="s">
        <v>53</v>
      </c>
      <c r="B462" s="1143" t="s">
        <v>920</v>
      </c>
      <c r="C462" s="1144" t="s">
        <v>921</v>
      </c>
      <c r="D462" s="1144" t="s">
        <v>922</v>
      </c>
      <c r="E462" s="1473" t="s">
        <v>57</v>
      </c>
      <c r="F462" s="856">
        <v>2024</v>
      </c>
      <c r="G462" s="1099">
        <v>45404</v>
      </c>
      <c r="H462" s="3">
        <v>200105701</v>
      </c>
      <c r="I462" s="1457" t="s">
        <v>1051</v>
      </c>
      <c r="J462" s="1144">
        <v>6</v>
      </c>
      <c r="K462" s="3" t="s">
        <v>60</v>
      </c>
      <c r="L462" s="3" t="s">
        <v>1041</v>
      </c>
      <c r="M462" s="786">
        <v>466.3</v>
      </c>
      <c r="N462" s="785">
        <v>256.23</v>
      </c>
      <c r="O462" s="958">
        <v>45419</v>
      </c>
      <c r="P462" s="958">
        <v>45418</v>
      </c>
      <c r="Q462" s="3" t="s">
        <v>1052</v>
      </c>
      <c r="R462" s="3" t="s">
        <v>1053</v>
      </c>
      <c r="S462" s="851" t="s">
        <v>62</v>
      </c>
      <c r="T462" s="848"/>
      <c r="U462" s="3" t="s">
        <v>130</v>
      </c>
      <c r="V462" s="848"/>
      <c r="W462" s="786">
        <v>277.2</v>
      </c>
      <c r="X462" s="1282"/>
      <c r="Y462" s="958">
        <v>45419</v>
      </c>
      <c r="Z462" s="856" t="s">
        <v>62</v>
      </c>
      <c r="AA462" s="1076"/>
      <c r="AB462" s="1099">
        <v>45422</v>
      </c>
      <c r="AC462" s="1099">
        <v>45422</v>
      </c>
      <c r="AD462" s="1176">
        <f>45+385+304</f>
        <v>734</v>
      </c>
      <c r="AE462" s="1264">
        <f t="shared" si="58"/>
        <v>0.97089947089947093</v>
      </c>
      <c r="AF462" s="1228" t="s">
        <v>64</v>
      </c>
      <c r="AG462" s="1262">
        <v>1</v>
      </c>
      <c r="AH462" s="1248" t="s">
        <v>1050</v>
      </c>
      <c r="AI462" s="1248">
        <v>45427</v>
      </c>
      <c r="AJ462" s="1248">
        <v>45428</v>
      </c>
      <c r="AK462" s="1285">
        <f>32651+80000+102397+26989</f>
        <v>242037</v>
      </c>
      <c r="AL462" s="1264">
        <f t="shared" si="59"/>
        <v>0.96814800000000001</v>
      </c>
      <c r="AM462" s="1252" t="s">
        <v>62</v>
      </c>
      <c r="AN462" s="1334">
        <v>1</v>
      </c>
      <c r="AO462" s="1276"/>
      <c r="AP462" s="1277"/>
      <c r="AQ462" s="1276"/>
      <c r="AR462" s="1278"/>
      <c r="AS462" s="1278"/>
    </row>
    <row r="463" spans="1:45" ht="15.6">
      <c r="A463" s="1097" t="s">
        <v>53</v>
      </c>
      <c r="B463" s="1143" t="s">
        <v>920</v>
      </c>
      <c r="C463" s="1144" t="s">
        <v>921</v>
      </c>
      <c r="D463" s="1144" t="s">
        <v>922</v>
      </c>
      <c r="E463" s="1473" t="s">
        <v>57</v>
      </c>
      <c r="F463" s="856">
        <v>2024</v>
      </c>
      <c r="G463" s="1099">
        <v>45418</v>
      </c>
      <c r="H463" s="3">
        <v>200105871</v>
      </c>
      <c r="I463" s="1452" t="s">
        <v>1054</v>
      </c>
      <c r="J463" s="1144">
        <v>7</v>
      </c>
      <c r="K463" s="3" t="s">
        <v>60</v>
      </c>
      <c r="L463" s="3" t="s">
        <v>1041</v>
      </c>
      <c r="M463" s="785">
        <v>463.9</v>
      </c>
      <c r="N463" s="786">
        <v>254.64</v>
      </c>
      <c r="O463" s="958">
        <v>45422</v>
      </c>
      <c r="P463" s="958">
        <v>45422</v>
      </c>
      <c r="Q463" s="3" t="s">
        <v>1055</v>
      </c>
      <c r="R463" s="3" t="s">
        <v>1056</v>
      </c>
      <c r="S463" s="851" t="s">
        <v>62</v>
      </c>
      <c r="T463" s="848"/>
      <c r="U463" s="3" t="s">
        <v>130</v>
      </c>
      <c r="V463" s="848"/>
      <c r="W463" s="786">
        <v>277.60000000000002</v>
      </c>
      <c r="X463" s="1282"/>
      <c r="Y463" s="958">
        <v>45422</v>
      </c>
      <c r="Z463" s="856" t="s">
        <v>62</v>
      </c>
      <c r="AA463" s="1076"/>
      <c r="AB463" s="1099">
        <v>45422</v>
      </c>
      <c r="AC463" s="1099">
        <v>45425</v>
      </c>
      <c r="AD463" s="1176">
        <f>100+245+245+137</f>
        <v>727</v>
      </c>
      <c r="AE463" s="1264">
        <f t="shared" si="58"/>
        <v>0.96164021164021163</v>
      </c>
      <c r="AF463" s="1228" t="s">
        <v>64</v>
      </c>
      <c r="AG463" s="1262">
        <v>1</v>
      </c>
      <c r="AH463" s="1248" t="s">
        <v>1050</v>
      </c>
      <c r="AI463" s="1248">
        <v>45428</v>
      </c>
      <c r="AJ463" s="1248">
        <v>45429</v>
      </c>
      <c r="AK463" s="1285">
        <f>60350+67500+75196+36123</f>
        <v>239169</v>
      </c>
      <c r="AL463" s="1264">
        <f t="shared" si="59"/>
        <v>0.95667599999999997</v>
      </c>
      <c r="AM463" s="1343" t="s">
        <v>62</v>
      </c>
      <c r="AN463" s="1334">
        <v>1</v>
      </c>
      <c r="AO463" s="1276"/>
      <c r="AP463" s="1277"/>
      <c r="AQ463" s="1276"/>
      <c r="AR463" s="1278"/>
      <c r="AS463" s="1278"/>
    </row>
    <row r="464" spans="1:45" ht="15.6">
      <c r="A464" s="1097" t="s">
        <v>53</v>
      </c>
      <c r="B464" s="1143" t="s">
        <v>920</v>
      </c>
      <c r="C464" s="1144" t="s">
        <v>921</v>
      </c>
      <c r="D464" s="1144" t="s">
        <v>922</v>
      </c>
      <c r="E464" s="1473" t="s">
        <v>57</v>
      </c>
      <c r="F464" s="856">
        <v>2024</v>
      </c>
      <c r="G464" s="1099">
        <v>45418</v>
      </c>
      <c r="H464" s="3">
        <v>200105872</v>
      </c>
      <c r="I464" s="1452" t="s">
        <v>1057</v>
      </c>
      <c r="J464" s="1144">
        <v>8</v>
      </c>
      <c r="K464" s="3" t="s">
        <v>60</v>
      </c>
      <c r="L464" s="3" t="s">
        <v>1041</v>
      </c>
      <c r="M464" s="786">
        <v>467</v>
      </c>
      <c r="N464" s="786">
        <v>252.84</v>
      </c>
      <c r="O464" s="958">
        <v>45425</v>
      </c>
      <c r="P464" s="958">
        <v>45422</v>
      </c>
      <c r="Q464" s="3" t="s">
        <v>1058</v>
      </c>
      <c r="R464" s="3" t="s">
        <v>1059</v>
      </c>
      <c r="S464" s="851" t="s">
        <v>62</v>
      </c>
      <c r="T464" s="848"/>
      <c r="U464" s="3" t="s">
        <v>130</v>
      </c>
      <c r="V464" s="848"/>
      <c r="W464" s="786">
        <v>276</v>
      </c>
      <c r="X464" s="1282"/>
      <c r="Y464" s="958">
        <v>45422</v>
      </c>
      <c r="Z464" s="856" t="s">
        <v>62</v>
      </c>
      <c r="AA464" s="1076"/>
      <c r="AB464" s="1099">
        <v>45425</v>
      </c>
      <c r="AC464" s="1099">
        <v>45426</v>
      </c>
      <c r="AD464" s="1176">
        <f>165+475+88</f>
        <v>728</v>
      </c>
      <c r="AE464" s="1264">
        <f t="shared" si="58"/>
        <v>0.96296296296296291</v>
      </c>
      <c r="AF464" s="1342" t="s">
        <v>64</v>
      </c>
      <c r="AG464" s="1344">
        <v>1</v>
      </c>
      <c r="AH464" s="1248" t="s">
        <v>132</v>
      </c>
      <c r="AI464" s="1248">
        <v>45434</v>
      </c>
      <c r="AJ464" s="1248">
        <v>45436</v>
      </c>
      <c r="AK464" s="1285">
        <f>93800+93000+54411</f>
        <v>241211</v>
      </c>
      <c r="AL464" s="1264">
        <f t="shared" si="59"/>
        <v>0.96484400000000003</v>
      </c>
      <c r="AM464" s="1343" t="s">
        <v>62</v>
      </c>
      <c r="AN464" s="1334">
        <v>1</v>
      </c>
      <c r="AO464" s="1276"/>
      <c r="AP464" s="1277"/>
      <c r="AQ464" s="1276"/>
      <c r="AR464" s="1278"/>
      <c r="AS464" s="1278"/>
    </row>
    <row r="465" spans="1:45" ht="15.6">
      <c r="A465" s="1097" t="s">
        <v>53</v>
      </c>
      <c r="B465" s="1143" t="s">
        <v>920</v>
      </c>
      <c r="C465" s="1144" t="s">
        <v>921</v>
      </c>
      <c r="D465" s="1144" t="s">
        <v>922</v>
      </c>
      <c r="E465" s="1473" t="s">
        <v>57</v>
      </c>
      <c r="F465" s="856">
        <v>2024</v>
      </c>
      <c r="G465" s="1099">
        <v>45418</v>
      </c>
      <c r="H465" s="3">
        <v>200105873</v>
      </c>
      <c r="I465" s="1452" t="s">
        <v>1060</v>
      </c>
      <c r="J465" s="1144">
        <v>9</v>
      </c>
      <c r="K465" s="3" t="s">
        <v>60</v>
      </c>
      <c r="L465" s="3" t="s">
        <v>1041</v>
      </c>
      <c r="M465" s="786">
        <v>468.4</v>
      </c>
      <c r="N465" s="786">
        <v>252.24</v>
      </c>
      <c r="O465" s="958">
        <v>45425</v>
      </c>
      <c r="P465" s="958">
        <v>45425</v>
      </c>
      <c r="Q465" s="3" t="s">
        <v>1061</v>
      </c>
      <c r="R465" s="3" t="s">
        <v>1062</v>
      </c>
      <c r="S465" s="851" t="s">
        <v>62</v>
      </c>
      <c r="T465" s="848"/>
      <c r="U465" s="3" t="s">
        <v>130</v>
      </c>
      <c r="V465" s="848"/>
      <c r="W465" s="786">
        <v>275</v>
      </c>
      <c r="X465" s="1282"/>
      <c r="Y465" s="958">
        <v>45425</v>
      </c>
      <c r="Z465" s="856" t="s">
        <v>62</v>
      </c>
      <c r="AA465" s="1076"/>
      <c r="AB465" s="1099">
        <v>45426</v>
      </c>
      <c r="AC465" s="1099">
        <v>45426</v>
      </c>
      <c r="AD465" s="1176">
        <f>315+415</f>
        <v>730</v>
      </c>
      <c r="AE465" s="1264">
        <f t="shared" si="58"/>
        <v>0.96560846560846558</v>
      </c>
      <c r="AF465" s="1342" t="s">
        <v>64</v>
      </c>
      <c r="AG465" s="1344">
        <v>1</v>
      </c>
      <c r="AH465" s="1248" t="s">
        <v>132</v>
      </c>
      <c r="AI465" s="1248">
        <v>45436</v>
      </c>
      <c r="AJ465" s="1248">
        <v>45439</v>
      </c>
      <c r="AK465" s="1285">
        <f>107600+112595+21414</f>
        <v>241609</v>
      </c>
      <c r="AL465" s="1264">
        <f t="shared" si="59"/>
        <v>0.96643599999999996</v>
      </c>
      <c r="AM465" s="1343" t="s">
        <v>62</v>
      </c>
      <c r="AN465" s="1334">
        <v>1</v>
      </c>
      <c r="AO465" s="1276"/>
      <c r="AP465" s="1277"/>
      <c r="AQ465" s="1276"/>
      <c r="AR465" s="1278"/>
      <c r="AS465" s="1278"/>
    </row>
    <row r="466" spans="1:45" ht="15.6">
      <c r="A466" s="1097" t="s">
        <v>53</v>
      </c>
      <c r="B466" s="1143" t="s">
        <v>920</v>
      </c>
      <c r="C466" s="1144" t="s">
        <v>921</v>
      </c>
      <c r="D466" s="1144" t="s">
        <v>922</v>
      </c>
      <c r="E466" s="1473" t="s">
        <v>57</v>
      </c>
      <c r="F466" s="856">
        <v>2024</v>
      </c>
      <c r="G466" s="1099">
        <v>45419</v>
      </c>
      <c r="H466" s="3">
        <v>200106026</v>
      </c>
      <c r="I466" s="1457" t="s">
        <v>1063</v>
      </c>
      <c r="J466" s="1144">
        <v>10</v>
      </c>
      <c r="K466" s="3" t="s">
        <v>60</v>
      </c>
      <c r="L466" s="3" t="s">
        <v>1041</v>
      </c>
      <c r="M466" s="786">
        <v>462.7</v>
      </c>
      <c r="N466" s="786">
        <v>255.83</v>
      </c>
      <c r="O466" s="958">
        <v>45425</v>
      </c>
      <c r="P466" s="958">
        <v>45425</v>
      </c>
      <c r="Q466" s="3" t="s">
        <v>1064</v>
      </c>
      <c r="R466" s="3" t="s">
        <v>1065</v>
      </c>
      <c r="S466" s="851" t="s">
        <v>62</v>
      </c>
      <c r="T466" s="848"/>
      <c r="U466" s="3" t="s">
        <v>130</v>
      </c>
      <c r="V466" s="848"/>
      <c r="W466" s="786">
        <v>278.89999999999998</v>
      </c>
      <c r="X466" s="1282"/>
      <c r="Y466" s="958">
        <v>45425</v>
      </c>
      <c r="Z466" s="856" t="s">
        <v>62</v>
      </c>
      <c r="AA466" s="1076"/>
      <c r="AB466" s="1099">
        <v>45427</v>
      </c>
      <c r="AC466" s="1099">
        <v>45427</v>
      </c>
      <c r="AD466" s="1176">
        <f>375+312+41</f>
        <v>728</v>
      </c>
      <c r="AE466" s="1264">
        <f t="shared" si="58"/>
        <v>0.96296296296296291</v>
      </c>
      <c r="AF466" s="1342" t="s">
        <v>64</v>
      </c>
      <c r="AG466" s="1344">
        <v>1</v>
      </c>
      <c r="AH466" s="1248" t="s">
        <v>132</v>
      </c>
      <c r="AI466" s="1248">
        <v>45439</v>
      </c>
      <c r="AJ466" s="1248">
        <v>45439</v>
      </c>
      <c r="AK466" s="1285">
        <f>119700+120921</f>
        <v>240621</v>
      </c>
      <c r="AL466" s="1264">
        <f t="shared" si="59"/>
        <v>0.96248400000000001</v>
      </c>
      <c r="AM466" s="1343" t="s">
        <v>62</v>
      </c>
      <c r="AN466" s="1334">
        <v>1</v>
      </c>
      <c r="AO466" s="1276"/>
      <c r="AP466" s="1277"/>
      <c r="AQ466" s="1276"/>
      <c r="AR466" s="1278"/>
      <c r="AS466" s="1278"/>
    </row>
    <row r="467" spans="1:45" ht="15.6">
      <c r="A467" s="1097" t="s">
        <v>53</v>
      </c>
      <c r="B467" s="1143" t="s">
        <v>920</v>
      </c>
      <c r="C467" s="1144" t="s">
        <v>921</v>
      </c>
      <c r="D467" s="1144" t="s">
        <v>922</v>
      </c>
      <c r="E467" s="1473" t="s">
        <v>57</v>
      </c>
      <c r="F467" s="856">
        <v>2024</v>
      </c>
      <c r="G467" s="1099">
        <v>45419</v>
      </c>
      <c r="H467" s="3">
        <v>200106027</v>
      </c>
      <c r="I467" s="1457" t="s">
        <v>1066</v>
      </c>
      <c r="J467" s="1144">
        <v>11</v>
      </c>
      <c r="K467" s="3" t="s">
        <v>60</v>
      </c>
      <c r="L467" s="3" t="s">
        <v>1041</v>
      </c>
      <c r="M467" s="786">
        <v>470.6</v>
      </c>
      <c r="N467" s="786">
        <v>257.39999999999998</v>
      </c>
      <c r="O467" s="958">
        <v>45425</v>
      </c>
      <c r="P467" s="958">
        <v>45425</v>
      </c>
      <c r="Q467" s="3" t="s">
        <v>1067</v>
      </c>
      <c r="R467" s="3" t="s">
        <v>1068</v>
      </c>
      <c r="S467" s="851" t="s">
        <v>62</v>
      </c>
      <c r="T467" s="848"/>
      <c r="U467" s="3" t="s">
        <v>130</v>
      </c>
      <c r="V467" s="848"/>
      <c r="W467" s="786">
        <v>280.3</v>
      </c>
      <c r="X467" s="1282"/>
      <c r="Y467" s="958">
        <v>45426</v>
      </c>
      <c r="Z467" s="856" t="s">
        <v>62</v>
      </c>
      <c r="AA467" s="1076"/>
      <c r="AB467" s="1099">
        <v>45427</v>
      </c>
      <c r="AC467" s="1099">
        <v>45428</v>
      </c>
      <c r="AD467" s="1176">
        <f>400+330</f>
        <v>730</v>
      </c>
      <c r="AE467" s="1264">
        <f t="shared" si="58"/>
        <v>0.96560846560846558</v>
      </c>
      <c r="AF467" s="1342" t="s">
        <v>64</v>
      </c>
      <c r="AG467" s="1344">
        <v>1</v>
      </c>
      <c r="AH467" s="1248" t="s">
        <v>162</v>
      </c>
      <c r="AI467" s="1248">
        <v>45436</v>
      </c>
      <c r="AJ467" s="1248">
        <v>45440</v>
      </c>
      <c r="AK467" s="1345">
        <f>46700+77020+50940+9500+1505+48775</f>
        <v>234440</v>
      </c>
      <c r="AL467" s="1264">
        <f t="shared" si="59"/>
        <v>0.93776000000000004</v>
      </c>
      <c r="AM467" s="1343" t="s">
        <v>62</v>
      </c>
      <c r="AN467" s="1334">
        <v>1</v>
      </c>
      <c r="AO467" s="1276"/>
      <c r="AP467" s="1277"/>
      <c r="AQ467" s="1276"/>
      <c r="AR467" s="1278"/>
      <c r="AS467" s="1278"/>
    </row>
    <row r="468" spans="1:45" ht="15.6">
      <c r="A468" s="1097" t="s">
        <v>53</v>
      </c>
      <c r="B468" s="1143" t="s">
        <v>920</v>
      </c>
      <c r="C468" s="1144" t="s">
        <v>921</v>
      </c>
      <c r="D468" s="1144" t="s">
        <v>922</v>
      </c>
      <c r="E468" s="1473" t="s">
        <v>57</v>
      </c>
      <c r="F468" s="856">
        <v>2024</v>
      </c>
      <c r="G468" s="1099">
        <v>45419</v>
      </c>
      <c r="H468" s="3">
        <v>200106028</v>
      </c>
      <c r="I468" s="1457" t="s">
        <v>1069</v>
      </c>
      <c r="J468" s="1144">
        <v>12</v>
      </c>
      <c r="K468" s="3" t="s">
        <v>60</v>
      </c>
      <c r="L468" s="3" t="s">
        <v>1041</v>
      </c>
      <c r="M468" s="786">
        <v>463</v>
      </c>
      <c r="N468" s="786">
        <v>250.88</v>
      </c>
      <c r="O468" s="958">
        <v>45426</v>
      </c>
      <c r="P468" s="958">
        <v>45426</v>
      </c>
      <c r="Q468" s="3" t="s">
        <v>1070</v>
      </c>
      <c r="R468" s="3" t="s">
        <v>1071</v>
      </c>
      <c r="S468" s="851" t="s">
        <v>62</v>
      </c>
      <c r="T468" s="848"/>
      <c r="U468" s="786" t="s">
        <v>130</v>
      </c>
      <c r="V468" s="848"/>
      <c r="W468" s="786">
        <v>273.7</v>
      </c>
      <c r="X468" s="1282"/>
      <c r="Y468" s="958">
        <v>45426</v>
      </c>
      <c r="Z468" s="856" t="s">
        <v>62</v>
      </c>
      <c r="AA468" s="1076"/>
      <c r="AB468" s="1099">
        <v>45428</v>
      </c>
      <c r="AC468" s="1099">
        <v>45428</v>
      </c>
      <c r="AD468" s="1176">
        <f>130+450+143</f>
        <v>723</v>
      </c>
      <c r="AE468" s="1264">
        <f t="shared" si="58"/>
        <v>0.95634920634920639</v>
      </c>
      <c r="AF468" s="1342" t="s">
        <v>64</v>
      </c>
      <c r="AG468" s="1344">
        <v>1</v>
      </c>
      <c r="AH468" s="1248" t="s">
        <v>132</v>
      </c>
      <c r="AI468" s="1248">
        <v>45439</v>
      </c>
      <c r="AJ468" s="1248">
        <v>45440</v>
      </c>
      <c r="AK468" s="1285">
        <f>24300+127100+87469</f>
        <v>238869</v>
      </c>
      <c r="AL468" s="1264">
        <f t="shared" si="59"/>
        <v>0.95547599999999999</v>
      </c>
      <c r="AM468" s="1343" t="s">
        <v>62</v>
      </c>
      <c r="AN468" s="1334">
        <v>1</v>
      </c>
      <c r="AO468" s="1276"/>
      <c r="AP468" s="1277"/>
      <c r="AQ468" s="1276"/>
      <c r="AR468" s="1278"/>
      <c r="AS468" s="1278"/>
    </row>
    <row r="469" spans="1:45" ht="15.6">
      <c r="A469" s="1097" t="s">
        <v>53</v>
      </c>
      <c r="B469" s="1143" t="s">
        <v>920</v>
      </c>
      <c r="C469" s="1144" t="s">
        <v>921</v>
      </c>
      <c r="D469" s="1144" t="s">
        <v>922</v>
      </c>
      <c r="E469" s="1473" t="s">
        <v>57</v>
      </c>
      <c r="F469" s="856">
        <v>2024</v>
      </c>
      <c r="G469" s="1099">
        <v>45419</v>
      </c>
      <c r="H469" s="3">
        <v>200106029</v>
      </c>
      <c r="I469" s="1457" t="s">
        <v>1072</v>
      </c>
      <c r="J469" s="1144">
        <v>13</v>
      </c>
      <c r="K469" s="3" t="s">
        <v>60</v>
      </c>
      <c r="L469" s="3" t="s">
        <v>1041</v>
      </c>
      <c r="M469" s="786">
        <v>468</v>
      </c>
      <c r="N469" s="786">
        <v>258.54000000000002</v>
      </c>
      <c r="O469" s="958">
        <v>45426</v>
      </c>
      <c r="P469" s="958">
        <v>45426</v>
      </c>
      <c r="Q469" s="3" t="s">
        <v>1073</v>
      </c>
      <c r="R469" s="3" t="s">
        <v>1074</v>
      </c>
      <c r="S469" s="851" t="s">
        <v>62</v>
      </c>
      <c r="T469" s="848"/>
      <c r="U469" s="786" t="s">
        <v>130</v>
      </c>
      <c r="V469" s="848"/>
      <c r="W469" s="786">
        <v>281.39999999999998</v>
      </c>
      <c r="X469" s="1282"/>
      <c r="Y469" s="958">
        <v>45426</v>
      </c>
      <c r="Z469" s="856" t="s">
        <v>62</v>
      </c>
      <c r="AA469" s="1076"/>
      <c r="AB469" s="1099">
        <v>45428</v>
      </c>
      <c r="AC469" s="1099">
        <v>45429</v>
      </c>
      <c r="AD469" s="1176">
        <f>305+385+50</f>
        <v>740</v>
      </c>
      <c r="AE469" s="1264">
        <f t="shared" si="58"/>
        <v>0.97883597883597884</v>
      </c>
      <c r="AF469" s="1342" t="s">
        <v>64</v>
      </c>
      <c r="AG469" s="1317">
        <v>1</v>
      </c>
      <c r="AH469" s="1248" t="s">
        <v>162</v>
      </c>
      <c r="AI469" s="1248">
        <v>45440</v>
      </c>
      <c r="AJ469" s="1248">
        <v>45447</v>
      </c>
      <c r="AK469" s="1249">
        <f>6292+15000+4528+4366+22448+90611+45652+48494</f>
        <v>237391</v>
      </c>
      <c r="AL469" s="1264">
        <f t="shared" si="59"/>
        <v>0.94956399999999996</v>
      </c>
      <c r="AM469" s="1343" t="s">
        <v>62</v>
      </c>
      <c r="AN469" s="1334">
        <v>1</v>
      </c>
      <c r="AO469" s="1276"/>
      <c r="AP469" s="1277"/>
      <c r="AQ469" s="1276"/>
      <c r="AR469" s="1278"/>
      <c r="AS469" s="1278"/>
    </row>
    <row r="470" spans="1:45" ht="15.6">
      <c r="A470" s="1097" t="s">
        <v>53</v>
      </c>
      <c r="B470" s="1143"/>
      <c r="C470" s="1144"/>
      <c r="D470" s="1144"/>
      <c r="E470" s="1098"/>
      <c r="F470" s="1098"/>
      <c r="G470" s="1099"/>
      <c r="H470" s="3"/>
      <c r="I470" s="3"/>
      <c r="J470" s="1144"/>
      <c r="K470" s="856"/>
      <c r="L470" s="856"/>
      <c r="M470" s="856"/>
      <c r="N470" s="856"/>
      <c r="O470" s="1179"/>
      <c r="P470" s="1179"/>
      <c r="Q470" s="1099"/>
      <c r="R470" s="1099"/>
      <c r="S470" s="1340"/>
      <c r="T470" s="856"/>
      <c r="U470" s="856"/>
      <c r="V470" s="856"/>
      <c r="W470" s="856"/>
      <c r="X470" s="1179"/>
      <c r="Y470" s="1202"/>
      <c r="Z470" s="856"/>
      <c r="AA470" s="1076"/>
      <c r="AB470" s="1099"/>
      <c r="AC470" s="1099"/>
      <c r="AD470" s="1176"/>
      <c r="AE470" s="1264"/>
      <c r="AF470" s="1342"/>
      <c r="AG470" s="1317"/>
      <c r="AH470" s="1248"/>
      <c r="AI470" s="1248"/>
      <c r="AJ470" s="1248"/>
      <c r="AK470" s="1285"/>
      <c r="AL470" s="1264"/>
      <c r="AM470" s="1331"/>
      <c r="AN470" s="1334"/>
      <c r="AO470" s="1276"/>
      <c r="AP470" s="1277"/>
      <c r="AQ470" s="1276"/>
      <c r="AR470" s="1278"/>
      <c r="AS470" s="1278"/>
    </row>
    <row r="471" spans="1:45" ht="15.6">
      <c r="A471" s="1097" t="s">
        <v>53</v>
      </c>
      <c r="B471" s="1143" t="s">
        <v>920</v>
      </c>
      <c r="C471" s="1144" t="s">
        <v>921</v>
      </c>
      <c r="D471" s="1144" t="s">
        <v>922</v>
      </c>
      <c r="E471" s="1098" t="s">
        <v>72</v>
      </c>
      <c r="F471" s="856">
        <v>2024</v>
      </c>
      <c r="G471" s="1099">
        <v>45428</v>
      </c>
      <c r="H471" s="3">
        <v>200105910</v>
      </c>
      <c r="I471" s="1454" t="s">
        <v>1075</v>
      </c>
      <c r="J471" s="1144">
        <v>1</v>
      </c>
      <c r="K471" s="3" t="s">
        <v>60</v>
      </c>
      <c r="L471" s="3" t="s">
        <v>128</v>
      </c>
      <c r="M471" s="762">
        <v>462.4</v>
      </c>
      <c r="N471" s="762">
        <v>253.36</v>
      </c>
      <c r="O471" s="958">
        <v>45432</v>
      </c>
      <c r="P471" s="958">
        <v>45432</v>
      </c>
      <c r="Q471" s="3" t="s">
        <v>1076</v>
      </c>
      <c r="R471" s="3" t="s">
        <v>1077</v>
      </c>
      <c r="S471" s="851" t="s">
        <v>62</v>
      </c>
      <c r="T471" s="848"/>
      <c r="U471" s="786" t="s">
        <v>130</v>
      </c>
      <c r="V471" s="848"/>
      <c r="W471" s="786">
        <v>276.3</v>
      </c>
      <c r="X471" s="1282"/>
      <c r="Y471" s="958">
        <v>45432</v>
      </c>
      <c r="Z471" s="856" t="s">
        <v>62</v>
      </c>
      <c r="AA471" s="1076"/>
      <c r="AB471" s="1099">
        <v>45442</v>
      </c>
      <c r="AC471" s="1099">
        <v>45443</v>
      </c>
      <c r="AD471" s="1176">
        <f>105+385+245</f>
        <v>735</v>
      </c>
      <c r="AE471" s="1264">
        <f t="shared" ref="AE471:AE482" si="60">AD471/756</f>
        <v>0.97222222222222221</v>
      </c>
      <c r="AF471" s="1342" t="s">
        <v>64</v>
      </c>
      <c r="AG471" s="1317">
        <v>1</v>
      </c>
      <c r="AH471" s="1248" t="s">
        <v>617</v>
      </c>
      <c r="AI471" s="1248">
        <v>45461</v>
      </c>
      <c r="AJ471" s="1248">
        <v>45462</v>
      </c>
      <c r="AK471" s="1285">
        <f>32410+50200+67500+74720+17661</f>
        <v>242491</v>
      </c>
      <c r="AL471" s="1264">
        <f t="shared" ref="AL471:AL482" si="61">AK471/250000</f>
        <v>0.96996400000000005</v>
      </c>
      <c r="AM471" s="1343" t="s">
        <v>62</v>
      </c>
      <c r="AN471" s="1334">
        <v>1</v>
      </c>
      <c r="AO471" s="1276"/>
      <c r="AP471" s="1277"/>
      <c r="AQ471" s="1276"/>
      <c r="AR471" s="1278"/>
      <c r="AS471" s="1278"/>
    </row>
    <row r="472" spans="1:45" ht="15.6">
      <c r="A472" s="1097" t="s">
        <v>53</v>
      </c>
      <c r="B472" s="1143" t="s">
        <v>920</v>
      </c>
      <c r="C472" s="1144" t="s">
        <v>921</v>
      </c>
      <c r="D472" s="1144" t="s">
        <v>922</v>
      </c>
      <c r="E472" s="1098" t="s">
        <v>72</v>
      </c>
      <c r="F472" s="856">
        <v>2024</v>
      </c>
      <c r="G472" s="1099">
        <v>45428</v>
      </c>
      <c r="H472" s="3">
        <v>200105911</v>
      </c>
      <c r="I472" s="1454" t="s">
        <v>1078</v>
      </c>
      <c r="J472" s="1144">
        <v>2</v>
      </c>
      <c r="K472" s="3" t="s">
        <v>60</v>
      </c>
      <c r="L472" s="3" t="s">
        <v>128</v>
      </c>
      <c r="M472" s="786">
        <v>466</v>
      </c>
      <c r="N472" s="786">
        <v>255.99</v>
      </c>
      <c r="O472" s="958">
        <v>45432</v>
      </c>
      <c r="P472" s="958">
        <v>45432</v>
      </c>
      <c r="Q472" s="3" t="s">
        <v>1079</v>
      </c>
      <c r="R472" s="3" t="s">
        <v>1080</v>
      </c>
      <c r="S472" s="851" t="s">
        <v>62</v>
      </c>
      <c r="T472" s="848"/>
      <c r="U472" s="786" t="s">
        <v>130</v>
      </c>
      <c r="V472" s="848"/>
      <c r="W472" s="786">
        <v>278.8</v>
      </c>
      <c r="X472" s="1282"/>
      <c r="Y472" s="958">
        <v>45432</v>
      </c>
      <c r="Z472" s="856" t="s">
        <v>62</v>
      </c>
      <c r="AA472" s="1076"/>
      <c r="AB472" s="1099">
        <v>45433</v>
      </c>
      <c r="AC472" s="1099">
        <v>45434</v>
      </c>
      <c r="AD472" s="1176">
        <f>55+465+217</f>
        <v>737</v>
      </c>
      <c r="AE472" s="1264">
        <f t="shared" si="60"/>
        <v>0.97486772486772488</v>
      </c>
      <c r="AF472" s="1342" t="s">
        <v>64</v>
      </c>
      <c r="AG472" s="1317">
        <v>1</v>
      </c>
      <c r="AH472" s="1248" t="s">
        <v>132</v>
      </c>
      <c r="AI472" s="1248">
        <v>45440</v>
      </c>
      <c r="AJ472" s="1248">
        <v>45441</v>
      </c>
      <c r="AK472" s="1285">
        <f>48000+126000+64012+1200</f>
        <v>239212</v>
      </c>
      <c r="AL472" s="1264">
        <f t="shared" si="61"/>
        <v>0.95684800000000003</v>
      </c>
      <c r="AM472" s="1343" t="s">
        <v>62</v>
      </c>
      <c r="AN472" s="1334">
        <v>1</v>
      </c>
      <c r="AO472" s="1276"/>
      <c r="AP472" s="1277"/>
      <c r="AQ472" s="1276"/>
      <c r="AR472" s="1278"/>
      <c r="AS472" s="1278"/>
    </row>
    <row r="473" spans="1:45" ht="15.6">
      <c r="A473" s="1097" t="s">
        <v>53</v>
      </c>
      <c r="B473" s="1143" t="s">
        <v>920</v>
      </c>
      <c r="C473" s="1144" t="s">
        <v>921</v>
      </c>
      <c r="D473" s="1144" t="s">
        <v>922</v>
      </c>
      <c r="E473" s="1098" t="s">
        <v>72</v>
      </c>
      <c r="F473" s="856">
        <v>2024</v>
      </c>
      <c r="G473" s="1099">
        <v>45428</v>
      </c>
      <c r="H473" s="3">
        <v>200105912</v>
      </c>
      <c r="I473" s="1454" t="s">
        <v>1081</v>
      </c>
      <c r="J473" s="1144">
        <v>3</v>
      </c>
      <c r="K473" s="3" t="s">
        <v>60</v>
      </c>
      <c r="L473" s="3" t="s">
        <v>128</v>
      </c>
      <c r="M473" s="786">
        <v>467.9</v>
      </c>
      <c r="N473" s="786">
        <v>258.23</v>
      </c>
      <c r="O473" s="958">
        <v>45432</v>
      </c>
      <c r="P473" s="958">
        <v>45432</v>
      </c>
      <c r="Q473" s="3" t="s">
        <v>1082</v>
      </c>
      <c r="R473" s="3" t="s">
        <v>1083</v>
      </c>
      <c r="S473" s="851" t="s">
        <v>62</v>
      </c>
      <c r="T473" s="848"/>
      <c r="U473" s="786" t="s">
        <v>130</v>
      </c>
      <c r="V473" s="848"/>
      <c r="W473" s="786">
        <v>281</v>
      </c>
      <c r="X473" s="1282"/>
      <c r="Y473" s="958">
        <v>45432</v>
      </c>
      <c r="Z473" s="856" t="s">
        <v>62</v>
      </c>
      <c r="AA473" s="1076"/>
      <c r="AB473" s="1099">
        <v>45434</v>
      </c>
      <c r="AC473" s="1099">
        <v>45436</v>
      </c>
      <c r="AD473" s="1176">
        <f>185+420+136</f>
        <v>741</v>
      </c>
      <c r="AE473" s="1264">
        <f t="shared" si="60"/>
        <v>0.98015873015873012</v>
      </c>
      <c r="AF473" s="1342" t="s">
        <v>64</v>
      </c>
      <c r="AG473" s="1317">
        <v>1</v>
      </c>
      <c r="AH473" s="1248" t="s">
        <v>132</v>
      </c>
      <c r="AI473" s="1248">
        <v>45442</v>
      </c>
      <c r="AJ473" s="1248">
        <v>45442</v>
      </c>
      <c r="AK473" s="1285">
        <f>43300+132000+8795</f>
        <v>184095</v>
      </c>
      <c r="AL473" s="1264">
        <f t="shared" si="61"/>
        <v>0.73638000000000003</v>
      </c>
      <c r="AM473" s="1343" t="s">
        <v>62</v>
      </c>
      <c r="AN473" s="1334">
        <v>1</v>
      </c>
      <c r="AO473" s="1276"/>
      <c r="AP473" s="1277"/>
      <c r="AQ473" s="1276"/>
      <c r="AR473" s="1278"/>
      <c r="AS473" s="1278"/>
    </row>
    <row r="474" spans="1:45" ht="15.6">
      <c r="A474" s="1097" t="s">
        <v>53</v>
      </c>
      <c r="B474" s="1143" t="s">
        <v>920</v>
      </c>
      <c r="C474" s="1144" t="s">
        <v>921</v>
      </c>
      <c r="D474" s="1144" t="s">
        <v>922</v>
      </c>
      <c r="E474" s="1098" t="s">
        <v>72</v>
      </c>
      <c r="F474" s="856">
        <v>2024</v>
      </c>
      <c r="G474" s="1099">
        <v>45428</v>
      </c>
      <c r="H474" s="3">
        <v>200105913</v>
      </c>
      <c r="I474" s="1454" t="s">
        <v>1084</v>
      </c>
      <c r="J474" s="1144">
        <v>4</v>
      </c>
      <c r="K474" s="3" t="s">
        <v>60</v>
      </c>
      <c r="L474" s="3" t="s">
        <v>128</v>
      </c>
      <c r="M474" s="762">
        <v>461.3</v>
      </c>
      <c r="N474" s="762">
        <v>253.1</v>
      </c>
      <c r="O474" s="958">
        <v>45433</v>
      </c>
      <c r="P474" s="958">
        <v>45433</v>
      </c>
      <c r="Q474" s="3" t="s">
        <v>1085</v>
      </c>
      <c r="R474" s="3" t="s">
        <v>1086</v>
      </c>
      <c r="S474" s="851" t="s">
        <v>62</v>
      </c>
      <c r="T474" s="848"/>
      <c r="U474" s="786" t="s">
        <v>130</v>
      </c>
      <c r="V474" s="848"/>
      <c r="W474" s="762">
        <v>276.10000000000002</v>
      </c>
      <c r="X474" s="1282"/>
      <c r="Y474" s="958">
        <v>45433</v>
      </c>
      <c r="Z474" s="856" t="s">
        <v>62</v>
      </c>
      <c r="AA474" s="1076"/>
      <c r="AB474" s="1099">
        <v>45436</v>
      </c>
      <c r="AC474" s="1099">
        <v>45436</v>
      </c>
      <c r="AD474" s="1176">
        <f>205+445+76</f>
        <v>726</v>
      </c>
      <c r="AE474" s="1264">
        <f t="shared" si="60"/>
        <v>0.96031746031746035</v>
      </c>
      <c r="AF474" s="1342" t="s">
        <v>64</v>
      </c>
      <c r="AG474" s="1317">
        <v>1</v>
      </c>
      <c r="AH474" s="1248" t="s">
        <v>132</v>
      </c>
      <c r="AI474" s="1248">
        <v>45441</v>
      </c>
      <c r="AJ474" s="1248">
        <v>45441</v>
      </c>
      <c r="AK474" s="1285">
        <f>130000+110092</f>
        <v>240092</v>
      </c>
      <c r="AL474" s="1264">
        <f t="shared" si="61"/>
        <v>0.960368</v>
      </c>
      <c r="AM474" s="1343" t="s">
        <v>62</v>
      </c>
      <c r="AN474" s="1334">
        <v>1</v>
      </c>
      <c r="AO474" s="1276"/>
      <c r="AP474" s="1277"/>
      <c r="AQ474" s="1276"/>
      <c r="AR474" s="1278"/>
      <c r="AS474" s="1278"/>
    </row>
    <row r="475" spans="1:45" ht="15.6">
      <c r="A475" s="1097" t="s">
        <v>53</v>
      </c>
      <c r="B475" s="1143" t="s">
        <v>920</v>
      </c>
      <c r="C475" s="1144" t="s">
        <v>921</v>
      </c>
      <c r="D475" s="1144" t="s">
        <v>922</v>
      </c>
      <c r="E475" s="1098" t="s">
        <v>72</v>
      </c>
      <c r="F475" s="856">
        <v>2024</v>
      </c>
      <c r="G475" s="1099">
        <v>45428</v>
      </c>
      <c r="H475" s="3">
        <v>200105914</v>
      </c>
      <c r="I475" s="1454" t="s">
        <v>1087</v>
      </c>
      <c r="J475" s="1144">
        <v>5</v>
      </c>
      <c r="K475" s="3" t="s">
        <v>60</v>
      </c>
      <c r="L475" s="3" t="s">
        <v>128</v>
      </c>
      <c r="M475" s="762">
        <v>464.4</v>
      </c>
      <c r="N475" s="762">
        <v>257.63</v>
      </c>
      <c r="O475" s="958">
        <v>45433</v>
      </c>
      <c r="P475" s="958">
        <v>45433</v>
      </c>
      <c r="Q475" s="3" t="s">
        <v>1088</v>
      </c>
      <c r="R475" s="3" t="s">
        <v>1089</v>
      </c>
      <c r="S475" s="851" t="s">
        <v>62</v>
      </c>
      <c r="T475" s="848"/>
      <c r="U475" s="786" t="s">
        <v>130</v>
      </c>
      <c r="V475" s="848"/>
      <c r="W475" s="786">
        <v>280.39999999999998</v>
      </c>
      <c r="X475" s="1282"/>
      <c r="Y475" s="958">
        <v>45433</v>
      </c>
      <c r="Z475" s="856" t="s">
        <v>62</v>
      </c>
      <c r="AA475" s="1076"/>
      <c r="AB475" s="1099">
        <v>45436</v>
      </c>
      <c r="AC475" s="1099">
        <v>45439</v>
      </c>
      <c r="AD475" s="1176">
        <f>285+300+142</f>
        <v>727</v>
      </c>
      <c r="AE475" s="1264">
        <f t="shared" si="60"/>
        <v>0.96164021164021163</v>
      </c>
      <c r="AF475" s="1342" t="s">
        <v>64</v>
      </c>
      <c r="AG475" s="1317">
        <v>1</v>
      </c>
      <c r="AH475" s="1248" t="s">
        <v>132</v>
      </c>
      <c r="AI475" s="1248">
        <v>45441</v>
      </c>
      <c r="AJ475" s="1248">
        <v>45442</v>
      </c>
      <c r="AK475" s="1285">
        <f>11000+136995+92494</f>
        <v>240489</v>
      </c>
      <c r="AL475" s="1264">
        <f t="shared" si="61"/>
        <v>0.96195600000000003</v>
      </c>
      <c r="AM475" s="1343" t="s">
        <v>62</v>
      </c>
      <c r="AN475" s="1334">
        <v>1</v>
      </c>
      <c r="AO475" s="1276"/>
      <c r="AP475" s="1277"/>
      <c r="AQ475" s="1276"/>
      <c r="AR475" s="1278"/>
      <c r="AS475" s="1278"/>
    </row>
    <row r="476" spans="1:45" ht="15.6">
      <c r="A476" s="1097" t="s">
        <v>53</v>
      </c>
      <c r="B476" s="1143" t="s">
        <v>920</v>
      </c>
      <c r="C476" s="1144" t="s">
        <v>921</v>
      </c>
      <c r="D476" s="1144" t="s">
        <v>922</v>
      </c>
      <c r="E476" s="1098" t="s">
        <v>72</v>
      </c>
      <c r="F476" s="856">
        <v>2024</v>
      </c>
      <c r="G476" s="1099">
        <v>45429</v>
      </c>
      <c r="H476" s="3">
        <v>200105915</v>
      </c>
      <c r="I476" s="1449" t="s">
        <v>1090</v>
      </c>
      <c r="J476" s="1144">
        <v>6</v>
      </c>
      <c r="K476" s="3" t="s">
        <v>60</v>
      </c>
      <c r="L476" s="3" t="s">
        <v>128</v>
      </c>
      <c r="M476" s="762">
        <v>459.1</v>
      </c>
      <c r="N476" s="786">
        <v>254</v>
      </c>
      <c r="O476" s="958">
        <v>45433</v>
      </c>
      <c r="P476" s="958">
        <v>45433</v>
      </c>
      <c r="Q476" s="3" t="s">
        <v>1091</v>
      </c>
      <c r="R476" s="3" t="s">
        <v>1092</v>
      </c>
      <c r="S476" s="851" t="s">
        <v>62</v>
      </c>
      <c r="T476" s="848"/>
      <c r="U476" s="786" t="s">
        <v>130</v>
      </c>
      <c r="V476" s="848"/>
      <c r="W476" s="762">
        <v>276.89999999999998</v>
      </c>
      <c r="X476" s="1282"/>
      <c r="Y476" s="958">
        <v>45434</v>
      </c>
      <c r="Z476" s="856" t="s">
        <v>62</v>
      </c>
      <c r="AA476" s="1076"/>
      <c r="AB476" s="1099">
        <v>45439</v>
      </c>
      <c r="AC476" s="1099">
        <v>45440</v>
      </c>
      <c r="AD476" s="1176">
        <f>260+345+120</f>
        <v>725</v>
      </c>
      <c r="AE476" s="1264">
        <f t="shared" si="60"/>
        <v>0.95899470899470896</v>
      </c>
      <c r="AF476" s="1342" t="s">
        <v>64</v>
      </c>
      <c r="AG476" s="1317">
        <v>1</v>
      </c>
      <c r="AH476" s="1248" t="s">
        <v>132</v>
      </c>
      <c r="AI476" s="1248">
        <v>45443</v>
      </c>
      <c r="AJ476" s="1248">
        <v>45446</v>
      </c>
      <c r="AK476" s="1285">
        <f>108300+131551</f>
        <v>239851</v>
      </c>
      <c r="AL476" s="1264">
        <f t="shared" si="61"/>
        <v>0.95940400000000003</v>
      </c>
      <c r="AM476" s="1343" t="s">
        <v>62</v>
      </c>
      <c r="AN476" s="1334">
        <v>1</v>
      </c>
      <c r="AO476" s="1276"/>
      <c r="AP476" s="1277"/>
      <c r="AQ476" s="1276"/>
      <c r="AR476" s="1278"/>
      <c r="AS476" s="1278"/>
    </row>
    <row r="477" spans="1:45" ht="15.6">
      <c r="A477" s="1097" t="s">
        <v>53</v>
      </c>
      <c r="B477" s="1143" t="s">
        <v>920</v>
      </c>
      <c r="C477" s="1144" t="s">
        <v>921</v>
      </c>
      <c r="D477" s="1144" t="s">
        <v>922</v>
      </c>
      <c r="E477" s="1098" t="s">
        <v>72</v>
      </c>
      <c r="F477" s="856">
        <v>2024</v>
      </c>
      <c r="G477" s="1099">
        <v>45432</v>
      </c>
      <c r="H477" s="3">
        <v>200106130</v>
      </c>
      <c r="I477" s="1449" t="s">
        <v>1093</v>
      </c>
      <c r="J477" s="1144">
        <v>7</v>
      </c>
      <c r="K477" s="3" t="s">
        <v>60</v>
      </c>
      <c r="L477" s="3" t="s">
        <v>128</v>
      </c>
      <c r="M477" s="786">
        <v>463.6</v>
      </c>
      <c r="N477" s="858">
        <v>253.35</v>
      </c>
      <c r="O477" s="958">
        <v>45436</v>
      </c>
      <c r="P477" s="958">
        <v>45439</v>
      </c>
      <c r="Q477" s="3" t="s">
        <v>1094</v>
      </c>
      <c r="R477" s="3" t="s">
        <v>1095</v>
      </c>
      <c r="S477" s="851" t="s">
        <v>62</v>
      </c>
      <c r="T477" s="848"/>
      <c r="U477" s="786" t="s">
        <v>130</v>
      </c>
      <c r="V477" s="848"/>
      <c r="W477" s="865">
        <v>276.10000000000002</v>
      </c>
      <c r="X477" s="1282"/>
      <c r="Y477" s="958">
        <v>45439</v>
      </c>
      <c r="Z477" s="856" t="s">
        <v>62</v>
      </c>
      <c r="AA477" s="1076"/>
      <c r="AB477" s="1099">
        <v>45440</v>
      </c>
      <c r="AC477" s="1099">
        <v>45440</v>
      </c>
      <c r="AD477" s="1176">
        <f>245+450+33</f>
        <v>728</v>
      </c>
      <c r="AE477" s="1264">
        <f t="shared" si="60"/>
        <v>0.96296296296296291</v>
      </c>
      <c r="AF477" s="1342" t="s">
        <v>64</v>
      </c>
      <c r="AG477" s="1317">
        <v>1</v>
      </c>
      <c r="AH477" s="1248" t="s">
        <v>132</v>
      </c>
      <c r="AI477" s="1248">
        <v>45443</v>
      </c>
      <c r="AJ477" s="1248">
        <v>45443</v>
      </c>
      <c r="AK477" s="1285">
        <f>88000+138500+14284</f>
        <v>240784</v>
      </c>
      <c r="AL477" s="1264">
        <f t="shared" si="61"/>
        <v>0.96313599999999999</v>
      </c>
      <c r="AM477" s="1343" t="s">
        <v>62</v>
      </c>
      <c r="AN477" s="1334">
        <v>1</v>
      </c>
      <c r="AO477" s="1276"/>
      <c r="AP477" s="1277"/>
      <c r="AQ477" s="1276"/>
      <c r="AR477" s="1278"/>
      <c r="AS477" s="1278"/>
    </row>
    <row r="478" spans="1:45" ht="15.6">
      <c r="A478" s="1097" t="s">
        <v>53</v>
      </c>
      <c r="B478" s="1143" t="s">
        <v>920</v>
      </c>
      <c r="C478" s="1144" t="s">
        <v>921</v>
      </c>
      <c r="D478" s="1144" t="s">
        <v>922</v>
      </c>
      <c r="E478" s="1098" t="s">
        <v>72</v>
      </c>
      <c r="F478" s="856">
        <v>2024</v>
      </c>
      <c r="G478" s="1099">
        <v>45432</v>
      </c>
      <c r="H478" s="3">
        <v>200106131</v>
      </c>
      <c r="I478" s="1449" t="s">
        <v>1096</v>
      </c>
      <c r="J478" s="1144">
        <v>8</v>
      </c>
      <c r="K478" s="3" t="s">
        <v>60</v>
      </c>
      <c r="L478" s="3" t="s">
        <v>128</v>
      </c>
      <c r="M478" s="786">
        <v>467.7</v>
      </c>
      <c r="N478" s="858">
        <v>256.45</v>
      </c>
      <c r="O478" s="958">
        <v>45436</v>
      </c>
      <c r="P478" s="958">
        <v>45439</v>
      </c>
      <c r="Q478" s="3" t="s">
        <v>1097</v>
      </c>
      <c r="R478" s="3" t="s">
        <v>1098</v>
      </c>
      <c r="S478" s="851" t="s">
        <v>62</v>
      </c>
      <c r="T478" s="848"/>
      <c r="U478" s="786" t="s">
        <v>130</v>
      </c>
      <c r="V478" s="848"/>
      <c r="W478" s="865">
        <v>279.60000000000002</v>
      </c>
      <c r="X478" s="1282"/>
      <c r="Y478" s="958">
        <v>45439</v>
      </c>
      <c r="Z478" s="856" t="s">
        <v>62</v>
      </c>
      <c r="AA478" s="1076"/>
      <c r="AB478" s="1099">
        <v>45440</v>
      </c>
      <c r="AC478" s="1099">
        <v>45441</v>
      </c>
      <c r="AD478" s="1176">
        <f>405+332</f>
        <v>737</v>
      </c>
      <c r="AE478" s="1264">
        <f t="shared" si="60"/>
        <v>0.97486772486772488</v>
      </c>
      <c r="AF478" s="1342" t="s">
        <v>64</v>
      </c>
      <c r="AG478" s="1317">
        <v>1</v>
      </c>
      <c r="AH478" s="1248" t="s">
        <v>162</v>
      </c>
      <c r="AI478" s="1248">
        <v>45443</v>
      </c>
      <c r="AJ478" s="1248">
        <v>45446</v>
      </c>
      <c r="AK478" s="1285">
        <f>15080+77462+95010+55626</f>
        <v>243178</v>
      </c>
      <c r="AL478" s="1264">
        <f t="shared" si="61"/>
        <v>0.97271200000000002</v>
      </c>
      <c r="AM478" s="1343" t="s">
        <v>62</v>
      </c>
      <c r="AN478" s="1334">
        <v>1</v>
      </c>
      <c r="AO478" s="1276"/>
      <c r="AP478" s="1277"/>
      <c r="AQ478" s="1276"/>
      <c r="AR478" s="1278"/>
      <c r="AS478" s="1278"/>
    </row>
    <row r="479" spans="1:45" ht="15.6">
      <c r="A479" s="1097" t="s">
        <v>53</v>
      </c>
      <c r="B479" s="1143" t="s">
        <v>920</v>
      </c>
      <c r="C479" s="1144" t="s">
        <v>921</v>
      </c>
      <c r="D479" s="1144" t="s">
        <v>922</v>
      </c>
      <c r="E479" s="1098" t="s">
        <v>72</v>
      </c>
      <c r="F479" s="856">
        <v>2024</v>
      </c>
      <c r="G479" s="1099">
        <v>45434</v>
      </c>
      <c r="H479" s="3">
        <v>200106222</v>
      </c>
      <c r="I479" s="1455" t="s">
        <v>1099</v>
      </c>
      <c r="J479" s="1144">
        <v>9</v>
      </c>
      <c r="K479" s="3" t="s">
        <v>60</v>
      </c>
      <c r="L479" s="3" t="s">
        <v>128</v>
      </c>
      <c r="M479" s="865">
        <v>462.4</v>
      </c>
      <c r="N479" s="858">
        <v>255.21</v>
      </c>
      <c r="O479" s="958">
        <v>45440</v>
      </c>
      <c r="P479" s="958">
        <v>45440</v>
      </c>
      <c r="Q479" s="3" t="s">
        <v>1100</v>
      </c>
      <c r="R479" s="3" t="s">
        <v>1101</v>
      </c>
      <c r="S479" s="851" t="s">
        <v>62</v>
      </c>
      <c r="T479" s="848"/>
      <c r="U479" s="786" t="s">
        <v>130</v>
      </c>
      <c r="V479" s="848"/>
      <c r="W479" s="865">
        <v>277.89999999999998</v>
      </c>
      <c r="X479" s="1282"/>
      <c r="Y479" s="958">
        <v>45440</v>
      </c>
      <c r="Z479" s="856" t="s">
        <v>62</v>
      </c>
      <c r="AA479" s="1076"/>
      <c r="AB479" s="1099">
        <v>45441</v>
      </c>
      <c r="AC479" s="1099">
        <v>45441</v>
      </c>
      <c r="AD479" s="1176">
        <f>120+445+165</f>
        <v>730</v>
      </c>
      <c r="AE479" s="1264">
        <f t="shared" si="60"/>
        <v>0.96560846560846558</v>
      </c>
      <c r="AF479" s="1342" t="s">
        <v>64</v>
      </c>
      <c r="AG479" s="1317">
        <v>1</v>
      </c>
      <c r="AH479" s="1248" t="s">
        <v>132</v>
      </c>
      <c r="AI479" s="1248">
        <v>45446</v>
      </c>
      <c r="AJ479" s="1248">
        <v>45446</v>
      </c>
      <c r="AK479" s="1285">
        <f>146000+95521</f>
        <v>241521</v>
      </c>
      <c r="AL479" s="1264">
        <f t="shared" si="61"/>
        <v>0.96608400000000005</v>
      </c>
      <c r="AM479" s="1343" t="s">
        <v>62</v>
      </c>
      <c r="AN479" s="1334">
        <v>1</v>
      </c>
      <c r="AO479" s="1276"/>
      <c r="AP479" s="1277"/>
      <c r="AQ479" s="1276"/>
      <c r="AR479" s="1278"/>
      <c r="AS479" s="1278"/>
    </row>
    <row r="480" spans="1:45" ht="15.6">
      <c r="A480" s="1097" t="s">
        <v>53</v>
      </c>
      <c r="B480" s="1143" t="s">
        <v>920</v>
      </c>
      <c r="C480" s="1144" t="s">
        <v>921</v>
      </c>
      <c r="D480" s="1144" t="s">
        <v>922</v>
      </c>
      <c r="E480" s="1098" t="s">
        <v>72</v>
      </c>
      <c r="F480" s="856">
        <v>2024</v>
      </c>
      <c r="G480" s="1099">
        <v>45434</v>
      </c>
      <c r="H480" s="3">
        <v>200106223</v>
      </c>
      <c r="I480" s="1455" t="s">
        <v>1102</v>
      </c>
      <c r="J480" s="1144">
        <v>10</v>
      </c>
      <c r="K480" s="3" t="s">
        <v>60</v>
      </c>
      <c r="L480" s="3" t="s">
        <v>128</v>
      </c>
      <c r="M480" s="786">
        <v>466.2</v>
      </c>
      <c r="N480" s="858">
        <v>256.39</v>
      </c>
      <c r="O480" s="958">
        <v>45440</v>
      </c>
      <c r="P480" s="958">
        <v>45440</v>
      </c>
      <c r="Q480" s="3" t="s">
        <v>1103</v>
      </c>
      <c r="R480" s="3" t="s">
        <v>1104</v>
      </c>
      <c r="S480" s="851" t="s">
        <v>62</v>
      </c>
      <c r="T480" s="848"/>
      <c r="U480" s="786" t="s">
        <v>130</v>
      </c>
      <c r="V480" s="848"/>
      <c r="W480" s="785">
        <v>279.5</v>
      </c>
      <c r="X480" s="1282"/>
      <c r="Y480" s="958">
        <v>45440</v>
      </c>
      <c r="Z480" s="856" t="s">
        <v>62</v>
      </c>
      <c r="AA480" s="1076"/>
      <c r="AB480" s="1099">
        <v>45441</v>
      </c>
      <c r="AC480" s="1099">
        <v>45442</v>
      </c>
      <c r="AD480" s="1176">
        <f>285+455</f>
        <v>740</v>
      </c>
      <c r="AE480" s="1264">
        <f t="shared" si="60"/>
        <v>0.97883597883597884</v>
      </c>
      <c r="AF480" s="1342" t="s">
        <v>64</v>
      </c>
      <c r="AG480" s="1317">
        <v>1</v>
      </c>
      <c r="AH480" s="1248" t="s">
        <v>132</v>
      </c>
      <c r="AI480" s="1248">
        <v>45446</v>
      </c>
      <c r="AJ480" s="1248">
        <v>45447</v>
      </c>
      <c r="AK480" s="1285">
        <f>60600+161500+21255</f>
        <v>243355</v>
      </c>
      <c r="AL480" s="1264">
        <f t="shared" si="61"/>
        <v>0.97341999999999995</v>
      </c>
      <c r="AM480" s="1343" t="s">
        <v>62</v>
      </c>
      <c r="AN480" s="1334">
        <v>1</v>
      </c>
      <c r="AO480" s="1276"/>
      <c r="AP480" s="1277"/>
      <c r="AQ480" s="1276"/>
      <c r="AR480" s="1278"/>
      <c r="AS480" s="1278"/>
    </row>
    <row r="481" spans="1:45" ht="15.6">
      <c r="A481" s="1097" t="s">
        <v>53</v>
      </c>
      <c r="B481" s="1143" t="s">
        <v>920</v>
      </c>
      <c r="C481" s="1144" t="s">
        <v>921</v>
      </c>
      <c r="D481" s="1144" t="s">
        <v>922</v>
      </c>
      <c r="E481" s="1098" t="s">
        <v>72</v>
      </c>
      <c r="F481" s="856">
        <v>2024</v>
      </c>
      <c r="G481" s="1099">
        <v>45434</v>
      </c>
      <c r="H481" s="3">
        <v>200106224</v>
      </c>
      <c r="I481" s="1455" t="s">
        <v>1105</v>
      </c>
      <c r="J481" s="1144">
        <v>11</v>
      </c>
      <c r="K481" s="3" t="s">
        <v>60</v>
      </c>
      <c r="L481" s="3" t="s">
        <v>128</v>
      </c>
      <c r="M481" s="858">
        <v>466.7</v>
      </c>
      <c r="N481" s="858">
        <v>254.11</v>
      </c>
      <c r="O481" s="958">
        <v>45441</v>
      </c>
      <c r="P481" s="958">
        <v>45441</v>
      </c>
      <c r="Q481" s="3" t="s">
        <v>1106</v>
      </c>
      <c r="R481" s="3" t="s">
        <v>1107</v>
      </c>
      <c r="S481" s="851" t="s">
        <v>62</v>
      </c>
      <c r="T481" s="848"/>
      <c r="U481" s="786" t="s">
        <v>130</v>
      </c>
      <c r="V481" s="848"/>
      <c r="W481" s="3">
        <v>277.2</v>
      </c>
      <c r="X481" s="1282"/>
      <c r="Y481" s="958">
        <v>45441</v>
      </c>
      <c r="Z481" s="856" t="s">
        <v>62</v>
      </c>
      <c r="AA481" s="1076"/>
      <c r="AB481" s="1099">
        <v>45442</v>
      </c>
      <c r="AC481" s="1099">
        <v>45442</v>
      </c>
      <c r="AD481" s="1176">
        <f>415+323</f>
        <v>738</v>
      </c>
      <c r="AE481" s="1264">
        <f t="shared" si="60"/>
        <v>0.97619047619047616</v>
      </c>
      <c r="AF481" s="1342" t="s">
        <v>64</v>
      </c>
      <c r="AG481" s="1317">
        <v>1</v>
      </c>
      <c r="AH481" s="1248" t="s">
        <v>617</v>
      </c>
      <c r="AI481" s="1248">
        <v>45462</v>
      </c>
      <c r="AJ481" s="1248">
        <v>45464</v>
      </c>
      <c r="AK481" s="1285">
        <f>21400+42500+59200+48500+55800+16086</f>
        <v>243486</v>
      </c>
      <c r="AL481" s="1264">
        <f t="shared" si="61"/>
        <v>0.97394400000000003</v>
      </c>
      <c r="AM481" s="1343" t="s">
        <v>62</v>
      </c>
      <c r="AN481" s="1334">
        <v>1</v>
      </c>
      <c r="AO481" s="1276"/>
      <c r="AP481" s="1277"/>
      <c r="AQ481" s="1276"/>
      <c r="AR481" s="1278"/>
      <c r="AS481" s="1278"/>
    </row>
    <row r="482" spans="1:45" ht="15.6">
      <c r="A482" s="1097" t="s">
        <v>53</v>
      </c>
      <c r="B482" s="1143" t="s">
        <v>920</v>
      </c>
      <c r="C482" s="1144" t="s">
        <v>921</v>
      </c>
      <c r="D482" s="1144" t="s">
        <v>922</v>
      </c>
      <c r="E482" s="1098" t="s">
        <v>72</v>
      </c>
      <c r="F482" s="856">
        <v>2024</v>
      </c>
      <c r="G482" s="1099">
        <v>45455</v>
      </c>
      <c r="H482" s="3">
        <v>200106485</v>
      </c>
      <c r="I482" s="1457" t="s">
        <v>1108</v>
      </c>
      <c r="J482" s="1144">
        <v>12</v>
      </c>
      <c r="K482" s="3" t="s">
        <v>60</v>
      </c>
      <c r="L482" s="3" t="s">
        <v>128</v>
      </c>
      <c r="M482" s="786">
        <v>464.3</v>
      </c>
      <c r="N482" s="786">
        <v>256.32</v>
      </c>
      <c r="O482" s="958">
        <v>45470</v>
      </c>
      <c r="P482" s="958">
        <v>45470</v>
      </c>
      <c r="Q482" s="3" t="s">
        <v>1109</v>
      </c>
      <c r="R482" s="3" t="s">
        <v>1110</v>
      </c>
      <c r="S482" s="851" t="s">
        <v>62</v>
      </c>
      <c r="T482" s="848"/>
      <c r="U482" s="786" t="s">
        <v>130</v>
      </c>
      <c r="V482" s="848"/>
      <c r="W482" s="785">
        <v>279</v>
      </c>
      <c r="X482" s="1282"/>
      <c r="Y482" s="958">
        <v>45470</v>
      </c>
      <c r="Z482" s="856" t="s">
        <v>62</v>
      </c>
      <c r="AA482" s="1076"/>
      <c r="AB482" s="1099">
        <v>45474</v>
      </c>
      <c r="AC482" s="1099">
        <v>45474</v>
      </c>
      <c r="AD482" s="1176">
        <f>150+330+251</f>
        <v>731</v>
      </c>
      <c r="AE482" s="1264">
        <f t="shared" si="60"/>
        <v>0.96693121693121697</v>
      </c>
      <c r="AF482" s="1342" t="s">
        <v>64</v>
      </c>
      <c r="AG482" s="1317">
        <v>1</v>
      </c>
      <c r="AH482" s="1248" t="s">
        <v>132</v>
      </c>
      <c r="AI482" s="1248">
        <v>45475</v>
      </c>
      <c r="AJ482" s="1248">
        <v>45475</v>
      </c>
      <c r="AK482" s="1285">
        <f>39399+137000+65127</f>
        <v>241526</v>
      </c>
      <c r="AL482" s="1264">
        <f t="shared" si="61"/>
        <v>0.96610399999999996</v>
      </c>
      <c r="AM482" s="1343" t="s">
        <v>62</v>
      </c>
      <c r="AN482" s="1334">
        <v>1</v>
      </c>
      <c r="AO482" s="1276"/>
      <c r="AP482" s="1277"/>
      <c r="AQ482" s="1276"/>
      <c r="AR482" s="1278"/>
      <c r="AS482" s="1278"/>
    </row>
    <row r="483" spans="1:45" ht="15.6">
      <c r="A483" s="1097" t="s">
        <v>53</v>
      </c>
      <c r="B483" s="1143"/>
      <c r="C483" s="1144"/>
      <c r="D483" s="1144"/>
      <c r="E483" s="1098"/>
      <c r="F483" s="1098"/>
      <c r="G483" s="1099"/>
      <c r="H483" s="3"/>
      <c r="I483" s="3"/>
      <c r="J483" s="1144"/>
      <c r="K483" s="856"/>
      <c r="L483" s="856"/>
      <c r="M483" s="856"/>
      <c r="N483" s="856"/>
      <c r="O483" s="1179"/>
      <c r="P483" s="1179"/>
      <c r="Q483" s="1099"/>
      <c r="R483" s="1099"/>
      <c r="S483" s="1340"/>
      <c r="T483" s="856"/>
      <c r="U483" s="856"/>
      <c r="V483" s="856"/>
      <c r="W483" s="856"/>
      <c r="X483" s="1179"/>
      <c r="Y483" s="1202"/>
      <c r="Z483" s="856"/>
      <c r="AA483" s="1076"/>
      <c r="AB483" s="1099"/>
      <c r="AC483" s="1099"/>
      <c r="AD483" s="1176"/>
      <c r="AE483" s="1264"/>
      <c r="AF483" s="1342"/>
      <c r="AG483" s="1317"/>
      <c r="AH483" s="1248"/>
      <c r="AI483" s="1248"/>
      <c r="AJ483" s="1248"/>
      <c r="AK483" s="1285"/>
      <c r="AL483" s="1264"/>
      <c r="AM483" s="1331"/>
      <c r="AN483" s="1334"/>
      <c r="AO483" s="1276"/>
      <c r="AP483" s="1277"/>
      <c r="AQ483" s="1276"/>
      <c r="AR483" s="1278"/>
      <c r="AS483" s="1278"/>
    </row>
    <row r="484" spans="1:45" ht="15.6">
      <c r="A484" s="1097" t="s">
        <v>53</v>
      </c>
      <c r="B484" s="1143" t="s">
        <v>920</v>
      </c>
      <c r="C484" s="1144" t="s">
        <v>921</v>
      </c>
      <c r="D484" s="1144" t="s">
        <v>922</v>
      </c>
      <c r="E484" s="1473" t="s">
        <v>433</v>
      </c>
      <c r="F484" s="856">
        <v>2024</v>
      </c>
      <c r="G484" s="1099">
        <v>45455</v>
      </c>
      <c r="H484" s="3">
        <v>200106486</v>
      </c>
      <c r="I484" s="1441" t="s">
        <v>1111</v>
      </c>
      <c r="J484" s="1144">
        <v>1</v>
      </c>
      <c r="K484" s="3" t="s">
        <v>128</v>
      </c>
      <c r="L484" s="3" t="s">
        <v>128</v>
      </c>
      <c r="M484" s="786">
        <v>457</v>
      </c>
      <c r="N484" s="786">
        <v>262.12</v>
      </c>
      <c r="O484" s="958">
        <v>45470</v>
      </c>
      <c r="P484" s="958">
        <v>45470</v>
      </c>
      <c r="Q484" s="3" t="s">
        <v>1112</v>
      </c>
      <c r="R484" s="785" t="s">
        <v>1113</v>
      </c>
      <c r="S484" s="851" t="s">
        <v>62</v>
      </c>
      <c r="T484" s="848"/>
      <c r="U484" s="786" t="s">
        <v>130</v>
      </c>
      <c r="V484" s="848"/>
      <c r="W484" s="785">
        <v>284.8</v>
      </c>
      <c r="X484" s="1282"/>
      <c r="Y484" s="958">
        <v>45470</v>
      </c>
      <c r="Z484" s="856" t="s">
        <v>62</v>
      </c>
      <c r="AA484" s="1076"/>
      <c r="AB484" s="1099">
        <v>45474</v>
      </c>
      <c r="AC484" s="1099">
        <v>45475</v>
      </c>
      <c r="AD484" s="1176">
        <f>65+450+216</f>
        <v>731</v>
      </c>
      <c r="AE484" s="1264">
        <f t="shared" ref="AE484:AE500" si="62">AD484/756</f>
        <v>0.96693121693121697</v>
      </c>
      <c r="AF484" s="1342" t="s">
        <v>64</v>
      </c>
      <c r="AG484" s="1317">
        <v>1</v>
      </c>
      <c r="AH484" s="1248" t="s">
        <v>132</v>
      </c>
      <c r="AI484" s="1248">
        <v>45476</v>
      </c>
      <c r="AJ484" s="1248">
        <v>45476</v>
      </c>
      <c r="AK484" s="1285">
        <f>86640+154798</f>
        <v>241438</v>
      </c>
      <c r="AL484" s="1264">
        <f t="shared" ref="AL484:AL500" si="63">AK484/250000</f>
        <v>0.96575200000000005</v>
      </c>
      <c r="AM484" s="1343" t="s">
        <v>62</v>
      </c>
      <c r="AN484" s="1334">
        <v>1</v>
      </c>
      <c r="AO484" s="1276"/>
      <c r="AP484" s="1277"/>
      <c r="AQ484" s="1276"/>
      <c r="AR484" s="1278"/>
      <c r="AS484" s="1278"/>
    </row>
    <row r="485" spans="1:45" ht="15.6">
      <c r="A485" s="1097" t="s">
        <v>53</v>
      </c>
      <c r="B485" s="1143" t="s">
        <v>920</v>
      </c>
      <c r="C485" s="1144" t="s">
        <v>921</v>
      </c>
      <c r="D485" s="1144" t="s">
        <v>922</v>
      </c>
      <c r="E485" s="1473" t="s">
        <v>433</v>
      </c>
      <c r="F485" s="856">
        <v>2024</v>
      </c>
      <c r="G485" s="1099">
        <v>45455</v>
      </c>
      <c r="H485" s="3">
        <v>200106487</v>
      </c>
      <c r="I485" s="1441" t="s">
        <v>1114</v>
      </c>
      <c r="J485" s="1144">
        <v>2</v>
      </c>
      <c r="K485" s="3" t="s">
        <v>128</v>
      </c>
      <c r="L485" s="3" t="s">
        <v>60</v>
      </c>
      <c r="M485" s="786">
        <v>475.1</v>
      </c>
      <c r="N485" s="865">
        <v>256.42</v>
      </c>
      <c r="O485" s="958">
        <v>45470</v>
      </c>
      <c r="P485" s="958">
        <v>45474</v>
      </c>
      <c r="Q485" s="3" t="s">
        <v>1115</v>
      </c>
      <c r="R485" s="3" t="s">
        <v>1116</v>
      </c>
      <c r="S485" s="851" t="s">
        <v>62</v>
      </c>
      <c r="T485" s="848"/>
      <c r="U485" s="786" t="s">
        <v>130</v>
      </c>
      <c r="V485" s="848"/>
      <c r="W485" s="3">
        <v>277.60000000000002</v>
      </c>
      <c r="X485" s="1282"/>
      <c r="Y485" s="958">
        <v>45475</v>
      </c>
      <c r="Z485" s="856" t="s">
        <v>62</v>
      </c>
      <c r="AA485" s="1076"/>
      <c r="AB485" s="1099">
        <v>45475</v>
      </c>
      <c r="AC485" s="1099">
        <v>45446</v>
      </c>
      <c r="AD485" s="1176">
        <f>130+400+209</f>
        <v>739</v>
      </c>
      <c r="AE485" s="1264">
        <f t="shared" si="62"/>
        <v>0.97751322751322756</v>
      </c>
      <c r="AF485" s="1342" t="s">
        <v>64</v>
      </c>
      <c r="AG485" s="1317">
        <v>1</v>
      </c>
      <c r="AH485" s="1248" t="s">
        <v>132</v>
      </c>
      <c r="AI485" s="1248">
        <v>45477</v>
      </c>
      <c r="AJ485" s="1248">
        <v>45477</v>
      </c>
      <c r="AK485" s="1285">
        <f>97000+147291</f>
        <v>244291</v>
      </c>
      <c r="AL485" s="1264">
        <f t="shared" si="63"/>
        <v>0.97716400000000003</v>
      </c>
      <c r="AM485" s="1343" t="s">
        <v>62</v>
      </c>
      <c r="AN485" s="1334">
        <v>1</v>
      </c>
      <c r="AO485" s="1276"/>
      <c r="AP485" s="1277"/>
      <c r="AQ485" s="1276"/>
      <c r="AR485" s="1278"/>
      <c r="AS485" s="1278"/>
    </row>
    <row r="486" spans="1:45" ht="15.6">
      <c r="A486" s="1097" t="s">
        <v>53</v>
      </c>
      <c r="B486" s="1143" t="s">
        <v>920</v>
      </c>
      <c r="C486" s="1144" t="s">
        <v>921</v>
      </c>
      <c r="D486" s="1144" t="s">
        <v>922</v>
      </c>
      <c r="E486" s="1473" t="s">
        <v>433</v>
      </c>
      <c r="F486" s="856">
        <v>2024</v>
      </c>
      <c r="G486" s="1099">
        <v>45455</v>
      </c>
      <c r="H486" s="3">
        <v>200106488</v>
      </c>
      <c r="I486" s="1441" t="s">
        <v>1117</v>
      </c>
      <c r="J486" s="1144">
        <v>3</v>
      </c>
      <c r="K486" s="3" t="s">
        <v>60</v>
      </c>
      <c r="L486" s="3" t="s">
        <v>60</v>
      </c>
      <c r="M486" s="762">
        <v>459.23</v>
      </c>
      <c r="N486" s="865">
        <v>258.3</v>
      </c>
      <c r="O486" s="958">
        <v>45475</v>
      </c>
      <c r="P486" s="958">
        <v>45474</v>
      </c>
      <c r="Q486" s="3" t="s">
        <v>1118</v>
      </c>
      <c r="R486" s="3" t="s">
        <v>1119</v>
      </c>
      <c r="S486" s="851" t="s">
        <v>62</v>
      </c>
      <c r="T486" s="848"/>
      <c r="U486" s="786" t="s">
        <v>130</v>
      </c>
      <c r="V486" s="848"/>
      <c r="W486" s="3">
        <v>281.3</v>
      </c>
      <c r="X486" s="1282"/>
      <c r="Y486" s="958">
        <v>45475</v>
      </c>
      <c r="Z486" s="856" t="s">
        <v>62</v>
      </c>
      <c r="AA486" s="1076"/>
      <c r="AB486" s="1099">
        <v>45446</v>
      </c>
      <c r="AC486" s="1099">
        <v>45446</v>
      </c>
      <c r="AD486" s="1176">
        <f>190+410+127</f>
        <v>727</v>
      </c>
      <c r="AE486" s="1264">
        <f t="shared" si="62"/>
        <v>0.96164021164021163</v>
      </c>
      <c r="AF486" s="1342" t="s">
        <v>64</v>
      </c>
      <c r="AG486" s="1317">
        <v>1</v>
      </c>
      <c r="AH486" s="1248" t="s">
        <v>617</v>
      </c>
      <c r="AI486" s="1248">
        <v>45477</v>
      </c>
      <c r="AJ486" s="1248">
        <v>45481</v>
      </c>
      <c r="AK486" s="1285">
        <f>20000+23100+2000+49300+58600+59412+27772</f>
        <v>240184</v>
      </c>
      <c r="AL486" s="1264">
        <f t="shared" si="63"/>
        <v>0.96073600000000003</v>
      </c>
      <c r="AM486" s="1343" t="s">
        <v>62</v>
      </c>
      <c r="AN486" s="1334">
        <v>1</v>
      </c>
      <c r="AO486" s="1276"/>
      <c r="AP486" s="1277"/>
      <c r="AQ486" s="1276"/>
      <c r="AR486" s="1278"/>
      <c r="AS486" s="1278"/>
    </row>
    <row r="487" spans="1:45" ht="15.6">
      <c r="A487" s="1097" t="s">
        <v>53</v>
      </c>
      <c r="B487" s="1143" t="s">
        <v>920</v>
      </c>
      <c r="C487" s="1144" t="s">
        <v>921</v>
      </c>
      <c r="D487" s="1144" t="s">
        <v>922</v>
      </c>
      <c r="E487" s="1473" t="s">
        <v>433</v>
      </c>
      <c r="F487" s="856">
        <v>2024</v>
      </c>
      <c r="G487" s="1099">
        <v>45455</v>
      </c>
      <c r="H487" s="3">
        <v>200106489</v>
      </c>
      <c r="I487" s="1441" t="s">
        <v>1120</v>
      </c>
      <c r="J487" s="1144">
        <v>4</v>
      </c>
      <c r="K487" s="3" t="s">
        <v>60</v>
      </c>
      <c r="L487" s="3" t="s">
        <v>128</v>
      </c>
      <c r="M487" s="762">
        <v>466.5</v>
      </c>
      <c r="N487" s="858">
        <v>253.78</v>
      </c>
      <c r="O487" s="958">
        <v>45475</v>
      </c>
      <c r="P487" s="958">
        <v>45475</v>
      </c>
      <c r="Q487" s="3" t="s">
        <v>1121</v>
      </c>
      <c r="R487" s="785" t="s">
        <v>1122</v>
      </c>
      <c r="S487" s="851" t="s">
        <v>62</v>
      </c>
      <c r="T487" s="848"/>
      <c r="U487" s="786" t="s">
        <v>130</v>
      </c>
      <c r="V487" s="848"/>
      <c r="W487" s="3">
        <v>276.89999999999998</v>
      </c>
      <c r="X487" s="1282"/>
      <c r="Y487" s="958">
        <v>45476</v>
      </c>
      <c r="Z487" s="856" t="s">
        <v>62</v>
      </c>
      <c r="AA487" s="1076"/>
      <c r="AB487" s="1099">
        <v>45476</v>
      </c>
      <c r="AC487" s="1099">
        <v>45477</v>
      </c>
      <c r="AD487" s="1176">
        <f>240+410+80</f>
        <v>730</v>
      </c>
      <c r="AE487" s="1264">
        <f t="shared" si="62"/>
        <v>0.96560846560846558</v>
      </c>
      <c r="AF487" s="1342" t="s">
        <v>64</v>
      </c>
      <c r="AG487" s="1317">
        <v>1</v>
      </c>
      <c r="AH487" s="1248" t="s">
        <v>617</v>
      </c>
      <c r="AI487" s="1248">
        <v>45481</v>
      </c>
      <c r="AJ487" s="1248">
        <v>45482</v>
      </c>
      <c r="AK487" s="1285">
        <f>37100+72525+75120+56442</f>
        <v>241187</v>
      </c>
      <c r="AL487" s="1264">
        <f t="shared" si="63"/>
        <v>0.96474800000000005</v>
      </c>
      <c r="AM487" s="1343" t="s">
        <v>62</v>
      </c>
      <c r="AN487" s="1334">
        <v>1</v>
      </c>
      <c r="AO487" s="1276"/>
      <c r="AP487" s="1277"/>
      <c r="AQ487" s="1276"/>
      <c r="AR487" s="1278"/>
      <c r="AS487" s="1278"/>
    </row>
    <row r="488" spans="1:45" ht="15.6">
      <c r="A488" s="1097" t="s">
        <v>53</v>
      </c>
      <c r="B488" s="1143" t="s">
        <v>920</v>
      </c>
      <c r="C488" s="1144" t="s">
        <v>921</v>
      </c>
      <c r="D488" s="1144" t="s">
        <v>922</v>
      </c>
      <c r="E488" s="1473" t="s">
        <v>433</v>
      </c>
      <c r="F488" s="856">
        <v>2024</v>
      </c>
      <c r="G488" s="1099">
        <v>45455</v>
      </c>
      <c r="H488" s="3">
        <v>200106490</v>
      </c>
      <c r="I488" s="1441" t="s">
        <v>1123</v>
      </c>
      <c r="J488" s="1144">
        <v>5</v>
      </c>
      <c r="K488" s="3" t="s">
        <v>60</v>
      </c>
      <c r="L488" s="3" t="s">
        <v>128</v>
      </c>
      <c r="M488" s="762">
        <v>468.8</v>
      </c>
      <c r="N488" s="865">
        <v>255.23</v>
      </c>
      <c r="O488" s="958">
        <v>45475</v>
      </c>
      <c r="P488" s="958">
        <v>45484</v>
      </c>
      <c r="Q488" s="3" t="s">
        <v>1124</v>
      </c>
      <c r="R488" s="3" t="s">
        <v>1125</v>
      </c>
      <c r="S488" s="851" t="s">
        <v>62</v>
      </c>
      <c r="T488" s="848"/>
      <c r="U488" s="786" t="s">
        <v>130</v>
      </c>
      <c r="V488" s="848"/>
      <c r="W488" s="3">
        <v>282.5</v>
      </c>
      <c r="X488" s="1282"/>
      <c r="Y488" s="958">
        <v>45476</v>
      </c>
      <c r="Z488" s="856" t="s">
        <v>62</v>
      </c>
      <c r="AA488" s="1076"/>
      <c r="AB488" s="1099">
        <v>45477</v>
      </c>
      <c r="AC488" s="1099">
        <v>45477</v>
      </c>
      <c r="AD488" s="1176">
        <f>310+429</f>
        <v>739</v>
      </c>
      <c r="AE488" s="1264">
        <f t="shared" si="62"/>
        <v>0.97751322751322756</v>
      </c>
      <c r="AF488" s="1342" t="s">
        <v>64</v>
      </c>
      <c r="AG488" s="1317">
        <v>1</v>
      </c>
      <c r="AH488" s="1248" t="s">
        <v>617</v>
      </c>
      <c r="AI488" s="1248">
        <v>45482</v>
      </c>
      <c r="AJ488" s="1248">
        <v>45484</v>
      </c>
      <c r="AK488" s="1285">
        <f>12652+73200+65854+19254+19920+52963</f>
        <v>243843</v>
      </c>
      <c r="AL488" s="1264">
        <f t="shared" si="63"/>
        <v>0.97537200000000002</v>
      </c>
      <c r="AM488" s="1343" t="s">
        <v>62</v>
      </c>
      <c r="AN488" s="1334">
        <v>1</v>
      </c>
      <c r="AO488" s="1276"/>
      <c r="AP488" s="1277"/>
      <c r="AQ488" s="1276"/>
      <c r="AR488" s="1278"/>
      <c r="AS488" s="1278"/>
    </row>
    <row r="489" spans="1:45" ht="15.6">
      <c r="A489" s="1097" t="s">
        <v>53</v>
      </c>
      <c r="B489" s="1143" t="s">
        <v>920</v>
      </c>
      <c r="C489" s="1144" t="s">
        <v>921</v>
      </c>
      <c r="D489" s="1144" t="s">
        <v>922</v>
      </c>
      <c r="E489" s="1473" t="s">
        <v>433</v>
      </c>
      <c r="F489" s="856">
        <v>2024</v>
      </c>
      <c r="G489" s="1099">
        <v>45477</v>
      </c>
      <c r="H489" s="3">
        <v>200106693</v>
      </c>
      <c r="I489" s="1449" t="s">
        <v>1126</v>
      </c>
      <c r="J489" s="1144">
        <v>6</v>
      </c>
      <c r="K489" s="3" t="s">
        <v>60</v>
      </c>
      <c r="L489" s="3" t="s">
        <v>128</v>
      </c>
      <c r="M489" s="858">
        <v>465.6</v>
      </c>
      <c r="N489" s="865">
        <v>260.97000000000003</v>
      </c>
      <c r="O489" s="958">
        <v>45485</v>
      </c>
      <c r="P489" s="958">
        <v>45484</v>
      </c>
      <c r="Q489" s="785" t="s">
        <v>1127</v>
      </c>
      <c r="R489" s="3" t="s">
        <v>1128</v>
      </c>
      <c r="S489" s="851" t="s">
        <v>62</v>
      </c>
      <c r="T489" s="848"/>
      <c r="U489" s="786" t="s">
        <v>130</v>
      </c>
      <c r="V489" s="848"/>
      <c r="W489" s="3">
        <v>278.39999999999998</v>
      </c>
      <c r="X489" s="1282"/>
      <c r="Y489" s="958">
        <v>45485</v>
      </c>
      <c r="Z489" s="856" t="s">
        <v>62</v>
      </c>
      <c r="AA489" s="1076"/>
      <c r="AB489" s="1099">
        <v>45488</v>
      </c>
      <c r="AC489" s="1099">
        <v>45488</v>
      </c>
      <c r="AD489" s="1176">
        <f>160+405+165</f>
        <v>730</v>
      </c>
      <c r="AE489" s="1264">
        <f t="shared" si="62"/>
        <v>0.96560846560846558</v>
      </c>
      <c r="AF489" s="1342" t="s">
        <v>64</v>
      </c>
      <c r="AG489" s="1317">
        <v>1</v>
      </c>
      <c r="AH489" s="1248" t="s">
        <v>617</v>
      </c>
      <c r="AI489" s="1248">
        <v>45489</v>
      </c>
      <c r="AJ489" s="1248">
        <v>45490</v>
      </c>
      <c r="AK489" s="1285">
        <f>55000+75610+70000+41032</f>
        <v>241642</v>
      </c>
      <c r="AL489" s="1264">
        <f t="shared" si="63"/>
        <v>0.96656799999999998</v>
      </c>
      <c r="AM489" s="1343" t="s">
        <v>62</v>
      </c>
      <c r="AN489" s="1334">
        <v>1</v>
      </c>
      <c r="AO489" s="1276"/>
      <c r="AP489" s="1277"/>
      <c r="AQ489" s="1276"/>
      <c r="AR489" s="1278"/>
      <c r="AS489" s="1278"/>
    </row>
    <row r="490" spans="1:45" ht="15.6">
      <c r="A490" s="1097" t="s">
        <v>53</v>
      </c>
      <c r="B490" s="1143" t="s">
        <v>920</v>
      </c>
      <c r="C490" s="1144" t="s">
        <v>921</v>
      </c>
      <c r="D490" s="1144" t="s">
        <v>922</v>
      </c>
      <c r="E490" s="1473" t="s">
        <v>433</v>
      </c>
      <c r="F490" s="856">
        <v>2024</v>
      </c>
      <c r="G490" s="1099">
        <v>45477</v>
      </c>
      <c r="H490" s="3">
        <v>200106694</v>
      </c>
      <c r="I490" s="1449" t="s">
        <v>1129</v>
      </c>
      <c r="J490" s="1144">
        <v>7</v>
      </c>
      <c r="K490" s="3" t="s">
        <v>60</v>
      </c>
      <c r="L490" s="3" t="s">
        <v>128</v>
      </c>
      <c r="M490" s="858">
        <v>464.1</v>
      </c>
      <c r="N490" s="865">
        <v>260.97000000000003</v>
      </c>
      <c r="O490" s="958">
        <v>45488</v>
      </c>
      <c r="P490" s="958">
        <v>45484</v>
      </c>
      <c r="Q490" s="785" t="s">
        <v>1130</v>
      </c>
      <c r="R490" s="3" t="s">
        <v>1128</v>
      </c>
      <c r="S490" s="851" t="s">
        <v>62</v>
      </c>
      <c r="T490" s="848"/>
      <c r="U490" s="786" t="s">
        <v>130</v>
      </c>
      <c r="V490" s="848"/>
      <c r="W490" s="3">
        <v>284</v>
      </c>
      <c r="X490" s="1282"/>
      <c r="Y490" s="958">
        <v>45485</v>
      </c>
      <c r="Z490" s="856" t="s">
        <v>62</v>
      </c>
      <c r="AA490" s="1076"/>
      <c r="AB490" s="1099">
        <v>45488</v>
      </c>
      <c r="AC490" s="1099">
        <v>45489</v>
      </c>
      <c r="AD490" s="1176">
        <f>225+345+165</f>
        <v>735</v>
      </c>
      <c r="AE490" s="1264">
        <f t="shared" si="62"/>
        <v>0.97222222222222221</v>
      </c>
      <c r="AF490" s="1342" t="s">
        <v>64</v>
      </c>
      <c r="AG490" s="1317">
        <v>1</v>
      </c>
      <c r="AH490" s="1248" t="s">
        <v>617</v>
      </c>
      <c r="AI490" s="1248">
        <v>45490</v>
      </c>
      <c r="AJ490" s="1248">
        <v>45492</v>
      </c>
      <c r="AK490" s="1285">
        <f>25000+71150+70200+69000+6667</f>
        <v>242017</v>
      </c>
      <c r="AL490" s="1264">
        <f t="shared" si="63"/>
        <v>0.96806800000000004</v>
      </c>
      <c r="AM490" s="1343" t="s">
        <v>62</v>
      </c>
      <c r="AN490" s="1334">
        <v>1</v>
      </c>
      <c r="AO490" s="1276"/>
      <c r="AP490" s="1277"/>
      <c r="AQ490" s="1276"/>
      <c r="AR490" s="1278"/>
      <c r="AS490" s="1278"/>
    </row>
    <row r="491" spans="1:45" ht="15.6">
      <c r="A491" s="1097" t="s">
        <v>53</v>
      </c>
      <c r="B491" s="1143" t="s">
        <v>920</v>
      </c>
      <c r="C491" s="1144" t="s">
        <v>921</v>
      </c>
      <c r="D491" s="1144" t="s">
        <v>922</v>
      </c>
      <c r="E491" s="1473" t="s">
        <v>433</v>
      </c>
      <c r="F491" s="856">
        <v>2024</v>
      </c>
      <c r="G491" s="1099">
        <v>45477</v>
      </c>
      <c r="H491" s="3">
        <v>200106695</v>
      </c>
      <c r="I491" s="1449" t="s">
        <v>1131</v>
      </c>
      <c r="J491" s="1144">
        <v>8</v>
      </c>
      <c r="K491" s="3" t="s">
        <v>60</v>
      </c>
      <c r="L491" s="3" t="s">
        <v>128</v>
      </c>
      <c r="M491" s="858">
        <v>466.2</v>
      </c>
      <c r="N491" s="858">
        <v>256.07</v>
      </c>
      <c r="O491" s="958">
        <v>45488</v>
      </c>
      <c r="P491" s="958">
        <v>45485</v>
      </c>
      <c r="Q491" s="3" t="s">
        <v>1132</v>
      </c>
      <c r="R491" s="785" t="s">
        <v>1133</v>
      </c>
      <c r="S491" s="851" t="s">
        <v>62</v>
      </c>
      <c r="T491" s="848"/>
      <c r="U491" s="786" t="s">
        <v>130</v>
      </c>
      <c r="V491" s="848"/>
      <c r="W491" s="858">
        <v>278.60000000000002</v>
      </c>
      <c r="X491" s="1282"/>
      <c r="Y491" s="958">
        <v>45489</v>
      </c>
      <c r="Z491" s="856" t="s">
        <v>62</v>
      </c>
      <c r="AA491" s="1076"/>
      <c r="AB491" s="1099">
        <v>45489</v>
      </c>
      <c r="AC491" s="1099">
        <v>45490</v>
      </c>
      <c r="AD491" s="1176">
        <f>105+415+208</f>
        <v>728</v>
      </c>
      <c r="AE491" s="1264">
        <f t="shared" si="62"/>
        <v>0.96296296296296291</v>
      </c>
      <c r="AF491" s="1342" t="s">
        <v>64</v>
      </c>
      <c r="AG491" s="1317">
        <v>1</v>
      </c>
      <c r="AH491" s="1248" t="s">
        <v>162</v>
      </c>
      <c r="AI491" s="1248">
        <v>45495</v>
      </c>
      <c r="AJ491" s="1248">
        <v>45496</v>
      </c>
      <c r="AK491" s="1285">
        <f>80122+107784+51624</f>
        <v>239530</v>
      </c>
      <c r="AL491" s="1264">
        <f t="shared" si="63"/>
        <v>0.95811999999999997</v>
      </c>
      <c r="AM491" s="1343" t="s">
        <v>62</v>
      </c>
      <c r="AN491" s="1334">
        <v>1</v>
      </c>
      <c r="AO491" s="1276"/>
      <c r="AP491" s="1277"/>
      <c r="AQ491" s="1276"/>
      <c r="AR491" s="1278"/>
      <c r="AS491" s="1278"/>
    </row>
    <row r="492" spans="1:45" ht="15.6">
      <c r="A492" s="1097" t="s">
        <v>53</v>
      </c>
      <c r="B492" s="1143" t="s">
        <v>920</v>
      </c>
      <c r="C492" s="1144" t="s">
        <v>921</v>
      </c>
      <c r="D492" s="1144" t="s">
        <v>922</v>
      </c>
      <c r="E492" s="1473" t="s">
        <v>433</v>
      </c>
      <c r="F492" s="856">
        <v>2024</v>
      </c>
      <c r="G492" s="1099">
        <v>45477</v>
      </c>
      <c r="H492" s="3">
        <v>200106696</v>
      </c>
      <c r="I492" s="1449" t="s">
        <v>1134</v>
      </c>
      <c r="J492" s="1144">
        <v>9</v>
      </c>
      <c r="K492" s="3" t="s">
        <v>60</v>
      </c>
      <c r="L492" s="3" t="s">
        <v>128</v>
      </c>
      <c r="M492" s="858">
        <v>467.4</v>
      </c>
      <c r="N492" s="858">
        <v>254.1</v>
      </c>
      <c r="O492" s="958">
        <v>45488</v>
      </c>
      <c r="P492" s="958">
        <v>45489</v>
      </c>
      <c r="Q492" s="3" t="s">
        <v>1135</v>
      </c>
      <c r="R492" s="785" t="s">
        <v>1136</v>
      </c>
      <c r="S492" s="851" t="s">
        <v>62</v>
      </c>
      <c r="T492" s="848"/>
      <c r="U492" s="786" t="s">
        <v>130</v>
      </c>
      <c r="V492" s="848"/>
      <c r="W492" s="858">
        <v>277.3</v>
      </c>
      <c r="X492" s="1282"/>
      <c r="Y492" s="958">
        <v>45489</v>
      </c>
      <c r="Z492" s="856" t="s">
        <v>62</v>
      </c>
      <c r="AA492" s="1076"/>
      <c r="AB492" s="1099">
        <v>45491</v>
      </c>
      <c r="AC492" s="1099">
        <v>45492</v>
      </c>
      <c r="AD492" s="1176">
        <f>195+435+101</f>
        <v>731</v>
      </c>
      <c r="AE492" s="1264">
        <f t="shared" si="62"/>
        <v>0.96693121693121697</v>
      </c>
      <c r="AF492" s="1342" t="s">
        <v>64</v>
      </c>
      <c r="AG492" s="1317">
        <v>1</v>
      </c>
      <c r="AH492" s="1248" t="s">
        <v>132</v>
      </c>
      <c r="AI492" s="1248">
        <v>45496</v>
      </c>
      <c r="AJ492" s="1248">
        <v>45496</v>
      </c>
      <c r="AK492" s="1285">
        <f>39236+159500+41736</f>
        <v>240472</v>
      </c>
      <c r="AL492" s="1264">
        <f t="shared" si="63"/>
        <v>0.96188799999999997</v>
      </c>
      <c r="AM492" s="1343" t="s">
        <v>62</v>
      </c>
      <c r="AN492" s="1334">
        <v>1</v>
      </c>
      <c r="AO492" s="1276"/>
      <c r="AP492" s="1277"/>
      <c r="AQ492" s="1276"/>
      <c r="AR492" s="1278"/>
      <c r="AS492" s="1278"/>
    </row>
    <row r="493" spans="1:45" ht="15.6">
      <c r="A493" s="1097" t="s">
        <v>53</v>
      </c>
      <c r="B493" s="1143" t="s">
        <v>920</v>
      </c>
      <c r="C493" s="1144" t="s">
        <v>921</v>
      </c>
      <c r="D493" s="1144" t="s">
        <v>922</v>
      </c>
      <c r="E493" s="1473" t="s">
        <v>433</v>
      </c>
      <c r="F493" s="856">
        <v>2024</v>
      </c>
      <c r="G493" s="1099">
        <v>45477</v>
      </c>
      <c r="H493" s="3">
        <v>200106697</v>
      </c>
      <c r="I493" s="1449" t="s">
        <v>1137</v>
      </c>
      <c r="J493" s="1144">
        <v>10</v>
      </c>
      <c r="K493" s="3" t="s">
        <v>60</v>
      </c>
      <c r="L493" s="3" t="s">
        <v>128</v>
      </c>
      <c r="M493" s="858">
        <v>466.9</v>
      </c>
      <c r="N493" s="858">
        <v>260.25</v>
      </c>
      <c r="O493" s="958">
        <v>45488</v>
      </c>
      <c r="P493" s="958">
        <v>45489</v>
      </c>
      <c r="Q493" s="3" t="s">
        <v>1138</v>
      </c>
      <c r="R493" s="3" t="s">
        <v>1139</v>
      </c>
      <c r="S493" s="851" t="s">
        <v>62</v>
      </c>
      <c r="T493" s="848"/>
      <c r="U493" s="786" t="s">
        <v>130</v>
      </c>
      <c r="V493" s="848"/>
      <c r="W493" s="858">
        <v>283.39999999999998</v>
      </c>
      <c r="X493" s="1282"/>
      <c r="Y493" s="958">
        <v>45489</v>
      </c>
      <c r="Z493" s="856" t="s">
        <v>62</v>
      </c>
      <c r="AA493" s="1076"/>
      <c r="AB493" s="1099">
        <v>45490</v>
      </c>
      <c r="AC493" s="1099">
        <v>45491</v>
      </c>
      <c r="AD493" s="1176">
        <f>175+375+65+119</f>
        <v>734</v>
      </c>
      <c r="AE493" s="1264">
        <f t="shared" si="62"/>
        <v>0.97089947089947093</v>
      </c>
      <c r="AF493" s="1342" t="s">
        <v>64</v>
      </c>
      <c r="AG493" s="1317">
        <v>1</v>
      </c>
      <c r="AH493" s="1248" t="s">
        <v>162</v>
      </c>
      <c r="AI493" s="1248">
        <v>45496</v>
      </c>
      <c r="AJ493" s="1248">
        <v>45497</v>
      </c>
      <c r="AK493" s="1285">
        <f>36778+106713+97361</f>
        <v>240852</v>
      </c>
      <c r="AL493" s="1264">
        <f t="shared" si="63"/>
        <v>0.96340800000000004</v>
      </c>
      <c r="AM493" s="1343" t="s">
        <v>62</v>
      </c>
      <c r="AN493" s="1334">
        <v>1</v>
      </c>
      <c r="AO493" s="1276"/>
      <c r="AP493" s="1277"/>
      <c r="AQ493" s="1276"/>
      <c r="AR493" s="1278"/>
      <c r="AS493" s="1278"/>
    </row>
    <row r="494" spans="1:45" ht="15.6">
      <c r="A494" s="1097" t="s">
        <v>53</v>
      </c>
      <c r="B494" s="1143" t="s">
        <v>920</v>
      </c>
      <c r="C494" s="1144" t="s">
        <v>921</v>
      </c>
      <c r="D494" s="1144" t="s">
        <v>922</v>
      </c>
      <c r="E494" s="1473" t="s">
        <v>433</v>
      </c>
      <c r="F494" s="856">
        <v>2024</v>
      </c>
      <c r="G494" s="1099">
        <v>45477</v>
      </c>
      <c r="H494" s="3">
        <v>200106698</v>
      </c>
      <c r="I494" s="1449" t="s">
        <v>1140</v>
      </c>
      <c r="J494" s="1144">
        <v>11</v>
      </c>
      <c r="K494" s="3" t="s">
        <v>60</v>
      </c>
      <c r="L494" s="3" t="s">
        <v>128</v>
      </c>
      <c r="M494" s="858">
        <v>464.3</v>
      </c>
      <c r="N494" s="858">
        <v>258.14999999999998</v>
      </c>
      <c r="O494" s="958">
        <v>45490</v>
      </c>
      <c r="P494" s="958">
        <v>45489</v>
      </c>
      <c r="Q494" s="785" t="s">
        <v>1141</v>
      </c>
      <c r="R494" s="3" t="s">
        <v>1142</v>
      </c>
      <c r="S494" s="851" t="s">
        <v>62</v>
      </c>
      <c r="T494" s="848"/>
      <c r="U494" s="786" t="s">
        <v>130</v>
      </c>
      <c r="V494" s="848"/>
      <c r="W494" s="858">
        <v>280.89999999999998</v>
      </c>
      <c r="X494" s="1282"/>
      <c r="Y494" s="958">
        <v>45489</v>
      </c>
      <c r="Z494" s="856" t="s">
        <v>62</v>
      </c>
      <c r="AA494" s="1076"/>
      <c r="AB494" s="1099">
        <v>45492</v>
      </c>
      <c r="AC494" s="1099">
        <v>45492</v>
      </c>
      <c r="AD494" s="1176">
        <f>195+340+195</f>
        <v>730</v>
      </c>
      <c r="AE494" s="1264">
        <f t="shared" si="62"/>
        <v>0.96560846560846558</v>
      </c>
      <c r="AF494" s="1342" t="s">
        <v>64</v>
      </c>
      <c r="AG494" s="1317">
        <v>1</v>
      </c>
      <c r="AH494" s="1248" t="s">
        <v>132</v>
      </c>
      <c r="AI494" s="1248">
        <v>45496</v>
      </c>
      <c r="AJ494" s="1248">
        <v>45497</v>
      </c>
      <c r="AK494" s="1285">
        <f>69000+151000+20077</f>
        <v>240077</v>
      </c>
      <c r="AL494" s="1264">
        <f t="shared" si="63"/>
        <v>0.96030800000000005</v>
      </c>
      <c r="AM494" s="1343" t="s">
        <v>62</v>
      </c>
      <c r="AN494" s="1334">
        <v>1</v>
      </c>
      <c r="AO494" s="1276"/>
      <c r="AP494" s="1277"/>
      <c r="AQ494" s="1276"/>
      <c r="AR494" s="1278"/>
      <c r="AS494" s="1278"/>
    </row>
    <row r="495" spans="1:45" ht="15.6">
      <c r="A495" s="1097" t="s">
        <v>53</v>
      </c>
      <c r="B495" s="1143" t="s">
        <v>920</v>
      </c>
      <c r="C495" s="1144" t="s">
        <v>921</v>
      </c>
      <c r="D495" s="1144" t="s">
        <v>922</v>
      </c>
      <c r="E495" s="1473" t="s">
        <v>433</v>
      </c>
      <c r="F495" s="856">
        <v>2024</v>
      </c>
      <c r="G495" s="1099">
        <v>45477</v>
      </c>
      <c r="H495" s="3">
        <v>200106699</v>
      </c>
      <c r="I495" s="1449" t="s">
        <v>1143</v>
      </c>
      <c r="J495" s="1144">
        <v>12</v>
      </c>
      <c r="K495" s="3" t="s">
        <v>60</v>
      </c>
      <c r="L495" s="3" t="s">
        <v>128</v>
      </c>
      <c r="M495" s="858">
        <v>464.3</v>
      </c>
      <c r="N495" s="858">
        <v>262</v>
      </c>
      <c r="O495" s="958">
        <v>45490</v>
      </c>
      <c r="P495" s="958">
        <v>45489</v>
      </c>
      <c r="Q495" s="785" t="s">
        <v>1144</v>
      </c>
      <c r="R495" s="785" t="s">
        <v>1145</v>
      </c>
      <c r="S495" s="851" t="s">
        <v>62</v>
      </c>
      <c r="T495" s="848"/>
      <c r="U495" s="786" t="s">
        <v>130</v>
      </c>
      <c r="V495" s="848"/>
      <c r="W495" s="858">
        <v>284.7</v>
      </c>
      <c r="X495" s="1282"/>
      <c r="Y495" s="958">
        <v>45489</v>
      </c>
      <c r="Z495" s="856" t="s">
        <v>62</v>
      </c>
      <c r="AA495" s="1076"/>
      <c r="AB495" s="1099">
        <v>45492</v>
      </c>
      <c r="AC495" s="1099">
        <v>45495</v>
      </c>
      <c r="AD495" s="1176">
        <f>225+230+280</f>
        <v>735</v>
      </c>
      <c r="AE495" s="1264">
        <f t="shared" si="62"/>
        <v>0.97222222222222221</v>
      </c>
      <c r="AF495" s="1342" t="s">
        <v>64</v>
      </c>
      <c r="AG495" s="1317">
        <v>1</v>
      </c>
      <c r="AH495" s="1248" t="s">
        <v>162</v>
      </c>
      <c r="AI495" s="1248">
        <v>45497</v>
      </c>
      <c r="AJ495" s="1248">
        <v>45498</v>
      </c>
      <c r="AK495" s="1285">
        <f>109384+105125+26975</f>
        <v>241484</v>
      </c>
      <c r="AL495" s="1264">
        <f t="shared" si="63"/>
        <v>0.96593600000000002</v>
      </c>
      <c r="AM495" s="1343" t="s">
        <v>62</v>
      </c>
      <c r="AN495" s="1334">
        <v>1</v>
      </c>
      <c r="AO495" s="1276"/>
      <c r="AP495" s="1277"/>
      <c r="AQ495" s="1276"/>
      <c r="AR495" s="1278"/>
      <c r="AS495" s="1278"/>
    </row>
    <row r="496" spans="1:45" ht="15.6">
      <c r="A496" s="1097" t="s">
        <v>53</v>
      </c>
      <c r="B496" s="1143" t="s">
        <v>920</v>
      </c>
      <c r="C496" s="1144" t="s">
        <v>921</v>
      </c>
      <c r="D496" s="1144" t="s">
        <v>922</v>
      </c>
      <c r="E496" s="1473" t="s">
        <v>433</v>
      </c>
      <c r="F496" s="856">
        <v>2024</v>
      </c>
      <c r="G496" s="1099">
        <v>45477</v>
      </c>
      <c r="H496" s="3">
        <v>200106720</v>
      </c>
      <c r="I496" s="1449" t="s">
        <v>1146</v>
      </c>
      <c r="J496" s="1144">
        <v>13</v>
      </c>
      <c r="K496" s="3" t="s">
        <v>60</v>
      </c>
      <c r="L496" s="3" t="s">
        <v>128</v>
      </c>
      <c r="M496" s="865">
        <v>466.5</v>
      </c>
      <c r="N496" s="858">
        <v>253.69</v>
      </c>
      <c r="O496" s="958">
        <v>45490</v>
      </c>
      <c r="P496" s="958">
        <v>45491</v>
      </c>
      <c r="Q496" s="3" t="s">
        <v>1147</v>
      </c>
      <c r="R496" s="785" t="s">
        <v>1148</v>
      </c>
      <c r="S496" s="851" t="s">
        <v>62</v>
      </c>
      <c r="T496" s="848"/>
      <c r="U496" s="786" t="s">
        <v>130</v>
      </c>
      <c r="V496" s="848"/>
      <c r="W496" s="858">
        <v>276.39999999999998</v>
      </c>
      <c r="X496" s="1282"/>
      <c r="Y496" s="958">
        <v>45491</v>
      </c>
      <c r="Z496" s="856" t="s">
        <v>62</v>
      </c>
      <c r="AA496" s="1076"/>
      <c r="AB496" s="1099">
        <v>45495</v>
      </c>
      <c r="AC496" s="1099">
        <v>45496</v>
      </c>
      <c r="AD496" s="1176">
        <f>390+338</f>
        <v>728</v>
      </c>
      <c r="AE496" s="1264">
        <f t="shared" si="62"/>
        <v>0.96296296296296291</v>
      </c>
      <c r="AF496" s="1342" t="s">
        <v>64</v>
      </c>
      <c r="AG496" s="1317">
        <v>1</v>
      </c>
      <c r="AH496" s="1248" t="s">
        <v>132</v>
      </c>
      <c r="AI496" s="1248">
        <v>45497</v>
      </c>
      <c r="AJ496" s="1248">
        <v>45497</v>
      </c>
      <c r="AK496" s="1285">
        <f>125500+113987</f>
        <v>239487</v>
      </c>
      <c r="AL496" s="1264">
        <f t="shared" si="63"/>
        <v>0.95794800000000002</v>
      </c>
      <c r="AM496" s="1343" t="s">
        <v>62</v>
      </c>
      <c r="AN496" s="1334">
        <v>1</v>
      </c>
      <c r="AO496" s="1276"/>
      <c r="AP496" s="1277"/>
      <c r="AQ496" s="1276"/>
      <c r="AR496" s="1278"/>
      <c r="AS496" s="1278"/>
    </row>
    <row r="497" spans="1:51" ht="15.6">
      <c r="A497" s="1097" t="s">
        <v>53</v>
      </c>
      <c r="B497" s="1143" t="s">
        <v>920</v>
      </c>
      <c r="C497" s="1144" t="s">
        <v>921</v>
      </c>
      <c r="D497" s="1144" t="s">
        <v>922</v>
      </c>
      <c r="E497" s="1473" t="s">
        <v>433</v>
      </c>
      <c r="F497" s="856">
        <v>2024</v>
      </c>
      <c r="G497" s="1099">
        <v>45477</v>
      </c>
      <c r="H497" s="3">
        <v>200106721</v>
      </c>
      <c r="I497" s="1449" t="s">
        <v>1149</v>
      </c>
      <c r="J497" s="1144">
        <v>14</v>
      </c>
      <c r="K497" s="3" t="s">
        <v>60</v>
      </c>
      <c r="L497" s="3" t="s">
        <v>128</v>
      </c>
      <c r="M497" s="865">
        <v>470.8</v>
      </c>
      <c r="N497" s="858">
        <v>259.89</v>
      </c>
      <c r="O497" s="958">
        <v>45490</v>
      </c>
      <c r="P497" s="958">
        <v>45491</v>
      </c>
      <c r="Q497" s="3" t="s">
        <v>1150</v>
      </c>
      <c r="R497" s="785" t="s">
        <v>1151</v>
      </c>
      <c r="S497" s="851" t="s">
        <v>62</v>
      </c>
      <c r="T497" s="848"/>
      <c r="U497" s="786" t="s">
        <v>130</v>
      </c>
      <c r="V497" s="848"/>
      <c r="W497" s="858">
        <v>282.7</v>
      </c>
      <c r="X497" s="1282"/>
      <c r="Y497" s="958">
        <v>45491</v>
      </c>
      <c r="Z497" s="856" t="s">
        <v>62</v>
      </c>
      <c r="AA497" s="1076"/>
      <c r="AB497" s="1099">
        <v>45496</v>
      </c>
      <c r="AC497" s="1099">
        <v>45496</v>
      </c>
      <c r="AD497" s="1176">
        <f>50+360+328</f>
        <v>738</v>
      </c>
      <c r="AE497" s="1264">
        <f t="shared" si="62"/>
        <v>0.97619047619047616</v>
      </c>
      <c r="AF497" s="1342" t="s">
        <v>64</v>
      </c>
      <c r="AG497" s="1317">
        <v>1</v>
      </c>
      <c r="AH497" s="1248" t="s">
        <v>132</v>
      </c>
      <c r="AI497" s="1248">
        <v>45498</v>
      </c>
      <c r="AJ497" s="1248">
        <v>45498</v>
      </c>
      <c r="AK497" s="1285">
        <f>158000+84939</f>
        <v>242939</v>
      </c>
      <c r="AL497" s="1264">
        <f t="shared" si="63"/>
        <v>0.97175599999999995</v>
      </c>
      <c r="AM497" s="1343" t="s">
        <v>62</v>
      </c>
      <c r="AN497" s="1334">
        <v>1</v>
      </c>
      <c r="AO497" s="1276"/>
      <c r="AP497" s="1277"/>
      <c r="AQ497" s="1276"/>
      <c r="AR497" s="1278"/>
      <c r="AS497" s="1278"/>
    </row>
    <row r="498" spans="1:51" ht="15.6">
      <c r="A498" s="1097" t="s">
        <v>53</v>
      </c>
      <c r="B498" s="1143" t="s">
        <v>920</v>
      </c>
      <c r="C498" s="1144" t="s">
        <v>921</v>
      </c>
      <c r="D498" s="1144" t="s">
        <v>922</v>
      </c>
      <c r="E498" s="1473" t="s">
        <v>433</v>
      </c>
      <c r="F498" s="856">
        <v>2024</v>
      </c>
      <c r="G498" s="1099">
        <v>45477</v>
      </c>
      <c r="H498" s="3">
        <v>200106722</v>
      </c>
      <c r="I498" s="1449" t="s">
        <v>1152</v>
      </c>
      <c r="J498" s="1144">
        <v>15</v>
      </c>
      <c r="K498" s="3" t="s">
        <v>60</v>
      </c>
      <c r="L498" s="3" t="s">
        <v>128</v>
      </c>
      <c r="M498" s="858">
        <v>462.6</v>
      </c>
      <c r="N498" s="858">
        <v>261.94</v>
      </c>
      <c r="O498" s="958">
        <v>45492</v>
      </c>
      <c r="P498" s="958">
        <v>45491</v>
      </c>
      <c r="Q498" s="785" t="s">
        <v>1153</v>
      </c>
      <c r="R498" s="3" t="s">
        <v>1154</v>
      </c>
      <c r="S498" s="851" t="s">
        <v>62</v>
      </c>
      <c r="T498" s="848"/>
      <c r="U498" s="786" t="s">
        <v>130</v>
      </c>
      <c r="V498" s="848"/>
      <c r="W498" s="858">
        <v>284.7</v>
      </c>
      <c r="X498" s="1282"/>
      <c r="Y498" s="958">
        <v>45491</v>
      </c>
      <c r="Z498" s="856" t="s">
        <v>62</v>
      </c>
      <c r="AA498" s="1076"/>
      <c r="AB498" s="1099">
        <v>45497</v>
      </c>
      <c r="AC498" s="1099">
        <v>45497</v>
      </c>
      <c r="AD498" s="1176">
        <f>205+340+187</f>
        <v>732</v>
      </c>
      <c r="AE498" s="1264">
        <f t="shared" si="62"/>
        <v>0.96825396825396826</v>
      </c>
      <c r="AF498" s="1342" t="s">
        <v>64</v>
      </c>
      <c r="AG498" s="1317">
        <v>1</v>
      </c>
      <c r="AH498" s="1248" t="s">
        <v>162</v>
      </c>
      <c r="AI498" s="1248">
        <v>45498</v>
      </c>
      <c r="AJ498" s="1248">
        <v>45499</v>
      </c>
      <c r="AK498" s="1285">
        <f>109446+103050+27893</f>
        <v>240389</v>
      </c>
      <c r="AL498" s="1264">
        <f t="shared" si="63"/>
        <v>0.96155599999999997</v>
      </c>
      <c r="AM498" s="1343" t="s">
        <v>62</v>
      </c>
      <c r="AN498" s="1334">
        <v>1</v>
      </c>
      <c r="AO498" s="1276"/>
      <c r="AP498" s="1277"/>
      <c r="AQ498" s="1276"/>
      <c r="AR498" s="1278"/>
      <c r="AS498" s="1278"/>
    </row>
    <row r="499" spans="1:51" ht="15.6">
      <c r="A499" s="1097" t="s">
        <v>53</v>
      </c>
      <c r="B499" s="1143" t="s">
        <v>920</v>
      </c>
      <c r="C499" s="1144" t="s">
        <v>921</v>
      </c>
      <c r="D499" s="1144" t="s">
        <v>922</v>
      </c>
      <c r="E499" s="1473" t="s">
        <v>433</v>
      </c>
      <c r="F499" s="856">
        <v>2024</v>
      </c>
      <c r="G499" s="1099">
        <v>45477</v>
      </c>
      <c r="H499" s="3">
        <v>200106723</v>
      </c>
      <c r="I499" s="1449" t="s">
        <v>1155</v>
      </c>
      <c r="J499" s="1144">
        <v>16</v>
      </c>
      <c r="K499" s="3" t="s">
        <v>60</v>
      </c>
      <c r="L499" s="3" t="s">
        <v>128</v>
      </c>
      <c r="M499" s="858">
        <v>465.4</v>
      </c>
      <c r="N499" s="858">
        <v>262.06</v>
      </c>
      <c r="O499" s="958">
        <v>45492</v>
      </c>
      <c r="P499" s="958">
        <v>45491</v>
      </c>
      <c r="Q499" s="785" t="s">
        <v>1156</v>
      </c>
      <c r="R499" s="3" t="s">
        <v>1157</v>
      </c>
      <c r="S499" s="851" t="s">
        <v>62</v>
      </c>
      <c r="T499" s="848"/>
      <c r="U499" s="786" t="s">
        <v>130</v>
      </c>
      <c r="V499" s="848"/>
      <c r="W499" s="858">
        <v>284.8</v>
      </c>
      <c r="X499" s="1282"/>
      <c r="Y499" s="958">
        <v>45491</v>
      </c>
      <c r="Z499" s="856" t="s">
        <v>62</v>
      </c>
      <c r="AA499" s="1076"/>
      <c r="AB499" s="1099">
        <v>45497</v>
      </c>
      <c r="AC499" s="1099">
        <v>45498</v>
      </c>
      <c r="AD499" s="1176">
        <f>65+420+250</f>
        <v>735</v>
      </c>
      <c r="AE499" s="1264">
        <f t="shared" si="62"/>
        <v>0.97222222222222221</v>
      </c>
      <c r="AF499" s="1342" t="s">
        <v>64</v>
      </c>
      <c r="AG499" s="1317">
        <v>1</v>
      </c>
      <c r="AH499" s="1248" t="s">
        <v>132</v>
      </c>
      <c r="AI499" s="1248">
        <v>45498</v>
      </c>
      <c r="AJ499" s="1248">
        <v>45499</v>
      </c>
      <c r="AK499" s="1285">
        <f>107000+132600+2380</f>
        <v>241980</v>
      </c>
      <c r="AL499" s="1264">
        <f t="shared" si="63"/>
        <v>0.96792</v>
      </c>
      <c r="AM499" s="1343" t="s">
        <v>62</v>
      </c>
      <c r="AN499" s="1334">
        <v>1</v>
      </c>
      <c r="AO499" s="1276"/>
      <c r="AP499" s="1277"/>
      <c r="AQ499" s="1276"/>
      <c r="AR499" s="1278"/>
      <c r="AS499" s="1278"/>
    </row>
    <row r="500" spans="1:51" ht="15.6">
      <c r="A500" s="1097" t="s">
        <v>53</v>
      </c>
      <c r="B500" s="1143" t="s">
        <v>920</v>
      </c>
      <c r="C500" s="1144" t="s">
        <v>921</v>
      </c>
      <c r="D500" s="1144" t="s">
        <v>922</v>
      </c>
      <c r="E500" s="1473" t="s">
        <v>433</v>
      </c>
      <c r="F500" s="856">
        <v>2024</v>
      </c>
      <c r="G500" s="1099">
        <v>45477</v>
      </c>
      <c r="H500" s="3">
        <v>200106724</v>
      </c>
      <c r="I500" s="1449" t="s">
        <v>1158</v>
      </c>
      <c r="J500" s="1144">
        <v>17</v>
      </c>
      <c r="K500" s="3" t="s">
        <v>60</v>
      </c>
      <c r="L500" s="3" t="s">
        <v>128</v>
      </c>
      <c r="M500" s="858">
        <v>470.8</v>
      </c>
      <c r="N500" s="858">
        <v>258.07</v>
      </c>
      <c r="O500" s="958">
        <v>45492</v>
      </c>
      <c r="P500" s="958">
        <v>45492</v>
      </c>
      <c r="Q500" s="3" t="s">
        <v>1159</v>
      </c>
      <c r="R500" s="3" t="s">
        <v>1160</v>
      </c>
      <c r="S500" s="851" t="s">
        <v>62</v>
      </c>
      <c r="T500" s="848"/>
      <c r="U500" s="786" t="s">
        <v>130</v>
      </c>
      <c r="V500" s="848"/>
      <c r="W500" s="858">
        <v>280.60000000000002</v>
      </c>
      <c r="X500" s="1282"/>
      <c r="Y500" s="958">
        <v>45496</v>
      </c>
      <c r="Z500" s="856" t="s">
        <v>62</v>
      </c>
      <c r="AA500" s="1076"/>
      <c r="AB500" s="1099">
        <v>45498</v>
      </c>
      <c r="AC500" s="1099">
        <v>45499</v>
      </c>
      <c r="AD500" s="1176">
        <f>130+510+91</f>
        <v>731</v>
      </c>
      <c r="AE500" s="1264">
        <f t="shared" si="62"/>
        <v>0.96693121693121697</v>
      </c>
      <c r="AF500" s="1342" t="s">
        <v>64</v>
      </c>
      <c r="AG500" s="1317">
        <v>1</v>
      </c>
      <c r="AH500" s="1248" t="s">
        <v>162</v>
      </c>
      <c r="AI500" s="1248">
        <v>45499</v>
      </c>
      <c r="AJ500" s="1248">
        <v>45502</v>
      </c>
      <c r="AK500" s="1285">
        <f>81523+97800+60769</f>
        <v>240092</v>
      </c>
      <c r="AL500" s="1264">
        <f t="shared" si="63"/>
        <v>0.960368</v>
      </c>
      <c r="AM500" s="1343" t="s">
        <v>62</v>
      </c>
      <c r="AN500" s="1334">
        <v>1</v>
      </c>
      <c r="AO500" s="1276"/>
      <c r="AP500" s="1277"/>
      <c r="AQ500" s="1276"/>
      <c r="AR500" s="1278"/>
      <c r="AS500" s="1278"/>
    </row>
    <row r="501" spans="1:51" ht="15.6">
      <c r="A501" s="1097" t="s">
        <v>53</v>
      </c>
      <c r="B501" s="1143"/>
      <c r="C501" s="1144"/>
      <c r="D501" s="1144"/>
      <c r="E501" s="1098"/>
      <c r="F501" s="1098"/>
      <c r="G501" s="1099"/>
      <c r="H501" s="3"/>
      <c r="I501" s="3"/>
      <c r="J501" s="1144"/>
      <c r="K501" s="807"/>
      <c r="L501" s="807"/>
      <c r="M501" s="820"/>
      <c r="N501" s="837"/>
      <c r="O501" s="819"/>
      <c r="P501" s="983"/>
      <c r="Q501" s="807"/>
      <c r="R501" s="807"/>
      <c r="S501" s="851"/>
      <c r="T501" s="807"/>
      <c r="U501" s="807"/>
      <c r="V501" s="807"/>
      <c r="W501" s="837"/>
      <c r="X501" s="983"/>
      <c r="Y501" s="983"/>
      <c r="Z501" s="856"/>
      <c r="AA501" s="1076"/>
      <c r="AB501" s="1099"/>
      <c r="AC501" s="1099"/>
      <c r="AD501" s="1176"/>
      <c r="AE501" s="1264"/>
      <c r="AF501" s="1342"/>
      <c r="AG501" s="1317"/>
      <c r="AH501" s="1248"/>
      <c r="AI501" s="1248"/>
      <c r="AJ501" s="1248"/>
      <c r="AK501" s="1285"/>
      <c r="AL501" s="1264"/>
      <c r="AM501" s="1331"/>
      <c r="AN501" s="1334"/>
      <c r="AO501" s="1276"/>
      <c r="AP501" s="1277"/>
      <c r="AQ501" s="1276"/>
      <c r="AR501" s="1278"/>
      <c r="AS501" s="1278"/>
    </row>
    <row r="502" spans="1:51" ht="15.6">
      <c r="A502" s="1097" t="s">
        <v>53</v>
      </c>
      <c r="B502" s="1143" t="s">
        <v>920</v>
      </c>
      <c r="C502" s="1144" t="s">
        <v>921</v>
      </c>
      <c r="D502" s="1144" t="s">
        <v>922</v>
      </c>
      <c r="E502" s="1473" t="s">
        <v>100</v>
      </c>
      <c r="F502" s="856">
        <v>2024</v>
      </c>
      <c r="G502" s="1099">
        <v>45492</v>
      </c>
      <c r="H502" s="3">
        <v>200106805</v>
      </c>
      <c r="I502" s="1456" t="s">
        <v>1161</v>
      </c>
      <c r="J502" s="1144">
        <v>1</v>
      </c>
      <c r="K502" s="3" t="s">
        <v>60</v>
      </c>
      <c r="L502" s="3" t="s">
        <v>128</v>
      </c>
      <c r="M502" s="858">
        <v>460.1</v>
      </c>
      <c r="N502" s="858">
        <v>257.39999999999998</v>
      </c>
      <c r="O502" s="958">
        <v>45496</v>
      </c>
      <c r="P502" s="958">
        <v>45496</v>
      </c>
      <c r="Q502" s="3" t="s">
        <v>1162</v>
      </c>
      <c r="R502" s="785" t="s">
        <v>1163</v>
      </c>
      <c r="S502" s="851" t="s">
        <v>62</v>
      </c>
      <c r="T502" s="848"/>
      <c r="U502" s="786" t="s">
        <v>130</v>
      </c>
      <c r="V502" s="848"/>
      <c r="W502" s="858">
        <v>280.3</v>
      </c>
      <c r="X502" s="1282"/>
      <c r="Y502" s="958">
        <v>45496</v>
      </c>
      <c r="Z502" s="856" t="s">
        <v>62</v>
      </c>
      <c r="AA502" s="1076"/>
      <c r="AB502" s="1099">
        <v>45499</v>
      </c>
      <c r="AC502" s="1099">
        <v>45502</v>
      </c>
      <c r="AD502" s="1176">
        <f>235+415+76</f>
        <v>726</v>
      </c>
      <c r="AE502" s="1264">
        <f t="shared" ref="AE502:AE518" si="64">AD502/756</f>
        <v>0.96031746031746035</v>
      </c>
      <c r="AF502" s="1342" t="s">
        <v>64</v>
      </c>
      <c r="AG502" s="1317">
        <v>1</v>
      </c>
      <c r="AH502" s="1248" t="s">
        <v>162</v>
      </c>
      <c r="AI502" s="1248">
        <v>45502</v>
      </c>
      <c r="AJ502" s="1248">
        <v>45503</v>
      </c>
      <c r="AK502" s="1285">
        <f>27208+105670+105399</f>
        <v>238277</v>
      </c>
      <c r="AL502" s="1264">
        <f t="shared" ref="AL502:AL519" si="65">AK502/250000</f>
        <v>0.95310799999999996</v>
      </c>
      <c r="AM502" s="1343" t="s">
        <v>62</v>
      </c>
      <c r="AN502" s="1334">
        <v>1</v>
      </c>
      <c r="AO502" s="1276"/>
      <c r="AP502" s="1277"/>
      <c r="AQ502" s="1276"/>
      <c r="AR502" s="1278"/>
      <c r="AS502" s="1278"/>
    </row>
    <row r="503" spans="1:51" ht="15.6">
      <c r="A503" s="1097" t="s">
        <v>53</v>
      </c>
      <c r="B503" s="1143" t="s">
        <v>920</v>
      </c>
      <c r="C503" s="1144" t="s">
        <v>921</v>
      </c>
      <c r="D503" s="1144" t="s">
        <v>922</v>
      </c>
      <c r="E503" s="1473" t="s">
        <v>100</v>
      </c>
      <c r="F503" s="856">
        <v>2024</v>
      </c>
      <c r="G503" s="1099">
        <v>45492</v>
      </c>
      <c r="H503" s="3">
        <v>200106806</v>
      </c>
      <c r="I503" s="1456" t="s">
        <v>1164</v>
      </c>
      <c r="J503" s="1144">
        <v>2</v>
      </c>
      <c r="K503" s="3" t="s">
        <v>60</v>
      </c>
      <c r="L503" s="3" t="s">
        <v>128</v>
      </c>
      <c r="M503" s="858">
        <v>469.4</v>
      </c>
      <c r="N503" s="858">
        <v>260.73</v>
      </c>
      <c r="O503" s="958">
        <v>45496</v>
      </c>
      <c r="P503" s="958">
        <v>45496</v>
      </c>
      <c r="Q503" s="3" t="s">
        <v>1165</v>
      </c>
      <c r="R503" s="785" t="s">
        <v>1166</v>
      </c>
      <c r="S503" s="851" t="s">
        <v>62</v>
      </c>
      <c r="T503" s="848"/>
      <c r="U503" s="786" t="s">
        <v>130</v>
      </c>
      <c r="V503" s="848"/>
      <c r="W503" s="858">
        <v>283.60000000000002</v>
      </c>
      <c r="X503" s="1282"/>
      <c r="Y503" s="958">
        <v>45496</v>
      </c>
      <c r="Z503" s="856" t="s">
        <v>62</v>
      </c>
      <c r="AA503" s="1076"/>
      <c r="AB503" s="1099">
        <v>45502</v>
      </c>
      <c r="AC503" s="1099">
        <v>45502</v>
      </c>
      <c r="AD503" s="1176">
        <f>300+377+56</f>
        <v>733</v>
      </c>
      <c r="AE503" s="1264">
        <f t="shared" si="64"/>
        <v>0.96957671957671954</v>
      </c>
      <c r="AF503" s="1342" t="s">
        <v>64</v>
      </c>
      <c r="AG503" s="1317">
        <v>1</v>
      </c>
      <c r="AH503" s="1248" t="s">
        <v>132</v>
      </c>
      <c r="AI503" s="1248">
        <v>45504</v>
      </c>
      <c r="AJ503" s="1248">
        <v>45504</v>
      </c>
      <c r="AK503" s="1285">
        <f>103100+19000+90006</f>
        <v>212106</v>
      </c>
      <c r="AL503" s="1264">
        <f t="shared" si="65"/>
        <v>0.84842399999999996</v>
      </c>
      <c r="AM503" s="1343" t="s">
        <v>62</v>
      </c>
      <c r="AN503" s="1334">
        <v>1</v>
      </c>
      <c r="AO503" s="1276"/>
      <c r="AP503" s="1277"/>
      <c r="AQ503" s="1276"/>
      <c r="AR503" s="1278"/>
      <c r="AS503" s="1278"/>
    </row>
    <row r="504" spans="1:51" ht="15.6">
      <c r="A504" s="1097" t="s">
        <v>53</v>
      </c>
      <c r="B504" s="1143" t="s">
        <v>920</v>
      </c>
      <c r="C504" s="1144" t="s">
        <v>921</v>
      </c>
      <c r="D504" s="1144" t="s">
        <v>922</v>
      </c>
      <c r="E504" s="1473" t="s">
        <v>100</v>
      </c>
      <c r="F504" s="856">
        <v>2024</v>
      </c>
      <c r="G504" s="1099">
        <v>45505</v>
      </c>
      <c r="H504" s="3">
        <v>200107050</v>
      </c>
      <c r="I504" s="1438" t="s">
        <v>1167</v>
      </c>
      <c r="J504" s="1144">
        <v>3</v>
      </c>
      <c r="K504" s="3" t="s">
        <v>60</v>
      </c>
      <c r="L504" s="3" t="s">
        <v>128</v>
      </c>
      <c r="M504" s="858">
        <v>461.5</v>
      </c>
      <c r="N504" s="865">
        <v>255.72</v>
      </c>
      <c r="O504" s="958">
        <v>45512</v>
      </c>
      <c r="P504" s="958">
        <v>45512</v>
      </c>
      <c r="Q504" s="3" t="s">
        <v>1168</v>
      </c>
      <c r="R504" s="785" t="s">
        <v>1169</v>
      </c>
      <c r="S504" s="851" t="s">
        <v>62</v>
      </c>
      <c r="T504" s="848"/>
      <c r="U504" s="786" t="s">
        <v>130</v>
      </c>
      <c r="V504" s="848"/>
      <c r="W504" s="865">
        <v>278.8</v>
      </c>
      <c r="X504" s="1282"/>
      <c r="Y504" s="958">
        <v>45513</v>
      </c>
      <c r="Z504" s="856" t="s">
        <v>62</v>
      </c>
      <c r="AA504" s="1076"/>
      <c r="AB504" s="1099">
        <v>45516</v>
      </c>
      <c r="AC504" s="1099">
        <v>45516</v>
      </c>
      <c r="AD504" s="1176">
        <f>290+370+67</f>
        <v>727</v>
      </c>
      <c r="AE504" s="1264">
        <f t="shared" si="64"/>
        <v>0.96164021164021163</v>
      </c>
      <c r="AF504" s="1342" t="s">
        <v>64</v>
      </c>
      <c r="AG504" s="1317">
        <v>1</v>
      </c>
      <c r="AH504" s="1248" t="s">
        <v>162</v>
      </c>
      <c r="AI504" s="1248">
        <v>45518</v>
      </c>
      <c r="AJ504" s="1248">
        <v>45519</v>
      </c>
      <c r="AK504" s="1285">
        <f>72754+107128+59847</f>
        <v>239729</v>
      </c>
      <c r="AL504" s="1264">
        <f t="shared" si="65"/>
        <v>0.95891599999999999</v>
      </c>
      <c r="AM504" s="1343" t="s">
        <v>62</v>
      </c>
      <c r="AN504" s="1334">
        <v>1</v>
      </c>
      <c r="AO504" s="1276"/>
      <c r="AP504" s="1277"/>
      <c r="AQ504" s="1276"/>
      <c r="AR504" s="1278"/>
      <c r="AS504" s="1278"/>
    </row>
    <row r="505" spans="1:51" ht="15.6">
      <c r="A505" s="1097" t="s">
        <v>53</v>
      </c>
      <c r="B505" s="1143" t="s">
        <v>920</v>
      </c>
      <c r="C505" s="1144" t="s">
        <v>921</v>
      </c>
      <c r="D505" s="1144" t="s">
        <v>922</v>
      </c>
      <c r="E505" s="1473" t="s">
        <v>100</v>
      </c>
      <c r="F505" s="856">
        <v>2024</v>
      </c>
      <c r="G505" s="1099">
        <v>45505</v>
      </c>
      <c r="H505" s="3">
        <v>200107051</v>
      </c>
      <c r="I505" s="1438" t="s">
        <v>1170</v>
      </c>
      <c r="J505" s="1144">
        <v>4</v>
      </c>
      <c r="K505" s="3" t="s">
        <v>60</v>
      </c>
      <c r="L505" s="3" t="s">
        <v>128</v>
      </c>
      <c r="M505" s="858">
        <v>467.9</v>
      </c>
      <c r="N505" s="865">
        <v>258.35000000000002</v>
      </c>
      <c r="O505" s="958">
        <v>45512</v>
      </c>
      <c r="P505" s="958">
        <v>45512</v>
      </c>
      <c r="Q505" s="3" t="s">
        <v>1171</v>
      </c>
      <c r="R505" s="3" t="s">
        <v>1172</v>
      </c>
      <c r="S505" s="851" t="s">
        <v>62</v>
      </c>
      <c r="T505" s="848"/>
      <c r="U505" s="786" t="s">
        <v>130</v>
      </c>
      <c r="V505" s="848"/>
      <c r="W505" s="865">
        <v>281.39999999999998</v>
      </c>
      <c r="X505" s="1282"/>
      <c r="Y505" s="958">
        <v>45513</v>
      </c>
      <c r="Z505" s="856" t="s">
        <v>62</v>
      </c>
      <c r="AA505" s="1076"/>
      <c r="AB505" s="1099">
        <v>45516</v>
      </c>
      <c r="AC505" s="1099">
        <v>45516</v>
      </c>
      <c r="AD505" s="1176">
        <f>35+420+281</f>
        <v>736</v>
      </c>
      <c r="AE505" s="1264">
        <f t="shared" si="64"/>
        <v>0.97354497354497349</v>
      </c>
      <c r="AF505" s="1342" t="s">
        <v>64</v>
      </c>
      <c r="AG505" s="1317">
        <v>1</v>
      </c>
      <c r="AH505" s="1248" t="s">
        <v>162</v>
      </c>
      <c r="AI505" s="1248">
        <v>45519</v>
      </c>
      <c r="AJ505" s="1248">
        <v>45520</v>
      </c>
      <c r="AK505" s="1285">
        <f>6835+100000+96286+39756</f>
        <v>242877</v>
      </c>
      <c r="AL505" s="1264">
        <f t="shared" si="65"/>
        <v>0.97150800000000004</v>
      </c>
      <c r="AM505" s="1343" t="s">
        <v>62</v>
      </c>
      <c r="AN505" s="1334">
        <v>1</v>
      </c>
      <c r="AO505" s="1276">
        <f>1000+1380</f>
        <v>2380</v>
      </c>
      <c r="AP505" s="1277">
        <v>45527</v>
      </c>
      <c r="AQ505" s="1276" t="s">
        <v>162</v>
      </c>
      <c r="AR505" s="1278">
        <v>160</v>
      </c>
      <c r="AS505" s="1278">
        <v>145</v>
      </c>
      <c r="AU505" s="784">
        <v>0.04</v>
      </c>
      <c r="AV505" s="784">
        <v>2</v>
      </c>
      <c r="AW505" s="1184">
        <v>2</v>
      </c>
      <c r="AY505" s="784">
        <v>24</v>
      </c>
    </row>
    <row r="506" spans="1:51" ht="15.6">
      <c r="A506" s="1097" t="s">
        <v>53</v>
      </c>
      <c r="B506" s="1143" t="s">
        <v>920</v>
      </c>
      <c r="C506" s="1144" t="s">
        <v>921</v>
      </c>
      <c r="D506" s="1144" t="s">
        <v>922</v>
      </c>
      <c r="E506" s="1473" t="s">
        <v>100</v>
      </c>
      <c r="F506" s="856">
        <v>2024</v>
      </c>
      <c r="G506" s="1099">
        <v>45505</v>
      </c>
      <c r="H506" s="3">
        <v>200107052</v>
      </c>
      <c r="I506" s="1438" t="s">
        <v>1173</v>
      </c>
      <c r="J506" s="1144">
        <v>5</v>
      </c>
      <c r="K506" s="3" t="s">
        <v>60</v>
      </c>
      <c r="L506" s="3" t="s">
        <v>128</v>
      </c>
      <c r="M506" s="858">
        <v>464.4</v>
      </c>
      <c r="N506" s="865">
        <v>258.35000000000002</v>
      </c>
      <c r="O506" s="958">
        <v>45512</v>
      </c>
      <c r="P506" s="958">
        <v>45512</v>
      </c>
      <c r="Q506" s="3" t="s">
        <v>1174</v>
      </c>
      <c r="R506" s="3" t="s">
        <v>1175</v>
      </c>
      <c r="S506" s="851" t="s">
        <v>62</v>
      </c>
      <c r="T506" s="848"/>
      <c r="U506" s="786" t="s">
        <v>130</v>
      </c>
      <c r="V506" s="848"/>
      <c r="W506" s="858">
        <v>283.5</v>
      </c>
      <c r="X506" s="1282"/>
      <c r="Y506" s="958">
        <v>45513</v>
      </c>
      <c r="Z506" s="856" t="s">
        <v>62</v>
      </c>
      <c r="AA506" s="1076"/>
      <c r="AB506" s="1099">
        <v>45516</v>
      </c>
      <c r="AC506" s="1099">
        <v>45517</v>
      </c>
      <c r="AD506" s="1176">
        <f>310+426</f>
        <v>736</v>
      </c>
      <c r="AE506" s="1264">
        <f t="shared" si="64"/>
        <v>0.97354497354497349</v>
      </c>
      <c r="AF506" s="1342" t="s">
        <v>64</v>
      </c>
      <c r="AG506" s="1317">
        <v>1</v>
      </c>
      <c r="AH506" s="1248" t="s">
        <v>132</v>
      </c>
      <c r="AI506" s="1248">
        <v>45519</v>
      </c>
      <c r="AJ506" s="1248">
        <v>45520</v>
      </c>
      <c r="AK506" s="1285">
        <f>150400+92410</f>
        <v>242810</v>
      </c>
      <c r="AL506" s="1264">
        <f t="shared" si="65"/>
        <v>0.97123999999999999</v>
      </c>
      <c r="AM506" s="1343" t="s">
        <v>62</v>
      </c>
      <c r="AN506" s="1334">
        <v>1</v>
      </c>
      <c r="AO506" s="1276"/>
      <c r="AP506" s="1277"/>
      <c r="AQ506" s="1276"/>
      <c r="AR506" s="1278"/>
      <c r="AS506" s="1278"/>
    </row>
    <row r="507" spans="1:51" ht="15.6">
      <c r="A507" s="1097" t="s">
        <v>53</v>
      </c>
      <c r="B507" s="1143" t="s">
        <v>920</v>
      </c>
      <c r="C507" s="1144" t="s">
        <v>921</v>
      </c>
      <c r="D507" s="1144" t="s">
        <v>922</v>
      </c>
      <c r="E507" s="1473" t="s">
        <v>100</v>
      </c>
      <c r="F507" s="856">
        <v>2024</v>
      </c>
      <c r="G507" s="1099">
        <v>45505</v>
      </c>
      <c r="H507" s="3">
        <v>200107053</v>
      </c>
      <c r="I507" s="1438" t="s">
        <v>1176</v>
      </c>
      <c r="J507" s="1144">
        <v>6</v>
      </c>
      <c r="K507" s="3" t="s">
        <v>60</v>
      </c>
      <c r="L507" s="3" t="s">
        <v>128</v>
      </c>
      <c r="M507" s="858">
        <v>473.2</v>
      </c>
      <c r="N507" s="865">
        <v>258.16000000000003</v>
      </c>
      <c r="O507" s="958">
        <v>45512</v>
      </c>
      <c r="P507" s="958">
        <v>45513</v>
      </c>
      <c r="Q507" s="3" t="s">
        <v>1177</v>
      </c>
      <c r="R507" s="785" t="s">
        <v>1178</v>
      </c>
      <c r="S507" s="851" t="s">
        <v>62</v>
      </c>
      <c r="T507" s="848"/>
      <c r="U507" s="786" t="s">
        <v>130</v>
      </c>
      <c r="V507" s="848"/>
      <c r="W507" s="865">
        <v>281.10000000000002</v>
      </c>
      <c r="X507" s="1282"/>
      <c r="Y507" s="958">
        <v>45516</v>
      </c>
      <c r="Z507" s="856" t="s">
        <v>62</v>
      </c>
      <c r="AA507" s="1076"/>
      <c r="AB507" s="1099">
        <v>45516</v>
      </c>
      <c r="AC507" s="1099">
        <v>45517</v>
      </c>
      <c r="AD507" s="1176">
        <f>135+450+159</f>
        <v>744</v>
      </c>
      <c r="AE507" s="1264">
        <f t="shared" si="64"/>
        <v>0.98412698412698407</v>
      </c>
      <c r="AF507" s="1342" t="s">
        <v>64</v>
      </c>
      <c r="AG507" s="1317">
        <v>1</v>
      </c>
      <c r="AH507" s="1248" t="s">
        <v>162</v>
      </c>
      <c r="AI507" s="1248">
        <v>45520</v>
      </c>
      <c r="AJ507" s="1248">
        <v>45523</v>
      </c>
      <c r="AK507" s="1285">
        <f>20250+73836+100248+51167</f>
        <v>245501</v>
      </c>
      <c r="AL507" s="1264">
        <f t="shared" si="65"/>
        <v>0.98200399999999999</v>
      </c>
      <c r="AM507" s="1343" t="s">
        <v>62</v>
      </c>
      <c r="AN507" s="1334">
        <v>1</v>
      </c>
      <c r="AO507" s="1276">
        <v>3544</v>
      </c>
      <c r="AP507" s="1277">
        <v>45527</v>
      </c>
      <c r="AQ507" s="1276" t="s">
        <v>162</v>
      </c>
      <c r="AR507" s="1278">
        <v>160</v>
      </c>
      <c r="AS507" s="1278">
        <v>145</v>
      </c>
      <c r="AU507" s="784">
        <v>1.5</v>
      </c>
      <c r="AV507" s="784">
        <v>8</v>
      </c>
      <c r="AW507" s="1184">
        <v>6.7</v>
      </c>
    </row>
    <row r="508" spans="1:51" ht="15.6">
      <c r="A508" s="1097" t="s">
        <v>53</v>
      </c>
      <c r="B508" s="1143" t="s">
        <v>920</v>
      </c>
      <c r="C508" s="1144" t="s">
        <v>921</v>
      </c>
      <c r="D508" s="1144" t="s">
        <v>922</v>
      </c>
      <c r="E508" s="1473" t="s">
        <v>100</v>
      </c>
      <c r="F508" s="856">
        <v>2024</v>
      </c>
      <c r="G508" s="1099">
        <v>45505</v>
      </c>
      <c r="H508" s="3">
        <v>200107054</v>
      </c>
      <c r="I508" s="1438" t="s">
        <v>1179</v>
      </c>
      <c r="J508" s="1144">
        <v>7</v>
      </c>
      <c r="K508" s="3" t="s">
        <v>60</v>
      </c>
      <c r="L508" s="3" t="s">
        <v>128</v>
      </c>
      <c r="M508" s="858">
        <v>462.9</v>
      </c>
      <c r="N508" s="858">
        <v>256.47000000000003</v>
      </c>
      <c r="O508" s="958">
        <v>45513</v>
      </c>
      <c r="P508" s="958">
        <v>45513</v>
      </c>
      <c r="Q508" s="3" t="s">
        <v>1180</v>
      </c>
      <c r="R508" s="3" t="s">
        <v>1181</v>
      </c>
      <c r="S508" s="851" t="s">
        <v>62</v>
      </c>
      <c r="T508" s="848"/>
      <c r="U508" s="786" t="s">
        <v>130</v>
      </c>
      <c r="V508" s="848"/>
      <c r="W508" s="865">
        <v>279.5</v>
      </c>
      <c r="X508" s="1282"/>
      <c r="Y508" s="958">
        <v>45516</v>
      </c>
      <c r="Z508" s="856" t="s">
        <v>62</v>
      </c>
      <c r="AA508" s="1076"/>
      <c r="AB508" s="1099">
        <v>45517</v>
      </c>
      <c r="AC508" s="1099">
        <v>45517</v>
      </c>
      <c r="AD508" s="1176">
        <f>405+323</f>
        <v>728</v>
      </c>
      <c r="AE508" s="1264">
        <f t="shared" si="64"/>
        <v>0.96296296296296291</v>
      </c>
      <c r="AF508" s="1342" t="s">
        <v>64</v>
      </c>
      <c r="AG508" s="1317">
        <v>1</v>
      </c>
      <c r="AH508" s="1248" t="s">
        <v>132</v>
      </c>
      <c r="AI508" s="1248">
        <v>45520</v>
      </c>
      <c r="AJ508" s="1248">
        <v>45523</v>
      </c>
      <c r="AK508" s="1285">
        <f>8400+56600+147900+27154</f>
        <v>240054</v>
      </c>
      <c r="AL508" s="1264">
        <f t="shared" si="65"/>
        <v>0.96021599999999996</v>
      </c>
      <c r="AM508" s="1343" t="s">
        <v>62</v>
      </c>
      <c r="AN508" s="1334">
        <v>1</v>
      </c>
      <c r="AO508" s="1276"/>
      <c r="AP508" s="1277"/>
      <c r="AQ508" s="1276"/>
      <c r="AR508" s="1278">
        <v>200</v>
      </c>
      <c r="AS508" s="1278">
        <v>120</v>
      </c>
      <c r="AT508" s="784">
        <v>150</v>
      </c>
      <c r="AU508" s="784">
        <v>0.8</v>
      </c>
      <c r="AV508" s="784">
        <v>5.2</v>
      </c>
      <c r="AW508" s="1184">
        <v>2.8</v>
      </c>
    </row>
    <row r="509" spans="1:51" ht="15.6">
      <c r="A509" s="1097" t="s">
        <v>53</v>
      </c>
      <c r="B509" s="1143" t="s">
        <v>920</v>
      </c>
      <c r="C509" s="1144" t="s">
        <v>921</v>
      </c>
      <c r="D509" s="1144" t="s">
        <v>922</v>
      </c>
      <c r="E509" s="1473" t="s">
        <v>100</v>
      </c>
      <c r="F509" s="856">
        <v>2024</v>
      </c>
      <c r="G509" s="1099">
        <v>45505</v>
      </c>
      <c r="H509" s="3">
        <v>200107055</v>
      </c>
      <c r="I509" s="1438" t="s">
        <v>1182</v>
      </c>
      <c r="J509" s="1144">
        <v>8</v>
      </c>
      <c r="K509" s="3" t="s">
        <v>60</v>
      </c>
      <c r="L509" s="3" t="s">
        <v>128</v>
      </c>
      <c r="M509" s="858">
        <v>467.9</v>
      </c>
      <c r="N509" s="858">
        <v>260.88</v>
      </c>
      <c r="O509" s="958">
        <v>45513</v>
      </c>
      <c r="P509" s="958">
        <v>45513</v>
      </c>
      <c r="Q509" s="3" t="s">
        <v>1183</v>
      </c>
      <c r="R509" s="3" t="s">
        <v>1184</v>
      </c>
      <c r="S509" s="851" t="s">
        <v>62</v>
      </c>
      <c r="T509" s="848"/>
      <c r="U509" s="786" t="s">
        <v>130</v>
      </c>
      <c r="V509" s="848"/>
      <c r="W509" s="865">
        <v>284</v>
      </c>
      <c r="X509" s="1282"/>
      <c r="Y509" s="958">
        <v>45516</v>
      </c>
      <c r="Z509" s="856" t="s">
        <v>62</v>
      </c>
      <c r="AA509" s="1076"/>
      <c r="AB509" s="1099">
        <v>45517</v>
      </c>
      <c r="AC509" s="1099">
        <v>45518</v>
      </c>
      <c r="AD509" s="1176">
        <f>235+440+65</f>
        <v>740</v>
      </c>
      <c r="AE509" s="1264">
        <f t="shared" si="64"/>
        <v>0.97883597883597884</v>
      </c>
      <c r="AF509" s="1342" t="s">
        <v>64</v>
      </c>
      <c r="AG509" s="1317">
        <v>1</v>
      </c>
      <c r="AH509" s="1248" t="s">
        <v>132</v>
      </c>
      <c r="AI509" s="1248">
        <v>45523</v>
      </c>
      <c r="AJ509" s="1248">
        <v>45523</v>
      </c>
      <c r="AK509" s="1285">
        <f>107000+137306</f>
        <v>244306</v>
      </c>
      <c r="AL509" s="1264">
        <f t="shared" si="65"/>
        <v>0.97722399999999998</v>
      </c>
      <c r="AM509" s="1343" t="s">
        <v>62</v>
      </c>
      <c r="AN509" s="1334">
        <v>1</v>
      </c>
      <c r="AO509" s="1276"/>
      <c r="AP509" s="1277"/>
      <c r="AQ509" s="1276"/>
      <c r="AR509" s="1278">
        <v>200</v>
      </c>
      <c r="AS509" s="1278">
        <v>120</v>
      </c>
      <c r="AT509" s="784">
        <f>130+93</f>
        <v>223</v>
      </c>
      <c r="AU509" s="784">
        <v>0.26</v>
      </c>
      <c r="AV509" s="784">
        <v>23.9</v>
      </c>
      <c r="AW509" s="1184">
        <v>17.8</v>
      </c>
    </row>
    <row r="510" spans="1:51" ht="15.6">
      <c r="A510" s="1097" t="s">
        <v>53</v>
      </c>
      <c r="B510" s="1143" t="s">
        <v>920</v>
      </c>
      <c r="C510" s="1144" t="s">
        <v>921</v>
      </c>
      <c r="D510" s="1144" t="s">
        <v>922</v>
      </c>
      <c r="E510" s="1473" t="s">
        <v>100</v>
      </c>
      <c r="F510" s="856">
        <v>2024</v>
      </c>
      <c r="G510" s="1099">
        <v>45505</v>
      </c>
      <c r="H510" s="3">
        <v>200107056</v>
      </c>
      <c r="I510" s="1438" t="s">
        <v>1185</v>
      </c>
      <c r="J510" s="1144">
        <v>9</v>
      </c>
      <c r="K510" s="3" t="s">
        <v>60</v>
      </c>
      <c r="L510" s="3" t="s">
        <v>128</v>
      </c>
      <c r="M510" s="858">
        <v>467.6</v>
      </c>
      <c r="N510" s="3">
        <v>259.02</v>
      </c>
      <c r="O510" s="958">
        <v>45513</v>
      </c>
      <c r="P510" s="958">
        <v>45513</v>
      </c>
      <c r="Q510" s="3" t="s">
        <v>1186</v>
      </c>
      <c r="R510" s="784" t="s">
        <v>1187</v>
      </c>
      <c r="S510" s="851" t="s">
        <v>62</v>
      </c>
      <c r="T510" s="848"/>
      <c r="U510" s="786" t="s">
        <v>130</v>
      </c>
      <c r="V510" s="848"/>
      <c r="W510" s="865">
        <v>282</v>
      </c>
      <c r="X510" s="1282"/>
      <c r="Y510" s="958">
        <v>45516</v>
      </c>
      <c r="Z510" s="856" t="s">
        <v>62</v>
      </c>
      <c r="AA510" s="1076"/>
      <c r="AB510" s="1099">
        <v>45517</v>
      </c>
      <c r="AC510" s="1099">
        <v>45518</v>
      </c>
      <c r="AD510" s="1176">
        <f>90+455+195</f>
        <v>740</v>
      </c>
      <c r="AE510" s="1264">
        <f t="shared" si="64"/>
        <v>0.97883597883597884</v>
      </c>
      <c r="AF510" s="1342" t="s">
        <v>64</v>
      </c>
      <c r="AG510" s="1317">
        <v>1</v>
      </c>
      <c r="AH510" s="1248" t="s">
        <v>162</v>
      </c>
      <c r="AI510" s="1248">
        <v>45523</v>
      </c>
      <c r="AJ510" s="1248">
        <v>45524</v>
      </c>
      <c r="AK510" s="1285">
        <f>95252+103519+45346</f>
        <v>244117</v>
      </c>
      <c r="AL510" s="1264">
        <f t="shared" si="65"/>
        <v>0.976468</v>
      </c>
      <c r="AM510" s="1343" t="s">
        <v>62</v>
      </c>
      <c r="AN510" s="1334">
        <v>1</v>
      </c>
      <c r="AO510" s="1276"/>
      <c r="AP510" s="1277"/>
      <c r="AQ510" s="1276"/>
      <c r="AR510" s="1278">
        <v>160</v>
      </c>
      <c r="AS510" s="1278">
        <v>148</v>
      </c>
      <c r="AU510" s="784">
        <v>0.88</v>
      </c>
      <c r="AV510" s="784">
        <v>53.2</v>
      </c>
      <c r="AW510" s="1184">
        <v>11.6</v>
      </c>
      <c r="AY510" s="784">
        <v>12</v>
      </c>
    </row>
    <row r="511" spans="1:51" ht="15.6">
      <c r="A511" s="1097" t="s">
        <v>53</v>
      </c>
      <c r="B511" s="1143" t="s">
        <v>920</v>
      </c>
      <c r="C511" s="1144" t="s">
        <v>921</v>
      </c>
      <c r="D511" s="1144" t="s">
        <v>922</v>
      </c>
      <c r="E511" s="1473" t="s">
        <v>100</v>
      </c>
      <c r="F511" s="856">
        <v>2024</v>
      </c>
      <c r="G511" s="1099">
        <v>45505</v>
      </c>
      <c r="H511" s="3">
        <v>200107057</v>
      </c>
      <c r="I511" s="1438" t="s">
        <v>1188</v>
      </c>
      <c r="J511" s="1144">
        <v>10</v>
      </c>
      <c r="K511" s="3" t="s">
        <v>60</v>
      </c>
      <c r="L511" s="3" t="s">
        <v>128</v>
      </c>
      <c r="M511" s="865">
        <v>471.3</v>
      </c>
      <c r="N511" s="865">
        <v>252.75</v>
      </c>
      <c r="O511" s="958">
        <v>45516</v>
      </c>
      <c r="P511" s="958">
        <v>45516</v>
      </c>
      <c r="Q511" s="3" t="s">
        <v>1189</v>
      </c>
      <c r="R511" s="785" t="s">
        <v>1190</v>
      </c>
      <c r="S511" s="851" t="s">
        <v>62</v>
      </c>
      <c r="T511" s="848"/>
      <c r="U511" s="786" t="s">
        <v>130</v>
      </c>
      <c r="V511" s="848"/>
      <c r="W511" s="865">
        <v>275.7</v>
      </c>
      <c r="X511" s="1282"/>
      <c r="Y511" s="958">
        <v>45517</v>
      </c>
      <c r="Z511" s="856" t="s">
        <v>62</v>
      </c>
      <c r="AA511" s="1076"/>
      <c r="AB511" s="1099">
        <v>45518</v>
      </c>
      <c r="AC511" s="1099">
        <v>45519</v>
      </c>
      <c r="AD511" s="1176">
        <f>65+240+425</f>
        <v>730</v>
      </c>
      <c r="AE511" s="1264">
        <f t="shared" si="64"/>
        <v>0.96560846560846558</v>
      </c>
      <c r="AF511" s="1342" t="s">
        <v>64</v>
      </c>
      <c r="AG511" s="1317">
        <v>1</v>
      </c>
      <c r="AH511" s="1301" t="s">
        <v>132</v>
      </c>
      <c r="AI511" s="1248">
        <v>45523</v>
      </c>
      <c r="AJ511" s="1248">
        <v>45524</v>
      </c>
      <c r="AK511" s="1346">
        <f>125000+115935</f>
        <v>240935</v>
      </c>
      <c r="AL511" s="1264">
        <f t="shared" si="65"/>
        <v>0.96374000000000004</v>
      </c>
      <c r="AM511" s="1343" t="s">
        <v>62</v>
      </c>
      <c r="AN511" s="1334">
        <v>1</v>
      </c>
      <c r="AO511" s="1276"/>
      <c r="AP511" s="1277"/>
      <c r="AQ511" s="1276"/>
      <c r="AR511" s="1278">
        <v>200</v>
      </c>
      <c r="AS511" s="1278">
        <v>120</v>
      </c>
      <c r="AT511" s="784">
        <v>120</v>
      </c>
      <c r="AU511" s="784">
        <v>0.38</v>
      </c>
      <c r="AV511" s="784">
        <v>36.1</v>
      </c>
      <c r="AW511" s="1184">
        <v>4.4000000000000004</v>
      </c>
    </row>
    <row r="512" spans="1:51" ht="15.6">
      <c r="A512" s="1097" t="s">
        <v>53</v>
      </c>
      <c r="B512" s="1143" t="s">
        <v>920</v>
      </c>
      <c r="C512" s="1144" t="s">
        <v>921</v>
      </c>
      <c r="D512" s="1144" t="s">
        <v>922</v>
      </c>
      <c r="E512" s="1473" t="s">
        <v>100</v>
      </c>
      <c r="F512" s="856">
        <v>2024</v>
      </c>
      <c r="G512" s="1099">
        <v>45505</v>
      </c>
      <c r="H512" s="3">
        <v>200107058</v>
      </c>
      <c r="I512" s="1438" t="s">
        <v>1191</v>
      </c>
      <c r="J512" s="1144">
        <v>11</v>
      </c>
      <c r="K512" s="3" t="s">
        <v>60</v>
      </c>
      <c r="L512" s="3" t="s">
        <v>128</v>
      </c>
      <c r="M512" s="858">
        <v>461.5</v>
      </c>
      <c r="N512" s="858">
        <v>260.52999999999997</v>
      </c>
      <c r="O512" s="958">
        <v>45516</v>
      </c>
      <c r="P512" s="958">
        <v>45516</v>
      </c>
      <c r="Q512" s="785" t="s">
        <v>1192</v>
      </c>
      <c r="R512" s="3" t="s">
        <v>1193</v>
      </c>
      <c r="S512" s="851" t="s">
        <v>62</v>
      </c>
      <c r="T512" s="848"/>
      <c r="U512" s="786" t="s">
        <v>130</v>
      </c>
      <c r="V512" s="848"/>
      <c r="W512" s="865">
        <v>283.5</v>
      </c>
      <c r="X512" s="1282"/>
      <c r="Y512" s="958">
        <v>45517</v>
      </c>
      <c r="Z512" s="856" t="s">
        <v>62</v>
      </c>
      <c r="AA512" s="1076"/>
      <c r="AB512" s="1099">
        <v>45518</v>
      </c>
      <c r="AC512" s="1099">
        <v>45518</v>
      </c>
      <c r="AD512" s="1176">
        <f>30+425+279</f>
        <v>734</v>
      </c>
      <c r="AE512" s="1264">
        <f t="shared" si="64"/>
        <v>0.97089947089947093</v>
      </c>
      <c r="AF512" s="1342" t="s">
        <v>64</v>
      </c>
      <c r="AG512" s="1317">
        <v>1</v>
      </c>
      <c r="AH512" s="784" t="s">
        <v>132</v>
      </c>
      <c r="AI512" s="1248">
        <v>45524</v>
      </c>
      <c r="AJ512" s="1248">
        <v>45525</v>
      </c>
      <c r="AK512" s="1249">
        <f>35000+85000+12200+110229</f>
        <v>242429</v>
      </c>
      <c r="AL512" s="1264">
        <f t="shared" si="65"/>
        <v>0.96971600000000002</v>
      </c>
      <c r="AM512" s="1343" t="s">
        <v>62</v>
      </c>
      <c r="AN512" s="1334">
        <v>1</v>
      </c>
      <c r="AO512" s="1276"/>
      <c r="AP512" s="1277"/>
      <c r="AQ512" s="1276"/>
      <c r="AR512" s="1278">
        <v>200</v>
      </c>
      <c r="AS512" s="1278">
        <v>120</v>
      </c>
      <c r="AT512" s="784">
        <f>80+20</f>
        <v>100</v>
      </c>
      <c r="AU512" s="784">
        <v>0.8</v>
      </c>
      <c r="AV512" s="784">
        <v>40.1</v>
      </c>
      <c r="AW512" s="1184">
        <v>8.1999999999999993</v>
      </c>
      <c r="AY512" s="784">
        <v>17.600000000000001</v>
      </c>
    </row>
    <row r="513" spans="1:51" ht="15.6">
      <c r="A513" s="1097" t="s">
        <v>53</v>
      </c>
      <c r="B513" s="1143" t="s">
        <v>920</v>
      </c>
      <c r="C513" s="1144" t="s">
        <v>921</v>
      </c>
      <c r="D513" s="1144" t="s">
        <v>922</v>
      </c>
      <c r="E513" s="1473" t="s">
        <v>100</v>
      </c>
      <c r="F513" s="856">
        <v>2024</v>
      </c>
      <c r="G513" s="1099">
        <v>45505</v>
      </c>
      <c r="H513" s="3">
        <v>200107059</v>
      </c>
      <c r="I513" s="1438" t="s">
        <v>1194</v>
      </c>
      <c r="J513" s="1144">
        <v>12</v>
      </c>
      <c r="K513" s="3" t="s">
        <v>60</v>
      </c>
      <c r="L513" s="3" t="s">
        <v>128</v>
      </c>
      <c r="M513" s="858">
        <v>468.8</v>
      </c>
      <c r="N513" s="858">
        <v>260.5</v>
      </c>
      <c r="O513" s="958">
        <v>45516</v>
      </c>
      <c r="P513" s="958">
        <v>45516</v>
      </c>
      <c r="Q513" s="785" t="s">
        <v>1195</v>
      </c>
      <c r="R513" s="3" t="s">
        <v>1196</v>
      </c>
      <c r="S513" s="851" t="s">
        <v>62</v>
      </c>
      <c r="T513" s="848"/>
      <c r="U513" s="786" t="s">
        <v>130</v>
      </c>
      <c r="V513" s="848"/>
      <c r="W513" s="865">
        <v>283.5</v>
      </c>
      <c r="X513" s="1282"/>
      <c r="Y513" s="958">
        <v>45517</v>
      </c>
      <c r="Z513" s="856" t="s">
        <v>62</v>
      </c>
      <c r="AA513" s="1076"/>
      <c r="AB513" s="1099">
        <v>45518</v>
      </c>
      <c r="AC513" s="1099">
        <v>45519</v>
      </c>
      <c r="AD513" s="1176">
        <f>195+440+109</f>
        <v>744</v>
      </c>
      <c r="AE513" s="1264">
        <f t="shared" si="64"/>
        <v>0.98412698412698407</v>
      </c>
      <c r="AF513" s="1342" t="s">
        <v>64</v>
      </c>
      <c r="AG513" s="1317">
        <v>1</v>
      </c>
      <c r="AH513" s="1301" t="s">
        <v>162</v>
      </c>
      <c r="AI513" s="1248">
        <v>45524</v>
      </c>
      <c r="AJ513" s="1248">
        <v>45524</v>
      </c>
      <c r="AK513" s="1249">
        <f>57766+103286+83958</f>
        <v>245010</v>
      </c>
      <c r="AL513" s="1264">
        <f t="shared" si="65"/>
        <v>0.98004000000000002</v>
      </c>
      <c r="AM513" s="1343" t="s">
        <v>62</v>
      </c>
      <c r="AN513" s="1334">
        <v>1</v>
      </c>
      <c r="AO513" s="1276"/>
      <c r="AP513" s="1277"/>
      <c r="AQ513" s="1276"/>
      <c r="AR513" s="1278">
        <v>160</v>
      </c>
      <c r="AS513" s="1278">
        <v>148</v>
      </c>
      <c r="AU513" s="784">
        <v>1.38</v>
      </c>
      <c r="AV513" s="784">
        <v>50.8</v>
      </c>
      <c r="AW513" s="1184">
        <v>12.5</v>
      </c>
    </row>
    <row r="514" spans="1:51" ht="15.6">
      <c r="A514" s="1097" t="s">
        <v>53</v>
      </c>
      <c r="B514" s="1143" t="s">
        <v>920</v>
      </c>
      <c r="C514" s="1144" t="s">
        <v>921</v>
      </c>
      <c r="D514" s="1144" t="s">
        <v>922</v>
      </c>
      <c r="E514" s="1473" t="s">
        <v>100</v>
      </c>
      <c r="F514" s="856">
        <v>2024</v>
      </c>
      <c r="G514" s="1099">
        <v>45505</v>
      </c>
      <c r="H514" s="3">
        <v>200107060</v>
      </c>
      <c r="I514" s="1438" t="s">
        <v>1197</v>
      </c>
      <c r="J514" s="1144">
        <v>13</v>
      </c>
      <c r="K514" s="3" t="s">
        <v>60</v>
      </c>
      <c r="L514" s="3" t="s">
        <v>128</v>
      </c>
      <c r="M514" s="865">
        <v>463.8</v>
      </c>
      <c r="N514" s="865">
        <v>252.21</v>
      </c>
      <c r="O514" s="958">
        <v>45517</v>
      </c>
      <c r="P514" s="958">
        <v>45517</v>
      </c>
      <c r="Q514" s="3" t="s">
        <v>1198</v>
      </c>
      <c r="R514" s="3" t="s">
        <v>1199</v>
      </c>
      <c r="S514" s="851" t="s">
        <v>62</v>
      </c>
      <c r="T514" s="848"/>
      <c r="U514" s="786" t="s">
        <v>130</v>
      </c>
      <c r="V514" s="848"/>
      <c r="W514" s="865">
        <v>275.2</v>
      </c>
      <c r="X514" s="1282"/>
      <c r="Y514" s="958">
        <v>45517</v>
      </c>
      <c r="Z514" s="856" t="s">
        <v>62</v>
      </c>
      <c r="AA514" s="1076"/>
      <c r="AB514" s="1099">
        <v>45518</v>
      </c>
      <c r="AC514" s="1099">
        <v>45519</v>
      </c>
      <c r="AD514" s="1176">
        <f>130+455+148</f>
        <v>733</v>
      </c>
      <c r="AE514" s="1264">
        <f t="shared" si="64"/>
        <v>0.96957671957671954</v>
      </c>
      <c r="AF514" s="1342" t="s">
        <v>64</v>
      </c>
      <c r="AG514" s="1317">
        <v>1</v>
      </c>
      <c r="AH514" s="1301" t="s">
        <v>132</v>
      </c>
      <c r="AI514" s="1248">
        <v>45525</v>
      </c>
      <c r="AJ514" s="1248">
        <v>45525</v>
      </c>
      <c r="AK514" s="1249">
        <f>156000+85918</f>
        <v>241918</v>
      </c>
      <c r="AL514" s="1264">
        <f t="shared" si="65"/>
        <v>0.96767199999999998</v>
      </c>
      <c r="AM514" s="1343" t="s">
        <v>62</v>
      </c>
      <c r="AN514" s="1334">
        <v>1</v>
      </c>
      <c r="AO514" s="1276"/>
      <c r="AP514" s="1277"/>
      <c r="AQ514" s="1276"/>
      <c r="AR514" s="1278">
        <v>200</v>
      </c>
      <c r="AS514" s="1278">
        <v>120</v>
      </c>
      <c r="AT514" s="784">
        <v>400</v>
      </c>
      <c r="AU514" s="784">
        <v>0.12</v>
      </c>
      <c r="AV514" s="784">
        <v>37.1</v>
      </c>
      <c r="AW514" s="1184">
        <v>3.7</v>
      </c>
      <c r="AY514" s="784">
        <v>164</v>
      </c>
    </row>
    <row r="515" spans="1:51" ht="15.6">
      <c r="A515" s="1097" t="s">
        <v>53</v>
      </c>
      <c r="B515" s="1143" t="s">
        <v>920</v>
      </c>
      <c r="C515" s="1144" t="s">
        <v>921</v>
      </c>
      <c r="D515" s="1144" t="s">
        <v>922</v>
      </c>
      <c r="E515" s="1473" t="s">
        <v>100</v>
      </c>
      <c r="F515" s="856">
        <v>2024</v>
      </c>
      <c r="G515" s="1099">
        <v>45505</v>
      </c>
      <c r="H515" s="3">
        <v>200107061</v>
      </c>
      <c r="I515" s="1438" t="s">
        <v>1200</v>
      </c>
      <c r="J515" s="1144">
        <v>14</v>
      </c>
      <c r="K515" s="3" t="s">
        <v>60</v>
      </c>
      <c r="L515" s="3" t="s">
        <v>128</v>
      </c>
      <c r="M515" s="858">
        <v>467.3</v>
      </c>
      <c r="N515" s="865">
        <v>258.55</v>
      </c>
      <c r="O515" s="958">
        <v>45517</v>
      </c>
      <c r="P515" s="958">
        <v>45517</v>
      </c>
      <c r="Q515" s="785" t="s">
        <v>1201</v>
      </c>
      <c r="R515" s="3" t="s">
        <v>1202</v>
      </c>
      <c r="S515" s="851" t="s">
        <v>62</v>
      </c>
      <c r="T515" s="848"/>
      <c r="U515" s="786" t="s">
        <v>130</v>
      </c>
      <c r="V515" s="848"/>
      <c r="W515" s="858">
        <v>281.5</v>
      </c>
      <c r="X515" s="1282"/>
      <c r="Y515" s="958">
        <v>45517</v>
      </c>
      <c r="Z515" s="856" t="s">
        <v>62</v>
      </c>
      <c r="AA515" s="1076"/>
      <c r="AB515" s="1099">
        <v>45519</v>
      </c>
      <c r="AC515" s="1099">
        <v>45519</v>
      </c>
      <c r="AD515" s="1076">
        <v>742</v>
      </c>
      <c r="AE515" s="1264">
        <f t="shared" si="64"/>
        <v>0.98148148148148151</v>
      </c>
      <c r="AF515" s="1342" t="s">
        <v>64</v>
      </c>
      <c r="AG515" s="1317">
        <v>1</v>
      </c>
      <c r="AH515" s="1301" t="s">
        <v>132</v>
      </c>
      <c r="AI515" s="1248">
        <v>45525</v>
      </c>
      <c r="AJ515" s="1248">
        <v>45527</v>
      </c>
      <c r="AK515" s="1249">
        <f>73500+37000+36000+98666</f>
        <v>245166</v>
      </c>
      <c r="AL515" s="1264">
        <f t="shared" si="65"/>
        <v>0.98066399999999998</v>
      </c>
      <c r="AM515" s="1343" t="s">
        <v>62</v>
      </c>
      <c r="AN515" s="1334">
        <v>1</v>
      </c>
      <c r="AO515" s="1276"/>
      <c r="AP515" s="1277"/>
      <c r="AQ515" s="1276"/>
      <c r="AR515" s="1278">
        <v>200</v>
      </c>
      <c r="AS515" s="1278">
        <v>120</v>
      </c>
      <c r="AT515" s="784">
        <f>350+150+140</f>
        <v>640</v>
      </c>
      <c r="AU515" s="784">
        <v>0.1</v>
      </c>
      <c r="AV515" s="784">
        <v>36.200000000000003</v>
      </c>
      <c r="AW515" s="1184">
        <v>8.8000000000000007</v>
      </c>
      <c r="AX515" s="927">
        <v>0.9</v>
      </c>
      <c r="AY515" s="784">
        <v>152</v>
      </c>
    </row>
    <row r="516" spans="1:51" ht="15.6">
      <c r="A516" s="1097" t="s">
        <v>53</v>
      </c>
      <c r="B516" s="1143" t="s">
        <v>920</v>
      </c>
      <c r="C516" s="1144" t="s">
        <v>921</v>
      </c>
      <c r="D516" s="1144" t="s">
        <v>922</v>
      </c>
      <c r="E516" s="1473" t="s">
        <v>100</v>
      </c>
      <c r="F516" s="856">
        <v>2024</v>
      </c>
      <c r="G516" s="1099">
        <v>45505</v>
      </c>
      <c r="H516" s="3">
        <v>200107062</v>
      </c>
      <c r="I516" s="1438" t="s">
        <v>1203</v>
      </c>
      <c r="J516" s="1144">
        <v>15</v>
      </c>
      <c r="K516" s="3" t="s">
        <v>60</v>
      </c>
      <c r="L516" s="3" t="s">
        <v>128</v>
      </c>
      <c r="M516" s="858">
        <f>153.5+156.2+156.4</f>
        <v>466.1</v>
      </c>
      <c r="N516" s="858">
        <f>131.36+130.2</f>
        <v>261.56</v>
      </c>
      <c r="O516" s="958">
        <v>45517</v>
      </c>
      <c r="P516" s="958">
        <v>45517</v>
      </c>
      <c r="Q516" s="3" t="s">
        <v>1204</v>
      </c>
      <c r="R516" s="3" t="s">
        <v>1205</v>
      </c>
      <c r="S516" s="851" t="s">
        <v>62</v>
      </c>
      <c r="T516" s="848"/>
      <c r="U516" s="786" t="s">
        <v>130</v>
      </c>
      <c r="V516" s="848"/>
      <c r="W516" s="865">
        <v>284.5</v>
      </c>
      <c r="X516" s="1282"/>
      <c r="Y516" s="958">
        <v>45519</v>
      </c>
      <c r="Z516" s="856" t="s">
        <v>62</v>
      </c>
      <c r="AA516" s="1076"/>
      <c r="AB516" s="1099">
        <v>45520</v>
      </c>
      <c r="AC516" s="1099">
        <v>45520</v>
      </c>
      <c r="AD516" s="1076">
        <v>742</v>
      </c>
      <c r="AE516" s="1264">
        <f t="shared" si="64"/>
        <v>0.98148148148148151</v>
      </c>
      <c r="AF516" s="1342" t="s">
        <v>64</v>
      </c>
      <c r="AG516" s="1317">
        <v>1</v>
      </c>
      <c r="AH516" s="1301" t="s">
        <v>162</v>
      </c>
      <c r="AI516" s="1248">
        <v>45524</v>
      </c>
      <c r="AJ516" s="1248">
        <v>45525</v>
      </c>
      <c r="AK516" s="1249">
        <f>17100+78400+100000+48527</f>
        <v>244027</v>
      </c>
      <c r="AL516" s="1264">
        <f t="shared" si="65"/>
        <v>0.97610799999999998</v>
      </c>
      <c r="AM516" s="1343" t="s">
        <v>62</v>
      </c>
      <c r="AN516" s="1334">
        <v>1</v>
      </c>
      <c r="AO516" s="1276"/>
      <c r="AP516" s="1277"/>
      <c r="AQ516" s="1276"/>
      <c r="AR516" s="1278">
        <v>160</v>
      </c>
      <c r="AS516" s="1278">
        <v>145</v>
      </c>
      <c r="AT516" s="784">
        <f>100+120</f>
        <v>220</v>
      </c>
      <c r="AU516" s="784">
        <v>0.68</v>
      </c>
      <c r="AV516" s="784">
        <v>35.299999999999997</v>
      </c>
      <c r="AW516" s="1184">
        <v>31.8</v>
      </c>
      <c r="AY516" s="784">
        <v>236</v>
      </c>
    </row>
    <row r="517" spans="1:51" ht="15.6">
      <c r="A517" s="1097" t="s">
        <v>53</v>
      </c>
      <c r="B517" s="1143" t="s">
        <v>920</v>
      </c>
      <c r="C517" s="1144" t="s">
        <v>921</v>
      </c>
      <c r="D517" s="1144" t="s">
        <v>922</v>
      </c>
      <c r="E517" s="1473" t="s">
        <v>100</v>
      </c>
      <c r="F517" s="856">
        <v>2024</v>
      </c>
      <c r="G517" s="1099">
        <v>45505</v>
      </c>
      <c r="H517" s="3">
        <v>200107063</v>
      </c>
      <c r="I517" s="1438" t="s">
        <v>1206</v>
      </c>
      <c r="J517" s="1144">
        <v>16</v>
      </c>
      <c r="K517" s="3" t="s">
        <v>60</v>
      </c>
      <c r="L517" s="3" t="s">
        <v>128</v>
      </c>
      <c r="M517" s="865">
        <f>157.4+152.2+158</f>
        <v>467.6</v>
      </c>
      <c r="N517" s="858">
        <f>130.01+131.91</f>
        <v>261.91999999999996</v>
      </c>
      <c r="O517" s="958">
        <v>45518</v>
      </c>
      <c r="P517" s="958">
        <v>45517</v>
      </c>
      <c r="Q517" s="3" t="s">
        <v>1207</v>
      </c>
      <c r="R517" s="785" t="s">
        <v>1208</v>
      </c>
      <c r="S517" s="851" t="s">
        <v>62</v>
      </c>
      <c r="T517" s="848"/>
      <c r="U517" s="786" t="s">
        <v>130</v>
      </c>
      <c r="V517" s="848"/>
      <c r="W517" s="865">
        <v>284.8</v>
      </c>
      <c r="X517" s="1282"/>
      <c r="Y517" s="958">
        <v>45519</v>
      </c>
      <c r="Z517" s="856" t="s">
        <v>62</v>
      </c>
      <c r="AA517" s="1076"/>
      <c r="AB517" s="1099">
        <v>45520</v>
      </c>
      <c r="AC517" s="1099">
        <v>45520</v>
      </c>
      <c r="AD517" s="1176">
        <f>360+380</f>
        <v>740</v>
      </c>
      <c r="AE517" s="1264">
        <f t="shared" si="64"/>
        <v>0.97883597883597884</v>
      </c>
      <c r="AF517" s="1342" t="s">
        <v>64</v>
      </c>
      <c r="AG517" s="1317">
        <v>1</v>
      </c>
      <c r="AH517" s="1301" t="s">
        <v>162</v>
      </c>
      <c r="AI517" s="1248">
        <v>45525</v>
      </c>
      <c r="AJ517" s="1248">
        <v>45526</v>
      </c>
      <c r="AK517" s="1249">
        <f>50570+105000+88087</f>
        <v>243657</v>
      </c>
      <c r="AL517" s="1264">
        <f t="shared" si="65"/>
        <v>0.97462800000000005</v>
      </c>
      <c r="AM517" s="1343" t="s">
        <v>62</v>
      </c>
      <c r="AN517" s="1334">
        <v>1</v>
      </c>
      <c r="AO517" s="1276"/>
      <c r="AP517" s="1277"/>
      <c r="AQ517" s="1276"/>
      <c r="AR517" s="1278">
        <v>160</v>
      </c>
      <c r="AS517" s="1278">
        <v>145</v>
      </c>
      <c r="AT517" s="784">
        <v>205</v>
      </c>
      <c r="AU517" s="784">
        <v>1.96</v>
      </c>
      <c r="AV517" s="784">
        <v>49.4</v>
      </c>
      <c r="AW517" s="1184">
        <v>17.100000000000001</v>
      </c>
      <c r="AX517" s="784">
        <v>0.4</v>
      </c>
      <c r="AY517" s="784">
        <v>248</v>
      </c>
    </row>
    <row r="518" spans="1:51" ht="15.6">
      <c r="A518" s="1097" t="s">
        <v>53</v>
      </c>
      <c r="B518" s="1143" t="s">
        <v>920</v>
      </c>
      <c r="C518" s="1144" t="s">
        <v>921</v>
      </c>
      <c r="D518" s="1144" t="s">
        <v>922</v>
      </c>
      <c r="E518" s="1473" t="s">
        <v>100</v>
      </c>
      <c r="F518" s="856">
        <v>2024</v>
      </c>
      <c r="G518" s="1099">
        <v>45505</v>
      </c>
      <c r="H518" s="3">
        <v>200107064</v>
      </c>
      <c r="I518" s="1438" t="s">
        <v>1209</v>
      </c>
      <c r="J518" s="1144">
        <v>17</v>
      </c>
      <c r="K518" s="3" t="s">
        <v>60</v>
      </c>
      <c r="L518" s="3" t="s">
        <v>128</v>
      </c>
      <c r="M518" s="858">
        <f>153.1+157+156.3</f>
        <v>466.40000000000003</v>
      </c>
      <c r="N518" s="865">
        <v>256.64999999999998</v>
      </c>
      <c r="O518" s="958">
        <v>45518</v>
      </c>
      <c r="P518" s="958">
        <v>45518</v>
      </c>
      <c r="Q518" s="3" t="s">
        <v>1210</v>
      </c>
      <c r="R518" s="3" t="s">
        <v>1172</v>
      </c>
      <c r="S518" s="851" t="s">
        <v>62</v>
      </c>
      <c r="T518" s="848"/>
      <c r="U518" s="786" t="s">
        <v>130</v>
      </c>
      <c r="V518" s="848"/>
      <c r="W518" s="865">
        <v>279.60000000000002</v>
      </c>
      <c r="X518" s="1282"/>
      <c r="Y518" s="958">
        <v>45519</v>
      </c>
      <c r="Z518" s="856" t="s">
        <v>62</v>
      </c>
      <c r="AA518" s="1076"/>
      <c r="AB518" s="1099">
        <v>45520</v>
      </c>
      <c r="AC518" s="1099">
        <v>45520</v>
      </c>
      <c r="AD518" s="1076">
        <f>280+460</f>
        <v>740</v>
      </c>
      <c r="AE518" s="1264">
        <f t="shared" si="64"/>
        <v>0.97883597883597884</v>
      </c>
      <c r="AF518" s="1342" t="s">
        <v>64</v>
      </c>
      <c r="AG518" s="1317">
        <v>1</v>
      </c>
      <c r="AH518" s="1301" t="s">
        <v>162</v>
      </c>
      <c r="AI518" s="1248">
        <v>45526</v>
      </c>
      <c r="AJ518" s="1248">
        <v>45527</v>
      </c>
      <c r="AK518" s="1249">
        <f>88120+85948+69458</f>
        <v>243526</v>
      </c>
      <c r="AL518" s="1264">
        <f t="shared" si="65"/>
        <v>0.97410399999999997</v>
      </c>
      <c r="AM518" s="1343" t="s">
        <v>62</v>
      </c>
      <c r="AN518" s="1334">
        <v>1</v>
      </c>
      <c r="AO518" s="1276"/>
      <c r="AP518" s="1277"/>
      <c r="AQ518" s="1276"/>
      <c r="AR518" s="1278">
        <v>160</v>
      </c>
      <c r="AS518" s="1278">
        <v>145</v>
      </c>
      <c r="AU518" s="784">
        <v>1.26</v>
      </c>
      <c r="AV518" s="784">
        <v>50.7</v>
      </c>
      <c r="AW518" s="1184">
        <f>3.4+6.2+6.1</f>
        <v>15.7</v>
      </c>
      <c r="AY518" s="784">
        <v>248</v>
      </c>
    </row>
    <row r="519" spans="1:51" ht="15.6">
      <c r="A519" s="1097" t="s">
        <v>53</v>
      </c>
      <c r="B519" s="1143"/>
      <c r="C519" s="1144"/>
      <c r="D519" s="1144"/>
      <c r="E519" s="1098"/>
      <c r="F519" s="856"/>
      <c r="G519" s="1099"/>
      <c r="H519" s="3"/>
      <c r="I519" s="3"/>
      <c r="J519" s="1144"/>
      <c r="K519" s="856"/>
      <c r="L519" s="856"/>
      <c r="M519" s="856"/>
      <c r="N519" s="856"/>
      <c r="O519" s="1179"/>
      <c r="P519" s="1179"/>
      <c r="Q519" s="1099"/>
      <c r="R519" s="1099"/>
      <c r="S519" s="1340"/>
      <c r="T519" s="856"/>
      <c r="U519" s="856"/>
      <c r="V519" s="856"/>
      <c r="W519" s="856"/>
      <c r="X519" s="1179"/>
      <c r="Y519" s="1202"/>
      <c r="Z519" s="856"/>
      <c r="AA519" s="1076"/>
      <c r="AB519" s="1099"/>
      <c r="AC519" s="1099"/>
      <c r="AD519" s="1176"/>
      <c r="AE519" s="1264"/>
      <c r="AF519" s="1342"/>
      <c r="AG519" s="1317"/>
      <c r="AH519" s="1248"/>
      <c r="AI519" s="1248"/>
      <c r="AJ519" s="1248"/>
      <c r="AK519" s="1285"/>
      <c r="AL519" s="1264">
        <f t="shared" si="65"/>
        <v>0</v>
      </c>
      <c r="AM519" s="1331"/>
      <c r="AN519" s="1334">
        <f>AL519/1</f>
        <v>0</v>
      </c>
      <c r="AO519" s="1276"/>
      <c r="AP519" s="1277"/>
      <c r="AQ519" s="1276"/>
      <c r="AR519" s="1278"/>
      <c r="AS519" s="1278"/>
    </row>
    <row r="520" spans="1:51" ht="15.6">
      <c r="A520" s="1097" t="s">
        <v>53</v>
      </c>
      <c r="B520" s="1143" t="s">
        <v>920</v>
      </c>
      <c r="C520" s="1144" t="s">
        <v>921</v>
      </c>
      <c r="D520" s="1144" t="s">
        <v>922</v>
      </c>
      <c r="E520" s="1473" t="s">
        <v>541</v>
      </c>
      <c r="F520" s="856">
        <v>2024</v>
      </c>
      <c r="G520" s="1099" t="s">
        <v>1211</v>
      </c>
      <c r="H520" s="3">
        <v>200107232</v>
      </c>
      <c r="I520" s="1348" t="s">
        <v>1212</v>
      </c>
      <c r="J520" s="1144">
        <v>1</v>
      </c>
      <c r="K520" s="3" t="s">
        <v>60</v>
      </c>
      <c r="L520" s="3" t="s">
        <v>128</v>
      </c>
      <c r="M520" s="858">
        <v>462.7</v>
      </c>
      <c r="N520" s="865">
        <v>254.07</v>
      </c>
      <c r="O520" s="958">
        <v>45531</v>
      </c>
      <c r="P520" s="958">
        <v>45531</v>
      </c>
      <c r="Q520" s="3" t="s">
        <v>1213</v>
      </c>
      <c r="R520" s="3" t="s">
        <v>1012</v>
      </c>
      <c r="S520" s="851" t="s">
        <v>62</v>
      </c>
      <c r="T520" s="848"/>
      <c r="U520" s="786" t="s">
        <v>130</v>
      </c>
      <c r="V520" s="848"/>
      <c r="W520" s="858">
        <v>276.8</v>
      </c>
      <c r="X520" s="1282"/>
      <c r="Y520" s="958">
        <v>45531</v>
      </c>
      <c r="Z520" s="856" t="s">
        <v>62</v>
      </c>
      <c r="AA520" s="1076"/>
      <c r="AB520" s="1299"/>
      <c r="AC520" s="1299"/>
      <c r="AD520" s="1106"/>
      <c r="AE520" s="1264">
        <f t="shared" ref="AE520:AE529" si="66">AD520/756</f>
        <v>0</v>
      </c>
      <c r="AF520" s="1342"/>
      <c r="AG520" s="1317"/>
      <c r="AH520" s="1248"/>
      <c r="AI520" s="1248"/>
      <c r="AJ520" s="1248"/>
      <c r="AK520" s="1285"/>
      <c r="AL520" s="1264"/>
      <c r="AM520" s="1331"/>
      <c r="AN520" s="1334"/>
      <c r="AO520" s="1276"/>
      <c r="AP520" s="1277"/>
      <c r="AQ520" s="1276"/>
      <c r="AR520" s="1278"/>
      <c r="AS520" s="1278"/>
    </row>
    <row r="521" spans="1:51" ht="15.6">
      <c r="A521" s="1097" t="s">
        <v>53</v>
      </c>
      <c r="B521" s="1143" t="s">
        <v>920</v>
      </c>
      <c r="C521" s="1144" t="s">
        <v>921</v>
      </c>
      <c r="D521" s="1144" t="s">
        <v>922</v>
      </c>
      <c r="E521" s="1473" t="s">
        <v>541</v>
      </c>
      <c r="F521" s="856">
        <v>2024</v>
      </c>
      <c r="G521" s="1099" t="s">
        <v>1211</v>
      </c>
      <c r="H521" s="3">
        <v>200107233</v>
      </c>
      <c r="I521" s="1348" t="s">
        <v>1214</v>
      </c>
      <c r="J521" s="1144">
        <v>2</v>
      </c>
      <c r="K521" s="3" t="s">
        <v>60</v>
      </c>
      <c r="L521" s="3" t="s">
        <v>128</v>
      </c>
      <c r="M521" s="858">
        <v>467.1</v>
      </c>
      <c r="N521" s="865">
        <v>259.85000000000002</v>
      </c>
      <c r="O521" s="958">
        <v>45531</v>
      </c>
      <c r="P521" s="958">
        <v>45531</v>
      </c>
      <c r="Q521" s="3" t="s">
        <v>1215</v>
      </c>
      <c r="R521" s="3" t="s">
        <v>1216</v>
      </c>
      <c r="S521" s="851" t="s">
        <v>62</v>
      </c>
      <c r="T521" s="848"/>
      <c r="U521" s="786" t="s">
        <v>130</v>
      </c>
      <c r="V521" s="848"/>
      <c r="W521" s="858">
        <v>282.60000000000002</v>
      </c>
      <c r="X521" s="1282"/>
      <c r="Y521" s="958">
        <v>45531</v>
      </c>
      <c r="Z521" s="856" t="s">
        <v>62</v>
      </c>
      <c r="AA521" s="1076"/>
      <c r="AB521" s="1299" t="s">
        <v>557</v>
      </c>
      <c r="AC521" s="1299" t="s">
        <v>563</v>
      </c>
      <c r="AD521" s="1076">
        <f>375+362</f>
        <v>737</v>
      </c>
      <c r="AE521" s="1264">
        <f t="shared" si="66"/>
        <v>0.97486772486772488</v>
      </c>
      <c r="AF521" s="1342" t="s">
        <v>64</v>
      </c>
      <c r="AG521" s="1317">
        <v>1</v>
      </c>
      <c r="AH521" s="1248"/>
      <c r="AI521" s="1248"/>
      <c r="AJ521" s="1248"/>
      <c r="AK521" s="1285"/>
      <c r="AL521" s="1264"/>
      <c r="AM521" s="1331"/>
      <c r="AN521" s="1334"/>
      <c r="AO521" s="1276"/>
      <c r="AP521" s="1277"/>
      <c r="AQ521" s="1276"/>
      <c r="AR521" s="1278"/>
      <c r="AS521" s="1278"/>
    </row>
    <row r="522" spans="1:51" ht="15.6">
      <c r="A522" s="1097" t="s">
        <v>53</v>
      </c>
      <c r="B522" s="1143" t="s">
        <v>920</v>
      </c>
      <c r="C522" s="1144" t="s">
        <v>921</v>
      </c>
      <c r="D522" s="1144" t="s">
        <v>922</v>
      </c>
      <c r="E522" s="1473" t="s">
        <v>541</v>
      </c>
      <c r="F522" s="856">
        <v>2024</v>
      </c>
      <c r="G522" s="1099" t="s">
        <v>1211</v>
      </c>
      <c r="H522" s="3">
        <v>200107234</v>
      </c>
      <c r="I522" s="1348" t="s">
        <v>1217</v>
      </c>
      <c r="J522" s="1144">
        <v>3</v>
      </c>
      <c r="K522" s="3" t="s">
        <v>60</v>
      </c>
      <c r="L522" s="3" t="s">
        <v>128</v>
      </c>
      <c r="M522" s="865">
        <v>464.6</v>
      </c>
      <c r="N522" s="858">
        <v>259.95999999999998</v>
      </c>
      <c r="O522" s="958">
        <v>45532</v>
      </c>
      <c r="P522" s="958">
        <v>45531</v>
      </c>
      <c r="Q522" s="3" t="s">
        <v>1218</v>
      </c>
      <c r="R522" s="3" t="s">
        <v>1219</v>
      </c>
      <c r="S522" s="851" t="s">
        <v>62</v>
      </c>
      <c r="T522" s="848"/>
      <c r="U522" s="786" t="s">
        <v>130</v>
      </c>
      <c r="V522" s="848"/>
      <c r="W522" s="858">
        <v>282.8</v>
      </c>
      <c r="X522" s="1282"/>
      <c r="Y522" s="958">
        <v>45531</v>
      </c>
      <c r="Z522" s="856" t="s">
        <v>62</v>
      </c>
      <c r="AA522" s="1076"/>
      <c r="AB522" s="1299" t="s">
        <v>563</v>
      </c>
      <c r="AC522" s="1299"/>
      <c r="AD522" s="1076">
        <v>45</v>
      </c>
      <c r="AE522" s="1264">
        <f t="shared" si="66"/>
        <v>5.9523809523809521E-2</v>
      </c>
      <c r="AF522" s="1353" t="s">
        <v>566</v>
      </c>
      <c r="AG522" s="1320">
        <f>AE522/1</f>
        <v>5.9523809523809521E-2</v>
      </c>
      <c r="AH522" s="1248"/>
      <c r="AI522" s="1248"/>
      <c r="AJ522" s="1248"/>
      <c r="AK522" s="1285"/>
      <c r="AL522" s="1264"/>
      <c r="AM522" s="1331"/>
      <c r="AN522" s="1334"/>
      <c r="AO522" s="1276"/>
      <c r="AP522" s="1277"/>
      <c r="AQ522" s="1276"/>
      <c r="AR522" s="1278"/>
      <c r="AS522" s="1278"/>
    </row>
    <row r="523" spans="1:51" ht="15.6">
      <c r="A523" s="1097" t="s">
        <v>53</v>
      </c>
      <c r="B523" s="1143" t="s">
        <v>920</v>
      </c>
      <c r="C523" s="1144" t="s">
        <v>921</v>
      </c>
      <c r="D523" s="1144" t="s">
        <v>922</v>
      </c>
      <c r="E523" s="1473" t="s">
        <v>541</v>
      </c>
      <c r="F523" s="856">
        <v>2024</v>
      </c>
      <c r="G523" s="1099" t="s">
        <v>1211</v>
      </c>
      <c r="H523" s="3">
        <v>200107235</v>
      </c>
      <c r="I523" s="1348" t="s">
        <v>1220</v>
      </c>
      <c r="J523" s="1144">
        <v>4</v>
      </c>
      <c r="K523" s="3" t="s">
        <v>60</v>
      </c>
      <c r="L523" s="3" t="s">
        <v>128</v>
      </c>
      <c r="M523" s="858">
        <v>465.5</v>
      </c>
      <c r="N523" s="858">
        <v>259.32</v>
      </c>
      <c r="O523" s="958">
        <v>45532</v>
      </c>
      <c r="P523" s="958">
        <v>45531</v>
      </c>
      <c r="Q523" s="3" t="s">
        <v>1221</v>
      </c>
      <c r="R523" s="3" t="s">
        <v>1205</v>
      </c>
      <c r="S523" s="851" t="s">
        <v>62</v>
      </c>
      <c r="T523" s="848"/>
      <c r="U523" s="786" t="s">
        <v>130</v>
      </c>
      <c r="V523" s="848"/>
      <c r="W523" s="859">
        <v>282.3</v>
      </c>
      <c r="X523" s="1282"/>
      <c r="Y523" s="958">
        <v>45533</v>
      </c>
      <c r="Z523" s="856" t="s">
        <v>62</v>
      </c>
      <c r="AA523" s="1076"/>
      <c r="AB523" s="1099"/>
      <c r="AC523" s="1099"/>
      <c r="AD523" s="1176"/>
      <c r="AE523" s="1264">
        <f t="shared" si="66"/>
        <v>0</v>
      </c>
      <c r="AF523" s="1342"/>
      <c r="AG523" s="1317"/>
      <c r="AH523" s="1248"/>
      <c r="AI523" s="1248"/>
      <c r="AJ523" s="1248"/>
      <c r="AK523" s="1285"/>
      <c r="AL523" s="1264"/>
      <c r="AM523" s="1331"/>
      <c r="AN523" s="1334"/>
      <c r="AO523" s="1276"/>
      <c r="AP523" s="1277"/>
      <c r="AQ523" s="1276"/>
      <c r="AR523" s="1278"/>
      <c r="AS523" s="1278"/>
    </row>
    <row r="524" spans="1:51" ht="15.6">
      <c r="A524" s="1097" t="s">
        <v>53</v>
      </c>
      <c r="B524" s="1143" t="s">
        <v>920</v>
      </c>
      <c r="C524" s="1144" t="s">
        <v>921</v>
      </c>
      <c r="D524" s="1144" t="s">
        <v>922</v>
      </c>
      <c r="E524" s="1473" t="s">
        <v>541</v>
      </c>
      <c r="F524" s="856">
        <v>2024</v>
      </c>
      <c r="G524" s="1099" t="s">
        <v>1211</v>
      </c>
      <c r="H524" s="3">
        <v>200107236</v>
      </c>
      <c r="I524" s="1348" t="s">
        <v>1222</v>
      </c>
      <c r="J524" s="1144">
        <v>5</v>
      </c>
      <c r="K524" s="3" t="s">
        <v>60</v>
      </c>
      <c r="L524" s="3" t="s">
        <v>128</v>
      </c>
      <c r="M524" s="865">
        <v>459.8</v>
      </c>
      <c r="N524" s="858">
        <v>257.76</v>
      </c>
      <c r="O524" s="958">
        <v>45533</v>
      </c>
      <c r="P524" s="958">
        <v>45533</v>
      </c>
      <c r="Q524" s="3" t="s">
        <v>1223</v>
      </c>
      <c r="R524" s="3" t="s">
        <v>1224</v>
      </c>
      <c r="S524" s="851" t="s">
        <v>62</v>
      </c>
      <c r="T524" s="848"/>
      <c r="U524" s="786" t="s">
        <v>130</v>
      </c>
      <c r="V524" s="848"/>
      <c r="W524" s="865">
        <v>280.39999999999998</v>
      </c>
      <c r="X524" s="1282"/>
      <c r="Y524" s="958">
        <v>45533</v>
      </c>
      <c r="Z524" s="856" t="s">
        <v>62</v>
      </c>
      <c r="AA524" s="1076"/>
      <c r="AB524" s="1099"/>
      <c r="AC524" s="1099"/>
      <c r="AD524" s="1176"/>
      <c r="AE524" s="1264">
        <f t="shared" si="66"/>
        <v>0</v>
      </c>
      <c r="AF524" s="1342"/>
      <c r="AG524" s="1317"/>
      <c r="AH524" s="1248"/>
      <c r="AI524" s="1248"/>
      <c r="AJ524" s="1248"/>
      <c r="AK524" s="1285"/>
      <c r="AL524" s="1264"/>
      <c r="AM524" s="1331"/>
      <c r="AN524" s="1334"/>
      <c r="AO524" s="1276"/>
      <c r="AP524" s="1277"/>
      <c r="AQ524" s="1276"/>
      <c r="AR524" s="1278"/>
      <c r="AS524" s="1278"/>
    </row>
    <row r="525" spans="1:51" ht="15.6">
      <c r="A525" s="1097" t="s">
        <v>53</v>
      </c>
      <c r="B525" s="1143" t="s">
        <v>920</v>
      </c>
      <c r="C525" s="1144" t="s">
        <v>921</v>
      </c>
      <c r="D525" s="1144" t="s">
        <v>922</v>
      </c>
      <c r="E525" s="1473" t="s">
        <v>541</v>
      </c>
      <c r="F525" s="856">
        <v>2024</v>
      </c>
      <c r="G525" s="1099" t="s">
        <v>1211</v>
      </c>
      <c r="H525" s="3">
        <v>200107237</v>
      </c>
      <c r="I525" s="1348" t="s">
        <v>1225</v>
      </c>
      <c r="J525" s="1144">
        <v>6</v>
      </c>
      <c r="K525" s="3" t="s">
        <v>60</v>
      </c>
      <c r="L525" s="3" t="s">
        <v>128</v>
      </c>
      <c r="M525" s="859">
        <v>466.9</v>
      </c>
      <c r="N525" s="858">
        <v>257.5</v>
      </c>
      <c r="O525" s="958">
        <v>45534</v>
      </c>
      <c r="P525" s="958">
        <v>45533</v>
      </c>
      <c r="Q525" s="3" t="s">
        <v>1226</v>
      </c>
      <c r="R525" s="3" t="s">
        <v>1227</v>
      </c>
      <c r="S525" s="851" t="s">
        <v>62</v>
      </c>
      <c r="T525" s="848"/>
      <c r="U525" s="786" t="s">
        <v>130</v>
      </c>
      <c r="V525" s="848"/>
      <c r="W525" s="859">
        <v>280.39999999999998</v>
      </c>
      <c r="X525" s="1282"/>
      <c r="Y525" s="958">
        <v>45533</v>
      </c>
      <c r="Z525" s="856" t="s">
        <v>62</v>
      </c>
      <c r="AA525" s="1076"/>
      <c r="AB525" s="1099"/>
      <c r="AC525" s="1099"/>
      <c r="AD525" s="1176"/>
      <c r="AE525" s="1264">
        <f t="shared" si="66"/>
        <v>0</v>
      </c>
      <c r="AF525" s="1342"/>
      <c r="AG525" s="1317"/>
      <c r="AH525" s="1248"/>
      <c r="AI525" s="1248"/>
      <c r="AJ525" s="1248"/>
      <c r="AK525" s="1285"/>
      <c r="AL525" s="1264"/>
      <c r="AM525" s="1331"/>
      <c r="AN525" s="1334"/>
      <c r="AO525" s="1276"/>
      <c r="AP525" s="1277"/>
      <c r="AQ525" s="1276"/>
      <c r="AR525" s="1278"/>
      <c r="AS525" s="1278"/>
    </row>
    <row r="526" spans="1:51" ht="15.6">
      <c r="A526" s="1097" t="s">
        <v>53</v>
      </c>
      <c r="B526" s="1143" t="s">
        <v>920</v>
      </c>
      <c r="C526" s="1144" t="s">
        <v>921</v>
      </c>
      <c r="D526" s="1144" t="s">
        <v>922</v>
      </c>
      <c r="E526" s="1473" t="s">
        <v>541</v>
      </c>
      <c r="F526" s="856">
        <v>2024</v>
      </c>
      <c r="G526" s="1099" t="s">
        <v>854</v>
      </c>
      <c r="H526" s="3">
        <v>200107287</v>
      </c>
      <c r="I526" s="875" t="s">
        <v>1228</v>
      </c>
      <c r="J526" s="1144">
        <v>7</v>
      </c>
      <c r="K526" s="3" t="s">
        <v>60</v>
      </c>
      <c r="L526" s="3" t="s">
        <v>128</v>
      </c>
      <c r="M526" s="865">
        <v>466.9</v>
      </c>
      <c r="N526" s="858">
        <v>256.83</v>
      </c>
      <c r="O526" s="958">
        <v>45534</v>
      </c>
      <c r="P526" s="958">
        <v>45533</v>
      </c>
      <c r="Q526" s="3" t="s">
        <v>1229</v>
      </c>
      <c r="R526" s="3" t="s">
        <v>1230</v>
      </c>
      <c r="S526" s="851" t="s">
        <v>62</v>
      </c>
      <c r="T526" s="848"/>
      <c r="U526" s="786" t="s">
        <v>130</v>
      </c>
      <c r="V526" s="848"/>
      <c r="W526" s="859">
        <v>279.7</v>
      </c>
      <c r="X526" s="1282"/>
      <c r="Y526" s="958">
        <v>45533</v>
      </c>
      <c r="Z526" s="856" t="s">
        <v>62</v>
      </c>
      <c r="AA526" s="1076"/>
      <c r="AB526" s="1099"/>
      <c r="AC526" s="1099"/>
      <c r="AD526" s="1176"/>
      <c r="AE526" s="1264">
        <f t="shared" si="66"/>
        <v>0</v>
      </c>
      <c r="AF526" s="1342"/>
      <c r="AG526" s="1317"/>
      <c r="AH526" s="1248"/>
      <c r="AI526" s="1248"/>
      <c r="AJ526" s="1248"/>
      <c r="AK526" s="1285"/>
      <c r="AL526" s="1264"/>
      <c r="AM526" s="1331"/>
      <c r="AN526" s="1334"/>
      <c r="AO526" s="1276"/>
      <c r="AP526" s="1277"/>
      <c r="AQ526" s="1276"/>
      <c r="AR526" s="1278"/>
      <c r="AS526" s="1278"/>
    </row>
    <row r="527" spans="1:51" ht="15.6">
      <c r="A527" s="1097" t="s">
        <v>53</v>
      </c>
      <c r="B527" s="1143" t="s">
        <v>920</v>
      </c>
      <c r="C527" s="1144" t="s">
        <v>921</v>
      </c>
      <c r="D527" s="1144" t="s">
        <v>922</v>
      </c>
      <c r="E527" s="1473" t="s">
        <v>541</v>
      </c>
      <c r="F527" s="856">
        <v>2024</v>
      </c>
      <c r="G527" s="1099" t="s">
        <v>854</v>
      </c>
      <c r="H527" s="3">
        <v>200107288</v>
      </c>
      <c r="I527" s="875" t="s">
        <v>1231</v>
      </c>
      <c r="J527" s="1144">
        <v>8</v>
      </c>
      <c r="K527" s="3" t="s">
        <v>60</v>
      </c>
      <c r="L527" s="3" t="s">
        <v>128</v>
      </c>
      <c r="M527" s="858">
        <v>464.3</v>
      </c>
      <c r="N527" s="858">
        <v>258.95999999999998</v>
      </c>
      <c r="O527" s="958">
        <v>45538</v>
      </c>
      <c r="P527" s="958">
        <v>45533</v>
      </c>
      <c r="Q527" s="3" t="s">
        <v>1232</v>
      </c>
      <c r="R527" s="3" t="s">
        <v>1233</v>
      </c>
      <c r="S527" s="3"/>
      <c r="T527" s="848"/>
      <c r="U527" s="786" t="s">
        <v>130</v>
      </c>
      <c r="V527" s="848"/>
      <c r="W527" s="859">
        <v>281.89999999999998</v>
      </c>
      <c r="X527" s="1282"/>
      <c r="Y527" s="958">
        <v>45534</v>
      </c>
      <c r="Z527" s="856" t="s">
        <v>62</v>
      </c>
      <c r="AA527" s="1076"/>
      <c r="AB527" s="1099"/>
      <c r="AC527" s="1099"/>
      <c r="AD527" s="1176"/>
      <c r="AE527" s="1264">
        <f t="shared" si="66"/>
        <v>0</v>
      </c>
      <c r="AF527" s="1342"/>
      <c r="AG527" s="1317"/>
      <c r="AH527" s="1248"/>
      <c r="AI527" s="1248"/>
      <c r="AJ527" s="1248"/>
      <c r="AK527" s="1285"/>
      <c r="AL527" s="1264"/>
      <c r="AM527" s="1331"/>
      <c r="AN527" s="1334"/>
      <c r="AO527" s="1276"/>
      <c r="AP527" s="1277"/>
      <c r="AQ527" s="1276"/>
      <c r="AR527" s="1278"/>
      <c r="AS527" s="1278"/>
    </row>
    <row r="528" spans="1:51" ht="15.6">
      <c r="A528" s="1097" t="s">
        <v>53</v>
      </c>
      <c r="B528" s="1143" t="s">
        <v>920</v>
      </c>
      <c r="C528" s="1144" t="s">
        <v>921</v>
      </c>
      <c r="D528" s="1144" t="s">
        <v>922</v>
      </c>
      <c r="E528" s="1473" t="s">
        <v>541</v>
      </c>
      <c r="F528" s="856">
        <v>2024</v>
      </c>
      <c r="G528" s="1099" t="s">
        <v>854</v>
      </c>
      <c r="H528" s="3">
        <v>200107289</v>
      </c>
      <c r="I528" s="875" t="s">
        <v>1234</v>
      </c>
      <c r="J528" s="1144">
        <v>9</v>
      </c>
      <c r="K528" s="3" t="s">
        <v>60</v>
      </c>
      <c r="L528" s="3" t="s">
        <v>128</v>
      </c>
      <c r="M528" s="865">
        <v>466.6</v>
      </c>
      <c r="N528" s="865">
        <v>256.88</v>
      </c>
      <c r="O528" s="958">
        <v>45538</v>
      </c>
      <c r="P528" s="1179">
        <v>45537</v>
      </c>
      <c r="Q528" s="3" t="s">
        <v>1235</v>
      </c>
      <c r="R528" s="3" t="s">
        <v>1236</v>
      </c>
      <c r="S528" s="1340"/>
      <c r="T528" s="848"/>
      <c r="U528" s="786" t="s">
        <v>130</v>
      </c>
      <c r="V528" s="848"/>
      <c r="W528" s="858">
        <v>279.60000000000002</v>
      </c>
      <c r="X528" s="1282"/>
      <c r="Y528" s="1202">
        <v>45537</v>
      </c>
      <c r="Z528" s="856" t="s">
        <v>62</v>
      </c>
      <c r="AA528" s="1076"/>
      <c r="AB528" s="1099"/>
      <c r="AC528" s="1099"/>
      <c r="AD528" s="1176"/>
      <c r="AE528" s="1264">
        <f t="shared" si="66"/>
        <v>0</v>
      </c>
      <c r="AF528" s="1342"/>
      <c r="AG528" s="1317"/>
      <c r="AH528" s="1248"/>
      <c r="AI528" s="1248"/>
      <c r="AJ528" s="1248"/>
      <c r="AK528" s="1285"/>
      <c r="AL528" s="1264"/>
      <c r="AM528" s="1331"/>
      <c r="AN528" s="1334"/>
      <c r="AO528" s="1276"/>
      <c r="AP528" s="1277"/>
      <c r="AQ528" s="1276"/>
      <c r="AR528" s="1278"/>
      <c r="AS528" s="1278"/>
    </row>
    <row r="529" spans="1:51" ht="15.6">
      <c r="A529" s="1097" t="s">
        <v>53</v>
      </c>
      <c r="B529" s="1143"/>
      <c r="C529" s="1144"/>
      <c r="D529" s="1144"/>
      <c r="E529" s="1098"/>
      <c r="F529" s="856"/>
      <c r="G529" s="1099"/>
      <c r="H529" s="3"/>
      <c r="I529" s="12"/>
      <c r="J529" s="1144"/>
      <c r="K529" s="856"/>
      <c r="L529" s="856"/>
      <c r="M529" s="865"/>
      <c r="N529" s="856"/>
      <c r="O529" s="1179"/>
      <c r="P529" s="1179"/>
      <c r="Q529" s="3"/>
      <c r="R529" s="1099"/>
      <c r="S529" s="1340"/>
      <c r="T529" s="856"/>
      <c r="U529" s="856"/>
      <c r="V529" s="856"/>
      <c r="W529" s="856"/>
      <c r="X529" s="1179"/>
      <c r="Y529" s="1202"/>
      <c r="Z529" s="856"/>
      <c r="AA529" s="1076"/>
      <c r="AB529" s="1099"/>
      <c r="AC529" s="1099"/>
      <c r="AD529" s="1176"/>
      <c r="AE529" s="1264">
        <f t="shared" si="66"/>
        <v>0</v>
      </c>
      <c r="AF529" s="1342"/>
      <c r="AG529" s="1317"/>
      <c r="AH529" s="1248"/>
      <c r="AI529" s="1248"/>
      <c r="AJ529" s="1248"/>
      <c r="AK529" s="1285"/>
      <c r="AL529" s="1264"/>
      <c r="AM529" s="1331"/>
      <c r="AN529" s="1334"/>
      <c r="AO529" s="1276"/>
      <c r="AP529" s="1277"/>
      <c r="AQ529" s="1276"/>
      <c r="AR529" s="1278"/>
      <c r="AS529" s="1278"/>
    </row>
    <row r="530" spans="1:51" s="1183" customFormat="1" ht="15.6">
      <c r="A530" s="1097" t="s">
        <v>53</v>
      </c>
      <c r="B530" s="1075" t="s">
        <v>1237</v>
      </c>
      <c r="C530" s="851" t="s">
        <v>1238</v>
      </c>
      <c r="D530" s="851" t="s">
        <v>1239</v>
      </c>
      <c r="E530" s="1481" t="s">
        <v>213</v>
      </c>
      <c r="F530" s="856">
        <v>2024</v>
      </c>
      <c r="G530" s="1175">
        <v>45344</v>
      </c>
      <c r="H530" s="1192">
        <v>300020921</v>
      </c>
      <c r="I530" s="1339" t="s">
        <v>1240</v>
      </c>
      <c r="J530" s="1174">
        <v>1</v>
      </c>
      <c r="K530" s="3" t="s">
        <v>128</v>
      </c>
      <c r="L530" s="3" t="s">
        <v>60</v>
      </c>
      <c r="M530" s="858">
        <v>268.45</v>
      </c>
      <c r="N530" s="786">
        <v>453.3</v>
      </c>
      <c r="O530" s="958">
        <v>45349</v>
      </c>
      <c r="P530" s="958">
        <v>45349</v>
      </c>
      <c r="Q530" s="3" t="s">
        <v>1241</v>
      </c>
      <c r="R530" s="785" t="s">
        <v>1242</v>
      </c>
      <c r="S530" s="851" t="s">
        <v>62</v>
      </c>
      <c r="T530" s="856" t="s">
        <v>69</v>
      </c>
      <c r="U530" s="3" t="s">
        <v>130</v>
      </c>
      <c r="V530" s="1174">
        <v>473.02</v>
      </c>
      <c r="W530" s="858">
        <v>279.89999999999998</v>
      </c>
      <c r="X530" s="1179">
        <v>45352</v>
      </c>
      <c r="Y530" s="958">
        <v>45350</v>
      </c>
      <c r="Z530" s="856" t="s">
        <v>62</v>
      </c>
      <c r="AA530" s="1354" t="s">
        <v>1243</v>
      </c>
      <c r="AB530" s="1099">
        <v>45359</v>
      </c>
      <c r="AC530" s="1099">
        <v>45359</v>
      </c>
      <c r="AD530" s="1355">
        <f>225+489</f>
        <v>714</v>
      </c>
      <c r="AE530" s="1264">
        <f t="shared" ref="AE530:AE550" si="67">AD530/750</f>
        <v>0.95199999999999996</v>
      </c>
      <c r="AF530" s="1228" t="s">
        <v>64</v>
      </c>
      <c r="AG530" s="1360">
        <v>1</v>
      </c>
      <c r="AH530" s="851" t="s">
        <v>514</v>
      </c>
      <c r="AI530" s="1248">
        <v>45365</v>
      </c>
      <c r="AJ530" s="1248">
        <v>45365</v>
      </c>
      <c r="AK530" s="1288">
        <f>38908+52280+3742</f>
        <v>94930</v>
      </c>
      <c r="AL530" s="1264">
        <f t="shared" ref="AL530:AL550" si="68">AK530/100000</f>
        <v>0.94930000000000003</v>
      </c>
      <c r="AM530" s="1361" t="s">
        <v>62</v>
      </c>
      <c r="AN530" s="1362">
        <v>1</v>
      </c>
      <c r="AO530" s="1276"/>
      <c r="AP530" s="1370"/>
      <c r="AQ530" s="1276"/>
      <c r="AR530" s="1278"/>
      <c r="AS530" s="1278"/>
      <c r="AT530" s="1371"/>
      <c r="AU530" s="1371"/>
      <c r="AV530" s="1371"/>
      <c r="AW530" s="1372"/>
      <c r="AX530" s="1373"/>
      <c r="AY530" s="1371"/>
    </row>
    <row r="531" spans="1:51" s="1183" customFormat="1" ht="15.6">
      <c r="A531" s="1097" t="s">
        <v>53</v>
      </c>
      <c r="B531" s="1075" t="s">
        <v>1237</v>
      </c>
      <c r="C531" s="851" t="s">
        <v>1238</v>
      </c>
      <c r="D531" s="851" t="s">
        <v>1239</v>
      </c>
      <c r="E531" s="1481" t="s">
        <v>213</v>
      </c>
      <c r="F531" s="856">
        <v>2024</v>
      </c>
      <c r="G531" s="1175">
        <v>45344</v>
      </c>
      <c r="H531" s="1192">
        <v>300020922</v>
      </c>
      <c r="I531" s="1339" t="s">
        <v>1244</v>
      </c>
      <c r="J531" s="1174">
        <v>2</v>
      </c>
      <c r="K531" s="3" t="s">
        <v>128</v>
      </c>
      <c r="L531" s="3" t="s">
        <v>60</v>
      </c>
      <c r="M531" s="858">
        <v>271.52</v>
      </c>
      <c r="N531" s="786">
        <v>456.1</v>
      </c>
      <c r="O531" s="958">
        <v>45349</v>
      </c>
      <c r="P531" s="958">
        <v>45349</v>
      </c>
      <c r="Q531" s="3" t="s">
        <v>1245</v>
      </c>
      <c r="R531" s="3" t="s">
        <v>1246</v>
      </c>
      <c r="S531" s="851" t="s">
        <v>62</v>
      </c>
      <c r="T531" s="856" t="s">
        <v>69</v>
      </c>
      <c r="U531" s="3" t="s">
        <v>130</v>
      </c>
      <c r="V531" s="1174">
        <v>475.78</v>
      </c>
      <c r="W531" s="858">
        <v>283.3</v>
      </c>
      <c r="X531" s="1179">
        <v>45352</v>
      </c>
      <c r="Y531" s="958">
        <v>45350</v>
      </c>
      <c r="Z531" s="856" t="s">
        <v>62</v>
      </c>
      <c r="AA531" s="1354" t="s">
        <v>1243</v>
      </c>
      <c r="AB531" s="1099">
        <v>45359</v>
      </c>
      <c r="AC531" s="1099">
        <v>45360</v>
      </c>
      <c r="AD531" s="1355">
        <f>600+124</f>
        <v>724</v>
      </c>
      <c r="AE531" s="1264">
        <f t="shared" si="67"/>
        <v>0.96533333333333338</v>
      </c>
      <c r="AF531" s="1228" t="s">
        <v>64</v>
      </c>
      <c r="AG531" s="1360">
        <v>1</v>
      </c>
      <c r="AH531" s="851" t="s">
        <v>514</v>
      </c>
      <c r="AI531" s="1248">
        <v>45365</v>
      </c>
      <c r="AJ531" s="1248">
        <v>45366</v>
      </c>
      <c r="AK531" s="1263">
        <f>44302+43779+8214</f>
        <v>96295</v>
      </c>
      <c r="AL531" s="1264">
        <f t="shared" si="68"/>
        <v>0.96294999999999997</v>
      </c>
      <c r="AM531" s="1361" t="s">
        <v>62</v>
      </c>
      <c r="AN531" s="1362">
        <v>1</v>
      </c>
      <c r="AO531" s="1276">
        <f>957+2508</f>
        <v>3465</v>
      </c>
      <c r="AP531" s="1370">
        <v>45447</v>
      </c>
      <c r="AQ531" s="1276" t="s">
        <v>514</v>
      </c>
      <c r="AR531" s="1278"/>
      <c r="AS531" s="1278"/>
      <c r="AT531" s="1371"/>
      <c r="AU531" s="1371"/>
      <c r="AV531" s="1371"/>
      <c r="AW531" s="1372"/>
      <c r="AX531" s="1373"/>
      <c r="AY531" s="1371"/>
    </row>
    <row r="532" spans="1:51" s="1183" customFormat="1" ht="15.6">
      <c r="A532" s="1097" t="s">
        <v>53</v>
      </c>
      <c r="B532" s="1075" t="s">
        <v>1237</v>
      </c>
      <c r="C532" s="851" t="s">
        <v>1238</v>
      </c>
      <c r="D532" s="851" t="s">
        <v>1239</v>
      </c>
      <c r="E532" s="1481" t="s">
        <v>213</v>
      </c>
      <c r="F532" s="856">
        <v>2024</v>
      </c>
      <c r="G532" s="1175">
        <v>45344</v>
      </c>
      <c r="H532" s="1192">
        <v>300020923</v>
      </c>
      <c r="I532" s="1339" t="s">
        <v>1247</v>
      </c>
      <c r="J532" s="1174">
        <v>3</v>
      </c>
      <c r="K532" s="3" t="s">
        <v>128</v>
      </c>
      <c r="L532" s="3" t="s">
        <v>60</v>
      </c>
      <c r="M532" s="858">
        <v>268.94</v>
      </c>
      <c r="N532" s="762">
        <v>452</v>
      </c>
      <c r="O532" s="958">
        <v>45350</v>
      </c>
      <c r="P532" s="958">
        <v>45351</v>
      </c>
      <c r="Q532" s="3" t="s">
        <v>1248</v>
      </c>
      <c r="R532" s="3" t="s">
        <v>1249</v>
      </c>
      <c r="S532" s="851" t="s">
        <v>62</v>
      </c>
      <c r="T532" s="856" t="s">
        <v>69</v>
      </c>
      <c r="U532" s="3" t="s">
        <v>130</v>
      </c>
      <c r="V532" s="1174">
        <v>471.75</v>
      </c>
      <c r="W532" s="858">
        <v>280.7</v>
      </c>
      <c r="X532" s="1179">
        <v>45352</v>
      </c>
      <c r="Y532" s="958">
        <v>45350</v>
      </c>
      <c r="Z532" s="856" t="s">
        <v>62</v>
      </c>
      <c r="AA532" s="1354" t="s">
        <v>1243</v>
      </c>
      <c r="AB532" s="1099">
        <v>45356</v>
      </c>
      <c r="AC532" s="1099">
        <v>45356</v>
      </c>
      <c r="AD532" s="1355">
        <f>520+192</f>
        <v>712</v>
      </c>
      <c r="AE532" s="1264">
        <f t="shared" si="67"/>
        <v>0.94933333333333336</v>
      </c>
      <c r="AF532" s="1228" t="s">
        <v>64</v>
      </c>
      <c r="AG532" s="1360">
        <v>1</v>
      </c>
      <c r="AH532" s="851" t="s">
        <v>514</v>
      </c>
      <c r="AI532" s="1248">
        <v>45357</v>
      </c>
      <c r="AJ532" s="1248">
        <v>45334</v>
      </c>
      <c r="AK532" s="1288">
        <f>20750+27775+36364+411+8581</f>
        <v>93881</v>
      </c>
      <c r="AL532" s="1264">
        <f t="shared" si="68"/>
        <v>0.93881000000000003</v>
      </c>
      <c r="AM532" s="1361" t="s">
        <v>62</v>
      </c>
      <c r="AN532" s="1362">
        <v>1</v>
      </c>
      <c r="AO532" s="1276">
        <v>708</v>
      </c>
      <c r="AP532" s="1370">
        <v>45379</v>
      </c>
      <c r="AQ532" s="1276" t="s">
        <v>514</v>
      </c>
      <c r="AR532" s="1278"/>
      <c r="AS532" s="1278"/>
      <c r="AT532" s="1371"/>
      <c r="AU532" s="1371"/>
      <c r="AV532" s="1371"/>
      <c r="AW532" s="1372"/>
      <c r="AX532" s="1373"/>
      <c r="AY532" s="1371"/>
    </row>
    <row r="533" spans="1:51" s="1183" customFormat="1" ht="15.6">
      <c r="A533" s="1097" t="s">
        <v>53</v>
      </c>
      <c r="B533" s="1075" t="s">
        <v>1237</v>
      </c>
      <c r="C533" s="851" t="s">
        <v>1238</v>
      </c>
      <c r="D533" s="851" t="s">
        <v>1239</v>
      </c>
      <c r="E533" s="1481" t="s">
        <v>213</v>
      </c>
      <c r="F533" s="856">
        <v>2024</v>
      </c>
      <c r="G533" s="1175">
        <v>45344</v>
      </c>
      <c r="H533" s="1192">
        <v>300020924</v>
      </c>
      <c r="I533" s="1339" t="s">
        <v>1250</v>
      </c>
      <c r="J533" s="1174">
        <v>4</v>
      </c>
      <c r="K533" s="3" t="s">
        <v>128</v>
      </c>
      <c r="L533" s="3" t="s">
        <v>60</v>
      </c>
      <c r="M533" s="858">
        <v>269.14</v>
      </c>
      <c r="N533" s="762">
        <v>455.3</v>
      </c>
      <c r="O533" s="958">
        <v>45350</v>
      </c>
      <c r="P533" s="958">
        <v>45351</v>
      </c>
      <c r="Q533" s="3" t="s">
        <v>1251</v>
      </c>
      <c r="R533" s="3" t="s">
        <v>1252</v>
      </c>
      <c r="S533" s="851" t="s">
        <v>62</v>
      </c>
      <c r="T533" s="856" t="s">
        <v>69</v>
      </c>
      <c r="U533" s="3" t="s">
        <v>130</v>
      </c>
      <c r="V533" s="1174">
        <v>475.07</v>
      </c>
      <c r="W533" s="858">
        <v>280.7</v>
      </c>
      <c r="X533" s="1179">
        <v>45352</v>
      </c>
      <c r="Y533" s="958">
        <v>45350</v>
      </c>
      <c r="Z533" s="856" t="s">
        <v>62</v>
      </c>
      <c r="AA533" s="1354" t="s">
        <v>1243</v>
      </c>
      <c r="AB533" s="1099">
        <v>45356</v>
      </c>
      <c r="AC533" s="1099">
        <v>45356</v>
      </c>
      <c r="AD533" s="1355">
        <f>340+380</f>
        <v>720</v>
      </c>
      <c r="AE533" s="1264">
        <f t="shared" si="67"/>
        <v>0.96</v>
      </c>
      <c r="AF533" s="1228" t="s">
        <v>64</v>
      </c>
      <c r="AG533" s="1360">
        <v>1</v>
      </c>
      <c r="AH533" s="851" t="s">
        <v>514</v>
      </c>
      <c r="AI533" s="1248">
        <v>45358</v>
      </c>
      <c r="AJ533" s="1248">
        <v>45359</v>
      </c>
      <c r="AK533" s="1263">
        <f>28807+47900+19298+1241</f>
        <v>97246</v>
      </c>
      <c r="AL533" s="1264">
        <f t="shared" si="68"/>
        <v>0.97245999999999999</v>
      </c>
      <c r="AM533" s="1361" t="s">
        <v>62</v>
      </c>
      <c r="AN533" s="1362">
        <v>1</v>
      </c>
      <c r="AO533" s="1276">
        <v>1241</v>
      </c>
      <c r="AP533" s="1370">
        <v>45379</v>
      </c>
      <c r="AQ533" s="1276" t="s">
        <v>514</v>
      </c>
      <c r="AR533" s="1278"/>
      <c r="AS533" s="1278"/>
      <c r="AT533" s="1371"/>
      <c r="AU533" s="1371"/>
      <c r="AV533" s="1371"/>
      <c r="AW533" s="1372"/>
      <c r="AX533" s="1373"/>
      <c r="AY533" s="1371"/>
    </row>
    <row r="534" spans="1:51" s="1183" customFormat="1" ht="15.6">
      <c r="A534" s="1097" t="s">
        <v>53</v>
      </c>
      <c r="B534" s="1075" t="s">
        <v>1237</v>
      </c>
      <c r="C534" s="851" t="s">
        <v>1238</v>
      </c>
      <c r="D534" s="851" t="s">
        <v>1239</v>
      </c>
      <c r="E534" s="1481" t="s">
        <v>213</v>
      </c>
      <c r="F534" s="856">
        <v>2024</v>
      </c>
      <c r="G534" s="1175">
        <v>45344</v>
      </c>
      <c r="H534" s="1192">
        <v>300020925</v>
      </c>
      <c r="I534" s="1339" t="s">
        <v>1253</v>
      </c>
      <c r="J534" s="1174">
        <v>5</v>
      </c>
      <c r="K534" s="3" t="s">
        <v>128</v>
      </c>
      <c r="L534" s="3" t="s">
        <v>60</v>
      </c>
      <c r="M534" s="786">
        <v>271.23</v>
      </c>
      <c r="N534" s="762">
        <v>449.2</v>
      </c>
      <c r="O534" s="958">
        <v>45352</v>
      </c>
      <c r="P534" s="958">
        <v>45355</v>
      </c>
      <c r="Q534" s="3" t="s">
        <v>1254</v>
      </c>
      <c r="R534" s="3" t="s">
        <v>1255</v>
      </c>
      <c r="S534" s="851" t="s">
        <v>62</v>
      </c>
      <c r="T534" s="856" t="s">
        <v>75</v>
      </c>
      <c r="U534" s="3" t="s">
        <v>130</v>
      </c>
      <c r="V534" s="1174">
        <v>469</v>
      </c>
      <c r="W534" s="786">
        <v>282.8</v>
      </c>
      <c r="X534" s="1179">
        <v>45355</v>
      </c>
      <c r="Y534" s="958">
        <v>45355</v>
      </c>
      <c r="Z534" s="856" t="s">
        <v>62</v>
      </c>
      <c r="AA534" s="1354" t="s">
        <v>1243</v>
      </c>
      <c r="AB534" s="1099">
        <v>45356</v>
      </c>
      <c r="AC534" s="1099">
        <v>45357</v>
      </c>
      <c r="AD534" s="1355">
        <f>255+235+235</f>
        <v>725</v>
      </c>
      <c r="AE534" s="1264">
        <f t="shared" si="67"/>
        <v>0.96666666666666667</v>
      </c>
      <c r="AF534" s="1228" t="s">
        <v>64</v>
      </c>
      <c r="AG534" s="1360">
        <v>1</v>
      </c>
      <c r="AH534" s="851" t="s">
        <v>514</v>
      </c>
      <c r="AI534" s="1248">
        <v>45359</v>
      </c>
      <c r="AJ534" s="1248">
        <v>45361</v>
      </c>
      <c r="AK534" s="1263">
        <f>15249+36021+3090+27824+12000+1828</f>
        <v>96012</v>
      </c>
      <c r="AL534" s="1264">
        <f t="shared" si="68"/>
        <v>0.96011999999999997</v>
      </c>
      <c r="AM534" s="1361" t="s">
        <v>62</v>
      </c>
      <c r="AN534" s="1362">
        <v>1</v>
      </c>
      <c r="AO534" s="1276">
        <v>1828</v>
      </c>
      <c r="AP534" s="1370">
        <v>45379</v>
      </c>
      <c r="AQ534" s="1276" t="s">
        <v>514</v>
      </c>
      <c r="AR534" s="1278"/>
      <c r="AS534" s="1278"/>
      <c r="AT534" s="1371"/>
      <c r="AU534" s="1371"/>
      <c r="AV534" s="1371"/>
      <c r="AW534" s="1372"/>
      <c r="AX534" s="1373"/>
      <c r="AY534" s="1371"/>
    </row>
    <row r="535" spans="1:51" s="1183" customFormat="1" ht="16.95" customHeight="1">
      <c r="A535" s="1097" t="s">
        <v>53</v>
      </c>
      <c r="B535" s="1075" t="s">
        <v>1237</v>
      </c>
      <c r="C535" s="851" t="s">
        <v>1238</v>
      </c>
      <c r="D535" s="851" t="s">
        <v>1239</v>
      </c>
      <c r="E535" s="1481" t="s">
        <v>213</v>
      </c>
      <c r="F535" s="856">
        <v>2024</v>
      </c>
      <c r="G535" s="1175">
        <v>45344</v>
      </c>
      <c r="H535" s="1192">
        <v>300020926</v>
      </c>
      <c r="I535" s="1339" t="s">
        <v>1256</v>
      </c>
      <c r="J535" s="1174">
        <v>6</v>
      </c>
      <c r="K535" s="3" t="s">
        <v>128</v>
      </c>
      <c r="L535" s="3" t="s">
        <v>60</v>
      </c>
      <c r="M535" s="786">
        <v>268.87</v>
      </c>
      <c r="N535" s="762">
        <v>455.3</v>
      </c>
      <c r="O535" s="958">
        <v>45352</v>
      </c>
      <c r="P535" s="958">
        <v>45355</v>
      </c>
      <c r="Q535" s="3" t="s">
        <v>1257</v>
      </c>
      <c r="R535" s="3" t="s">
        <v>1258</v>
      </c>
      <c r="S535" s="851" t="s">
        <v>62</v>
      </c>
      <c r="T535" s="856" t="s">
        <v>75</v>
      </c>
      <c r="U535" s="3" t="s">
        <v>130</v>
      </c>
      <c r="V535" s="1174">
        <v>475.04</v>
      </c>
      <c r="W535" s="786">
        <v>280.2</v>
      </c>
      <c r="X535" s="1179">
        <v>45355</v>
      </c>
      <c r="Y535" s="958">
        <v>45355</v>
      </c>
      <c r="Z535" s="856" t="s">
        <v>62</v>
      </c>
      <c r="AA535" s="1354" t="s">
        <v>1243</v>
      </c>
      <c r="AB535" s="1099">
        <v>45357</v>
      </c>
      <c r="AC535" s="1099">
        <v>45357</v>
      </c>
      <c r="AD535" s="1355">
        <f>280+444</f>
        <v>724</v>
      </c>
      <c r="AE535" s="1264">
        <f t="shared" si="67"/>
        <v>0.96533333333333338</v>
      </c>
      <c r="AF535" s="1228" t="s">
        <v>64</v>
      </c>
      <c r="AG535" s="1360">
        <v>1</v>
      </c>
      <c r="AH535" s="851" t="s">
        <v>514</v>
      </c>
      <c r="AI535" s="1248">
        <v>45361</v>
      </c>
      <c r="AJ535" s="1248">
        <v>45369</v>
      </c>
      <c r="AK535" s="1288">
        <f>20510+1600+12054+28900+32620+1664</f>
        <v>97348</v>
      </c>
      <c r="AL535" s="1264">
        <f t="shared" si="68"/>
        <v>0.97348000000000001</v>
      </c>
      <c r="AM535" s="1361" t="s">
        <v>62</v>
      </c>
      <c r="AN535" s="1362">
        <v>1</v>
      </c>
      <c r="AO535" s="1276">
        <v>1664</v>
      </c>
      <c r="AP535" s="1370">
        <v>45379</v>
      </c>
      <c r="AQ535" s="1276" t="s">
        <v>514</v>
      </c>
      <c r="AR535" s="1278"/>
      <c r="AS535" s="1278"/>
      <c r="AT535" s="1371"/>
      <c r="AU535" s="1371"/>
      <c r="AV535" s="1371"/>
      <c r="AW535" s="1372"/>
      <c r="AX535" s="1373"/>
      <c r="AY535" s="1371"/>
    </row>
    <row r="536" spans="1:51" s="1183" customFormat="1" ht="15.6">
      <c r="A536" s="1097" t="s">
        <v>53</v>
      </c>
      <c r="B536" s="1075" t="s">
        <v>1237</v>
      </c>
      <c r="C536" s="851" t="s">
        <v>1238</v>
      </c>
      <c r="D536" s="851" t="s">
        <v>1239</v>
      </c>
      <c r="E536" s="1481" t="s">
        <v>213</v>
      </c>
      <c r="F536" s="856">
        <v>2024</v>
      </c>
      <c r="G536" s="1175">
        <v>45344</v>
      </c>
      <c r="H536" s="1192">
        <v>300020927</v>
      </c>
      <c r="I536" s="1339" t="s">
        <v>1259</v>
      </c>
      <c r="J536" s="1174">
        <v>7</v>
      </c>
      <c r="K536" s="3" t="s">
        <v>128</v>
      </c>
      <c r="L536" s="3" t="s">
        <v>60</v>
      </c>
      <c r="M536" s="786">
        <v>270.3</v>
      </c>
      <c r="N536" s="785">
        <v>454.3</v>
      </c>
      <c r="O536" s="958">
        <v>45355</v>
      </c>
      <c r="P536" s="958">
        <v>45355</v>
      </c>
      <c r="Q536" s="3" t="s">
        <v>1260</v>
      </c>
      <c r="R536" s="3" t="s">
        <v>1261</v>
      </c>
      <c r="S536" s="851" t="s">
        <v>62</v>
      </c>
      <c r="T536" s="856" t="s">
        <v>75</v>
      </c>
      <c r="U536" s="3" t="s">
        <v>130</v>
      </c>
      <c r="V536" s="1174">
        <v>474.02</v>
      </c>
      <c r="W536" s="762">
        <v>282.10000000000002</v>
      </c>
      <c r="X536" s="1179">
        <v>45355</v>
      </c>
      <c r="Y536" s="958">
        <v>45356</v>
      </c>
      <c r="Z536" s="856" t="s">
        <v>62</v>
      </c>
      <c r="AA536" s="1354" t="s">
        <v>1243</v>
      </c>
      <c r="AB536" s="1099">
        <v>45357</v>
      </c>
      <c r="AC536" s="1099">
        <v>45358</v>
      </c>
      <c r="AD536" s="1355">
        <f>180+542</f>
        <v>722</v>
      </c>
      <c r="AE536" s="1264">
        <f t="shared" si="67"/>
        <v>0.96266666666666667</v>
      </c>
      <c r="AF536" s="1228" t="s">
        <v>64</v>
      </c>
      <c r="AG536" s="1360">
        <v>1</v>
      </c>
      <c r="AH536" s="851" t="s">
        <v>514</v>
      </c>
      <c r="AI536" s="1248">
        <v>45361</v>
      </c>
      <c r="AJ536" s="1248">
        <v>45334</v>
      </c>
      <c r="AK536" s="1263">
        <f>6400+36500+42500+10716+1145</f>
        <v>97261</v>
      </c>
      <c r="AL536" s="1264">
        <f t="shared" si="68"/>
        <v>0.97260999999999997</v>
      </c>
      <c r="AM536" s="1361" t="s">
        <v>62</v>
      </c>
      <c r="AN536" s="1362">
        <v>1</v>
      </c>
      <c r="AO536" s="1276">
        <v>1145</v>
      </c>
      <c r="AP536" s="1370">
        <v>45379</v>
      </c>
      <c r="AQ536" s="1276" t="s">
        <v>514</v>
      </c>
      <c r="AR536" s="1278"/>
      <c r="AS536" s="1278"/>
      <c r="AT536" s="1371"/>
      <c r="AU536" s="1371"/>
      <c r="AV536" s="1371"/>
      <c r="AW536" s="1372"/>
      <c r="AX536" s="1373"/>
      <c r="AY536" s="1371"/>
    </row>
    <row r="537" spans="1:51" s="1183" customFormat="1" ht="15.6">
      <c r="A537" s="1097" t="s">
        <v>53</v>
      </c>
      <c r="B537" s="1075" t="s">
        <v>1237</v>
      </c>
      <c r="C537" s="851" t="s">
        <v>1238</v>
      </c>
      <c r="D537" s="851" t="s">
        <v>1239</v>
      </c>
      <c r="E537" s="1481" t="s">
        <v>213</v>
      </c>
      <c r="F537" s="856">
        <v>2024</v>
      </c>
      <c r="G537" s="1175">
        <v>45344</v>
      </c>
      <c r="H537" s="1192">
        <v>300020960</v>
      </c>
      <c r="I537" s="1339" t="s">
        <v>1262</v>
      </c>
      <c r="J537" s="1174">
        <v>8</v>
      </c>
      <c r="K537" s="3" t="s">
        <v>128</v>
      </c>
      <c r="L537" s="3" t="s">
        <v>60</v>
      </c>
      <c r="M537" s="786">
        <v>272.61</v>
      </c>
      <c r="N537" s="785">
        <v>458.5</v>
      </c>
      <c r="O537" s="958">
        <v>45355</v>
      </c>
      <c r="P537" s="958">
        <v>45355</v>
      </c>
      <c r="Q537" s="3" t="s">
        <v>1263</v>
      </c>
      <c r="R537" s="3" t="s">
        <v>1264</v>
      </c>
      <c r="S537" s="851" t="s">
        <v>62</v>
      </c>
      <c r="T537" s="856" t="s">
        <v>75</v>
      </c>
      <c r="U537" s="3" t="s">
        <v>130</v>
      </c>
      <c r="V537" s="1174">
        <v>478.2</v>
      </c>
      <c r="W537" s="762">
        <v>284.39999999999998</v>
      </c>
      <c r="X537" s="1179">
        <v>45356</v>
      </c>
      <c r="Y537" s="958">
        <v>45356</v>
      </c>
      <c r="Z537" s="856" t="s">
        <v>62</v>
      </c>
      <c r="AA537" s="1354" t="s">
        <v>1243</v>
      </c>
      <c r="AB537" s="1099">
        <v>45358</v>
      </c>
      <c r="AC537" s="1099">
        <v>45358</v>
      </c>
      <c r="AD537" s="1355">
        <f>600+128</f>
        <v>728</v>
      </c>
      <c r="AE537" s="1264">
        <f t="shared" si="67"/>
        <v>0.97066666666666668</v>
      </c>
      <c r="AF537" s="1228" t="s">
        <v>64</v>
      </c>
      <c r="AG537" s="1360">
        <v>1</v>
      </c>
      <c r="AH537" s="851" t="s">
        <v>514</v>
      </c>
      <c r="AI537" s="1248">
        <v>45334</v>
      </c>
      <c r="AJ537" s="1248">
        <v>45364</v>
      </c>
      <c r="AK537" s="1263">
        <f>6400+36500+42500+10716+742</f>
        <v>96858</v>
      </c>
      <c r="AL537" s="1264">
        <f t="shared" si="68"/>
        <v>0.96858</v>
      </c>
      <c r="AM537" s="1361" t="s">
        <v>62</v>
      </c>
      <c r="AN537" s="1362">
        <v>1</v>
      </c>
      <c r="AO537" s="1276">
        <v>742</v>
      </c>
      <c r="AP537" s="1370">
        <v>45379</v>
      </c>
      <c r="AQ537" s="1276" t="s">
        <v>514</v>
      </c>
      <c r="AR537" s="1278"/>
      <c r="AS537" s="1278"/>
      <c r="AT537" s="1371"/>
      <c r="AU537" s="1371"/>
      <c r="AV537" s="1371"/>
      <c r="AW537" s="1372"/>
      <c r="AX537" s="1373"/>
      <c r="AY537" s="1371"/>
    </row>
    <row r="538" spans="1:51" s="1183" customFormat="1" ht="15.6">
      <c r="A538" s="1097" t="s">
        <v>53</v>
      </c>
      <c r="B538" s="1075" t="s">
        <v>1237</v>
      </c>
      <c r="C538" s="851" t="s">
        <v>1238</v>
      </c>
      <c r="D538" s="851" t="s">
        <v>1239</v>
      </c>
      <c r="E538" s="1481" t="s">
        <v>213</v>
      </c>
      <c r="F538" s="856">
        <v>2024</v>
      </c>
      <c r="G538" s="1175">
        <v>45344</v>
      </c>
      <c r="H538" s="1192">
        <v>300020961</v>
      </c>
      <c r="I538" s="1339" t="s">
        <v>1265</v>
      </c>
      <c r="J538" s="1174">
        <v>9</v>
      </c>
      <c r="K538" s="3" t="s">
        <v>128</v>
      </c>
      <c r="L538" s="3" t="s">
        <v>60</v>
      </c>
      <c r="M538" s="762">
        <v>269.19</v>
      </c>
      <c r="N538" s="786">
        <v>450.9</v>
      </c>
      <c r="O538" s="958">
        <v>45355</v>
      </c>
      <c r="P538" s="958">
        <v>45356</v>
      </c>
      <c r="Q538" s="3" t="s">
        <v>1266</v>
      </c>
      <c r="R538" s="785" t="s">
        <v>1267</v>
      </c>
      <c r="S538" s="851" t="s">
        <v>62</v>
      </c>
      <c r="T538" s="856" t="s">
        <v>75</v>
      </c>
      <c r="U538" s="3" t="s">
        <v>130</v>
      </c>
      <c r="V538" s="1174">
        <v>470.66</v>
      </c>
      <c r="W538" s="762">
        <v>280.7</v>
      </c>
      <c r="X538" s="1179">
        <v>45356</v>
      </c>
      <c r="Y538" s="958">
        <v>45356</v>
      </c>
      <c r="Z538" s="856" t="s">
        <v>62</v>
      </c>
      <c r="AA538" s="1354" t="s">
        <v>1243</v>
      </c>
      <c r="AB538" s="1099">
        <v>45358</v>
      </c>
      <c r="AC538" s="1099">
        <v>45359</v>
      </c>
      <c r="AD538" s="1355">
        <f>490+228</f>
        <v>718</v>
      </c>
      <c r="AE538" s="1264">
        <f t="shared" si="67"/>
        <v>0.95733333333333337</v>
      </c>
      <c r="AF538" s="1228" t="s">
        <v>64</v>
      </c>
      <c r="AG538" s="1360">
        <v>1</v>
      </c>
      <c r="AH538" s="851" t="s">
        <v>514</v>
      </c>
      <c r="AI538" s="1248">
        <v>45364</v>
      </c>
      <c r="AJ538" s="1248">
        <v>45365</v>
      </c>
      <c r="AK538" s="1263">
        <f>25580+54080+16171</f>
        <v>95831</v>
      </c>
      <c r="AL538" s="1264">
        <f t="shared" si="68"/>
        <v>0.95831</v>
      </c>
      <c r="AM538" s="1361" t="s">
        <v>62</v>
      </c>
      <c r="AN538" s="1362">
        <v>1</v>
      </c>
      <c r="AO538" s="1276"/>
      <c r="AP538" s="1370"/>
      <c r="AQ538" s="1276"/>
      <c r="AR538" s="1278"/>
      <c r="AS538" s="1278"/>
      <c r="AT538" s="1371"/>
      <c r="AU538" s="1371"/>
      <c r="AV538" s="1371"/>
      <c r="AW538" s="1372"/>
      <c r="AX538" s="1373"/>
      <c r="AY538" s="1371"/>
    </row>
    <row r="539" spans="1:51" s="1183" customFormat="1" ht="15.6">
      <c r="A539" s="1097" t="s">
        <v>53</v>
      </c>
      <c r="B539" s="1075" t="s">
        <v>1237</v>
      </c>
      <c r="C539" s="851" t="s">
        <v>1238</v>
      </c>
      <c r="D539" s="851" t="s">
        <v>1239</v>
      </c>
      <c r="E539" s="1481" t="s">
        <v>213</v>
      </c>
      <c r="F539" s="856">
        <v>2024</v>
      </c>
      <c r="G539" s="1175">
        <v>45344</v>
      </c>
      <c r="H539" s="1192">
        <v>300020962</v>
      </c>
      <c r="I539" s="1338" t="s">
        <v>1268</v>
      </c>
      <c r="J539" s="1174">
        <v>10</v>
      </c>
      <c r="K539" s="3" t="s">
        <v>128</v>
      </c>
      <c r="L539" s="3" t="s">
        <v>60</v>
      </c>
      <c r="M539" s="762">
        <v>271.43</v>
      </c>
      <c r="N539" s="762">
        <v>454.78</v>
      </c>
      <c r="O539" s="958">
        <v>45355</v>
      </c>
      <c r="P539" s="958">
        <v>45356</v>
      </c>
      <c r="Q539" s="3" t="s">
        <v>1241</v>
      </c>
      <c r="R539" s="3" t="s">
        <v>1269</v>
      </c>
      <c r="S539" s="851" t="s">
        <v>62</v>
      </c>
      <c r="T539" s="856" t="s">
        <v>75</v>
      </c>
      <c r="U539" s="3" t="s">
        <v>130</v>
      </c>
      <c r="V539" s="1174">
        <v>477.6</v>
      </c>
      <c r="W539" s="786">
        <v>283.2</v>
      </c>
      <c r="X539" s="1179">
        <v>45356</v>
      </c>
      <c r="Y539" s="958">
        <v>45356</v>
      </c>
      <c r="Z539" s="856" t="s">
        <v>62</v>
      </c>
      <c r="AA539" s="1354" t="s">
        <v>1243</v>
      </c>
      <c r="AB539" s="1099">
        <v>45360</v>
      </c>
      <c r="AC539" s="1099">
        <v>45360</v>
      </c>
      <c r="AD539" s="1355">
        <f>455+265</f>
        <v>720</v>
      </c>
      <c r="AE539" s="1264">
        <f t="shared" si="67"/>
        <v>0.96</v>
      </c>
      <c r="AF539" s="1228" t="s">
        <v>64</v>
      </c>
      <c r="AG539" s="1360">
        <v>1</v>
      </c>
      <c r="AH539" s="851" t="s">
        <v>514</v>
      </c>
      <c r="AI539" s="1248">
        <v>45366</v>
      </c>
      <c r="AJ539" s="1248">
        <v>45367</v>
      </c>
      <c r="AK539" s="1263">
        <f>11950+51700+31966</f>
        <v>95616</v>
      </c>
      <c r="AL539" s="1264">
        <f t="shared" si="68"/>
        <v>0.95616000000000001</v>
      </c>
      <c r="AM539" s="1361" t="s">
        <v>62</v>
      </c>
      <c r="AN539" s="1362">
        <v>1</v>
      </c>
      <c r="AO539" s="1276"/>
      <c r="AP539" s="1370"/>
      <c r="AQ539" s="1276"/>
      <c r="AR539" s="1278"/>
      <c r="AS539" s="1278"/>
      <c r="AT539" s="1371"/>
      <c r="AU539" s="1371"/>
      <c r="AV539" s="1371"/>
      <c r="AW539" s="1372"/>
      <c r="AX539" s="1373"/>
      <c r="AY539" s="1371"/>
    </row>
    <row r="540" spans="1:51" s="1183" customFormat="1" ht="15.6">
      <c r="A540" s="1097" t="s">
        <v>53</v>
      </c>
      <c r="B540" s="1075" t="s">
        <v>1237</v>
      </c>
      <c r="C540" s="851" t="s">
        <v>1238</v>
      </c>
      <c r="D540" s="851" t="s">
        <v>1239</v>
      </c>
      <c r="E540" s="1481" t="s">
        <v>213</v>
      </c>
      <c r="F540" s="856">
        <v>2024</v>
      </c>
      <c r="G540" s="1175">
        <v>45344</v>
      </c>
      <c r="H540" s="1192">
        <v>300020963</v>
      </c>
      <c r="I540" s="1338" t="s">
        <v>1270</v>
      </c>
      <c r="J540" s="1174">
        <v>11</v>
      </c>
      <c r="K540" s="3" t="s">
        <v>128</v>
      </c>
      <c r="L540" s="3" t="s">
        <v>60</v>
      </c>
      <c r="M540" s="762">
        <v>274.58</v>
      </c>
      <c r="N540" s="762">
        <v>452.79</v>
      </c>
      <c r="O540" s="958">
        <v>45355</v>
      </c>
      <c r="P540" s="958">
        <v>45356</v>
      </c>
      <c r="Q540" s="3" t="s">
        <v>1271</v>
      </c>
      <c r="R540" s="3" t="s">
        <v>1272</v>
      </c>
      <c r="S540" s="851" t="s">
        <v>62</v>
      </c>
      <c r="T540" s="856" t="s">
        <v>75</v>
      </c>
      <c r="U540" s="3" t="s">
        <v>130</v>
      </c>
      <c r="V540" s="1174">
        <v>472.6</v>
      </c>
      <c r="W540" s="786">
        <v>286.10000000000002</v>
      </c>
      <c r="X540" s="1179">
        <v>45356</v>
      </c>
      <c r="Y540" s="958">
        <v>45356</v>
      </c>
      <c r="Z540" s="856" t="s">
        <v>62</v>
      </c>
      <c r="AA540" s="1354" t="s">
        <v>1243</v>
      </c>
      <c r="AB540" s="1099">
        <v>45360</v>
      </c>
      <c r="AC540" s="1099">
        <v>45360</v>
      </c>
      <c r="AD540" s="1355">
        <f>455+265</f>
        <v>720</v>
      </c>
      <c r="AE540" s="1264">
        <f t="shared" si="67"/>
        <v>0.96</v>
      </c>
      <c r="AF540" s="1228" t="s">
        <v>64</v>
      </c>
      <c r="AG540" s="1360">
        <v>1</v>
      </c>
      <c r="AH540" s="851" t="s">
        <v>514</v>
      </c>
      <c r="AI540" s="1248">
        <v>45367</v>
      </c>
      <c r="AJ540" s="1248">
        <v>45367</v>
      </c>
      <c r="AK540" s="1263">
        <f>2754+54710+38314</f>
        <v>95778</v>
      </c>
      <c r="AL540" s="1264">
        <f t="shared" si="68"/>
        <v>0.95777999999999996</v>
      </c>
      <c r="AM540" s="1361" t="s">
        <v>62</v>
      </c>
      <c r="AN540" s="1362">
        <v>1</v>
      </c>
      <c r="AO540" s="1276">
        <v>1333</v>
      </c>
      <c r="AP540" s="1370">
        <v>45447</v>
      </c>
      <c r="AQ540" s="1276" t="s">
        <v>514</v>
      </c>
      <c r="AR540" s="1278"/>
      <c r="AS540" s="1278"/>
      <c r="AT540" s="1371"/>
      <c r="AU540" s="1371"/>
      <c r="AV540" s="1371"/>
      <c r="AW540" s="1372"/>
      <c r="AX540" s="1373"/>
      <c r="AY540" s="1371"/>
    </row>
    <row r="541" spans="1:51" s="1183" customFormat="1" ht="15.6">
      <c r="A541" s="1097" t="s">
        <v>53</v>
      </c>
      <c r="B541" s="1075" t="s">
        <v>1237</v>
      </c>
      <c r="C541" s="851" t="s">
        <v>1238</v>
      </c>
      <c r="D541" s="851" t="s">
        <v>1239</v>
      </c>
      <c r="E541" s="1481" t="s">
        <v>213</v>
      </c>
      <c r="F541" s="856">
        <v>2024</v>
      </c>
      <c r="G541" s="1175">
        <v>45344</v>
      </c>
      <c r="H541" s="1192">
        <v>300020964</v>
      </c>
      <c r="I541" s="1338" t="s">
        <v>1273</v>
      </c>
      <c r="J541" s="1174">
        <v>12</v>
      </c>
      <c r="K541" s="3" t="s">
        <v>128</v>
      </c>
      <c r="L541" s="3" t="s">
        <v>60</v>
      </c>
      <c r="M541" s="762">
        <v>268.44</v>
      </c>
      <c r="N541" s="762">
        <v>453.6</v>
      </c>
      <c r="O541" s="958">
        <v>45366</v>
      </c>
      <c r="P541" s="958">
        <v>45366</v>
      </c>
      <c r="Q541" s="3" t="s">
        <v>1274</v>
      </c>
      <c r="R541" s="3" t="s">
        <v>1275</v>
      </c>
      <c r="S541" s="851" t="s">
        <v>62</v>
      </c>
      <c r="T541" s="856" t="s">
        <v>63</v>
      </c>
      <c r="U541" s="3" t="s">
        <v>130</v>
      </c>
      <c r="V541" s="1174">
        <v>472.32</v>
      </c>
      <c r="W541" s="786">
        <v>280</v>
      </c>
      <c r="X541" s="1179">
        <v>45369</v>
      </c>
      <c r="Y541" s="958">
        <v>45366</v>
      </c>
      <c r="Z541" s="856" t="s">
        <v>62</v>
      </c>
      <c r="AA541" s="1354" t="s">
        <v>1243</v>
      </c>
      <c r="AB541" s="1099">
        <v>45371</v>
      </c>
      <c r="AC541" s="1099">
        <v>45372</v>
      </c>
      <c r="AD541" s="1355">
        <f>490+230</f>
        <v>720</v>
      </c>
      <c r="AE541" s="1264">
        <f t="shared" si="67"/>
        <v>0.96</v>
      </c>
      <c r="AF541" s="1228" t="s">
        <v>64</v>
      </c>
      <c r="AG541" s="1360">
        <v>1</v>
      </c>
      <c r="AH541" s="851" t="s">
        <v>514</v>
      </c>
      <c r="AI541" s="1248">
        <v>45376</v>
      </c>
      <c r="AJ541" s="1248">
        <v>45378</v>
      </c>
      <c r="AK541" s="1263">
        <f>5600+11315+40262+38379</f>
        <v>95556</v>
      </c>
      <c r="AL541" s="1264">
        <f t="shared" si="68"/>
        <v>0.95555999999999996</v>
      </c>
      <c r="AM541" s="1361" t="s">
        <v>62</v>
      </c>
      <c r="AN541" s="1362">
        <v>1</v>
      </c>
      <c r="AO541" s="1276">
        <v>1439</v>
      </c>
      <c r="AP541" s="1370">
        <v>45447</v>
      </c>
      <c r="AQ541" s="1276" t="s">
        <v>514</v>
      </c>
      <c r="AR541" s="1278"/>
      <c r="AS541" s="1278"/>
      <c r="AT541" s="1371"/>
      <c r="AU541" s="1371"/>
      <c r="AV541" s="1371"/>
      <c r="AW541" s="1372"/>
      <c r="AX541" s="1373"/>
      <c r="AY541" s="1371"/>
    </row>
    <row r="542" spans="1:51" s="1183" customFormat="1" ht="15.6">
      <c r="A542" s="1097" t="s">
        <v>53</v>
      </c>
      <c r="B542" s="1075" t="s">
        <v>1237</v>
      </c>
      <c r="C542" s="851" t="s">
        <v>1238</v>
      </c>
      <c r="D542" s="851" t="s">
        <v>1239</v>
      </c>
      <c r="E542" s="1481" t="s">
        <v>213</v>
      </c>
      <c r="F542" s="856">
        <v>2024</v>
      </c>
      <c r="G542" s="1175">
        <v>45355</v>
      </c>
      <c r="H542" s="3">
        <v>300020944</v>
      </c>
      <c r="I542" s="1064" t="s">
        <v>1276</v>
      </c>
      <c r="J542" s="1174">
        <v>13</v>
      </c>
      <c r="K542" s="3" t="s">
        <v>128</v>
      </c>
      <c r="L542" s="3" t="s">
        <v>60</v>
      </c>
      <c r="M542" s="762">
        <v>268.73</v>
      </c>
      <c r="N542" s="786">
        <v>453.7</v>
      </c>
      <c r="O542" s="958">
        <v>45366</v>
      </c>
      <c r="P542" s="958">
        <v>45366</v>
      </c>
      <c r="Q542" s="3" t="s">
        <v>1277</v>
      </c>
      <c r="R542" s="785" t="s">
        <v>1278</v>
      </c>
      <c r="S542" s="851" t="s">
        <v>62</v>
      </c>
      <c r="T542" s="856" t="s">
        <v>63</v>
      </c>
      <c r="U542" s="3" t="s">
        <v>130</v>
      </c>
      <c r="V542" s="1174">
        <v>472.58</v>
      </c>
      <c r="W542" s="786">
        <v>280.39999999999998</v>
      </c>
      <c r="X542" s="1179">
        <v>45369</v>
      </c>
      <c r="Y542" s="958">
        <v>45366</v>
      </c>
      <c r="Z542" s="856" t="s">
        <v>62</v>
      </c>
      <c r="AA542" s="1354" t="s">
        <v>1243</v>
      </c>
      <c r="AB542" s="1099">
        <v>45371</v>
      </c>
      <c r="AC542" s="1099">
        <v>45371</v>
      </c>
      <c r="AD542" s="1355">
        <f>635+82</f>
        <v>717</v>
      </c>
      <c r="AE542" s="1264">
        <f t="shared" si="67"/>
        <v>0.95599999999999996</v>
      </c>
      <c r="AF542" s="1228" t="s">
        <v>64</v>
      </c>
      <c r="AG542" s="1360">
        <v>1</v>
      </c>
      <c r="AH542" s="851" t="s">
        <v>514</v>
      </c>
      <c r="AI542" s="1248">
        <v>45379</v>
      </c>
      <c r="AJ542" s="1248">
        <v>45380</v>
      </c>
      <c r="AK542" s="1263">
        <f>45217+40000+10231</f>
        <v>95448</v>
      </c>
      <c r="AL542" s="1264">
        <f t="shared" si="68"/>
        <v>0.95448</v>
      </c>
      <c r="AM542" s="1361" t="s">
        <v>62</v>
      </c>
      <c r="AN542" s="1362">
        <v>1</v>
      </c>
      <c r="AO542" s="1276"/>
      <c r="AP542" s="1370"/>
      <c r="AQ542" s="1276"/>
      <c r="AR542" s="1278"/>
      <c r="AS542" s="1278"/>
      <c r="AT542" s="1371"/>
      <c r="AU542" s="1371"/>
      <c r="AV542" s="1371"/>
      <c r="AW542" s="1372"/>
      <c r="AX542" s="1373"/>
      <c r="AY542" s="1371"/>
    </row>
    <row r="543" spans="1:51" s="1183" customFormat="1" ht="15.6">
      <c r="A543" s="1097" t="s">
        <v>53</v>
      </c>
      <c r="B543" s="1075" t="s">
        <v>1237</v>
      </c>
      <c r="C543" s="851" t="s">
        <v>1238</v>
      </c>
      <c r="D543" s="851" t="s">
        <v>1239</v>
      </c>
      <c r="E543" s="1481" t="s">
        <v>213</v>
      </c>
      <c r="F543" s="856">
        <v>2024</v>
      </c>
      <c r="G543" s="1175">
        <v>45355</v>
      </c>
      <c r="H543" s="3">
        <v>300020945</v>
      </c>
      <c r="I543" s="1064" t="s">
        <v>1279</v>
      </c>
      <c r="J543" s="1174">
        <v>14</v>
      </c>
      <c r="K543" s="3" t="s">
        <v>128</v>
      </c>
      <c r="L543" s="3" t="s">
        <v>60</v>
      </c>
      <c r="M543" s="786">
        <v>270.39999999999998</v>
      </c>
      <c r="N543" s="786">
        <v>451.2</v>
      </c>
      <c r="O543" s="958">
        <v>45366</v>
      </c>
      <c r="P543" s="958">
        <v>45366</v>
      </c>
      <c r="Q543" s="785" t="s">
        <v>1280</v>
      </c>
      <c r="R543" s="785" t="s">
        <v>1281</v>
      </c>
      <c r="S543" s="851" t="s">
        <v>62</v>
      </c>
      <c r="T543" s="856" t="s">
        <v>63</v>
      </c>
      <c r="U543" s="3" t="s">
        <v>130</v>
      </c>
      <c r="V543" s="1174">
        <v>466.9</v>
      </c>
      <c r="W543" s="786">
        <v>282.2</v>
      </c>
      <c r="X543" s="1179">
        <v>45369</v>
      </c>
      <c r="Y543" s="958">
        <v>45369</v>
      </c>
      <c r="Z543" s="856" t="s">
        <v>62</v>
      </c>
      <c r="AA543" s="1354" t="s">
        <v>1243</v>
      </c>
      <c r="AB543" s="1099">
        <v>45372</v>
      </c>
      <c r="AC543" s="1099">
        <v>45372</v>
      </c>
      <c r="AD543" s="1355">
        <f>360+360</f>
        <v>720</v>
      </c>
      <c r="AE543" s="1264">
        <f t="shared" si="67"/>
        <v>0.96</v>
      </c>
      <c r="AF543" s="1228" t="s">
        <v>64</v>
      </c>
      <c r="AG543" s="1360">
        <v>1</v>
      </c>
      <c r="AH543" s="851" t="s">
        <v>514</v>
      </c>
      <c r="AI543" s="1248">
        <v>45380</v>
      </c>
      <c r="AJ543" s="1248">
        <v>45380</v>
      </c>
      <c r="AK543" s="1263">
        <f>34259+53135+5352</f>
        <v>92746</v>
      </c>
      <c r="AL543" s="1264">
        <f t="shared" si="68"/>
        <v>0.92745999999999995</v>
      </c>
      <c r="AM543" s="1361" t="s">
        <v>62</v>
      </c>
      <c r="AN543" s="1362">
        <v>1</v>
      </c>
      <c r="AO543" s="1276"/>
      <c r="AP543" s="1370"/>
      <c r="AQ543" s="1276"/>
      <c r="AR543" s="1278"/>
      <c r="AS543" s="1278"/>
      <c r="AT543" s="1371"/>
      <c r="AU543" s="1371"/>
      <c r="AV543" s="1371"/>
      <c r="AW543" s="1372"/>
      <c r="AX543" s="1373"/>
      <c r="AY543" s="1371"/>
    </row>
    <row r="544" spans="1:51" s="1183" customFormat="1" ht="15.6">
      <c r="A544" s="1097" t="s">
        <v>53</v>
      </c>
      <c r="B544" s="1075" t="s">
        <v>1237</v>
      </c>
      <c r="C544" s="851" t="s">
        <v>1238</v>
      </c>
      <c r="D544" s="851" t="s">
        <v>1239</v>
      </c>
      <c r="E544" s="1481" t="s">
        <v>213</v>
      </c>
      <c r="F544" s="856">
        <v>2024</v>
      </c>
      <c r="G544" s="1175">
        <v>45355</v>
      </c>
      <c r="H544" s="3">
        <v>300020946</v>
      </c>
      <c r="I544" s="1064" t="s">
        <v>1282</v>
      </c>
      <c r="J544" s="1174">
        <v>15</v>
      </c>
      <c r="K544" s="3" t="s">
        <v>128</v>
      </c>
      <c r="L544" s="3" t="s">
        <v>60</v>
      </c>
      <c r="M544" s="786">
        <v>274.3</v>
      </c>
      <c r="N544" s="786">
        <v>452.6</v>
      </c>
      <c r="O544" s="958">
        <v>45366</v>
      </c>
      <c r="P544" s="958">
        <v>45369</v>
      </c>
      <c r="Q544" s="785" t="s">
        <v>1283</v>
      </c>
      <c r="R544" s="785" t="s">
        <v>1284</v>
      </c>
      <c r="S544" s="851" t="s">
        <v>62</v>
      </c>
      <c r="T544" s="856" t="s">
        <v>63</v>
      </c>
      <c r="U544" s="3" t="s">
        <v>130</v>
      </c>
      <c r="V544" s="1174">
        <v>472.84</v>
      </c>
      <c r="W544" s="786">
        <v>286.2</v>
      </c>
      <c r="X544" s="1179">
        <v>45371</v>
      </c>
      <c r="Y544" s="958">
        <v>45369</v>
      </c>
      <c r="Z544" s="856" t="s">
        <v>62</v>
      </c>
      <c r="AA544" s="1354" t="s">
        <v>1243</v>
      </c>
      <c r="AB544" s="1099">
        <v>45372</v>
      </c>
      <c r="AC544" s="1099">
        <v>45372</v>
      </c>
      <c r="AD544" s="1355">
        <f>258+480</f>
        <v>738</v>
      </c>
      <c r="AE544" s="1264">
        <f t="shared" si="67"/>
        <v>0.98399999999999999</v>
      </c>
      <c r="AF544" s="1228" t="s">
        <v>64</v>
      </c>
      <c r="AG544" s="1360">
        <v>1</v>
      </c>
      <c r="AH544" s="851" t="s">
        <v>514</v>
      </c>
      <c r="AI544" s="1248">
        <v>45380</v>
      </c>
      <c r="AJ544" s="1248">
        <v>45381</v>
      </c>
      <c r="AK544" s="1263">
        <f>35000+53844+8462</f>
        <v>97306</v>
      </c>
      <c r="AL544" s="1264">
        <f t="shared" si="68"/>
        <v>0.97306000000000004</v>
      </c>
      <c r="AM544" s="1361" t="s">
        <v>62</v>
      </c>
      <c r="AN544" s="1362">
        <v>1</v>
      </c>
      <c r="AO544" s="1276">
        <v>1232</v>
      </c>
      <c r="AP544" s="1370">
        <v>45448</v>
      </c>
      <c r="AQ544" s="1276" t="s">
        <v>514</v>
      </c>
      <c r="AR544" s="1278"/>
      <c r="AS544" s="1278"/>
      <c r="AT544" s="1371"/>
      <c r="AU544" s="1371"/>
      <c r="AV544" s="1371"/>
      <c r="AW544" s="1372"/>
      <c r="AX544" s="1373"/>
      <c r="AY544" s="1371"/>
    </row>
    <row r="545" spans="1:51" s="1183" customFormat="1" ht="15.6">
      <c r="A545" s="1097" t="s">
        <v>53</v>
      </c>
      <c r="B545" s="1075" t="s">
        <v>1237</v>
      </c>
      <c r="C545" s="851" t="s">
        <v>1238</v>
      </c>
      <c r="D545" s="851" t="s">
        <v>1239</v>
      </c>
      <c r="E545" s="1481" t="s">
        <v>213</v>
      </c>
      <c r="F545" s="856">
        <v>2024</v>
      </c>
      <c r="G545" s="1175">
        <v>45355</v>
      </c>
      <c r="H545" s="3">
        <v>300020947</v>
      </c>
      <c r="I545" s="1064" t="s">
        <v>1285</v>
      </c>
      <c r="J545" s="1174">
        <v>16</v>
      </c>
      <c r="K545" s="3" t="s">
        <v>128</v>
      </c>
      <c r="L545" s="3" t="s">
        <v>60</v>
      </c>
      <c r="M545" s="786">
        <v>266.91000000000003</v>
      </c>
      <c r="N545" s="786">
        <v>455.8</v>
      </c>
      <c r="O545" s="958">
        <v>45370</v>
      </c>
      <c r="P545" s="958">
        <v>45369</v>
      </c>
      <c r="Q545" s="785" t="s">
        <v>1286</v>
      </c>
      <c r="R545" s="785" t="s">
        <v>1287</v>
      </c>
      <c r="S545" s="851" t="s">
        <v>62</v>
      </c>
      <c r="T545" s="856" t="s">
        <v>63</v>
      </c>
      <c r="U545" s="3" t="s">
        <v>130</v>
      </c>
      <c r="V545" s="1174">
        <v>475.62</v>
      </c>
      <c r="W545" s="786">
        <v>278.7</v>
      </c>
      <c r="X545" s="1179">
        <v>45371</v>
      </c>
      <c r="Y545" s="958">
        <v>45370</v>
      </c>
      <c r="Z545" s="856" t="s">
        <v>62</v>
      </c>
      <c r="AA545" s="1354" t="s">
        <v>1243</v>
      </c>
      <c r="AB545" s="1099">
        <v>45372</v>
      </c>
      <c r="AC545" s="1099">
        <v>45374</v>
      </c>
      <c r="AD545" s="1355">
        <f>56+620+44</f>
        <v>720</v>
      </c>
      <c r="AE545" s="1264">
        <f t="shared" si="67"/>
        <v>0.96</v>
      </c>
      <c r="AF545" s="1228" t="s">
        <v>64</v>
      </c>
      <c r="AG545" s="1360">
        <v>1</v>
      </c>
      <c r="AH545" s="851" t="s">
        <v>514</v>
      </c>
      <c r="AI545" s="1248">
        <v>45381</v>
      </c>
      <c r="AJ545" s="1248">
        <v>45383</v>
      </c>
      <c r="AK545" s="1263">
        <f>22402+50800+22414</f>
        <v>95616</v>
      </c>
      <c r="AL545" s="1264">
        <f t="shared" si="68"/>
        <v>0.95616000000000001</v>
      </c>
      <c r="AM545" s="1361" t="s">
        <v>62</v>
      </c>
      <c r="AN545" s="1362">
        <v>1</v>
      </c>
      <c r="AO545" s="1276">
        <v>1307</v>
      </c>
      <c r="AP545" s="1370">
        <v>45447</v>
      </c>
      <c r="AQ545" s="1276" t="s">
        <v>514</v>
      </c>
      <c r="AR545" s="1278"/>
      <c r="AS545" s="1278"/>
      <c r="AT545" s="1371"/>
      <c r="AU545" s="1371"/>
      <c r="AV545" s="1371"/>
      <c r="AW545" s="1372"/>
      <c r="AX545" s="1373"/>
      <c r="AY545" s="1371"/>
    </row>
    <row r="546" spans="1:51" s="1183" customFormat="1" ht="15.6">
      <c r="A546" s="1097" t="s">
        <v>53</v>
      </c>
      <c r="B546" s="1075" t="s">
        <v>1237</v>
      </c>
      <c r="C546" s="851" t="s">
        <v>1238</v>
      </c>
      <c r="D546" s="851" t="s">
        <v>1239</v>
      </c>
      <c r="E546" s="1481" t="s">
        <v>213</v>
      </c>
      <c r="F546" s="856">
        <v>2024</v>
      </c>
      <c r="G546" s="1175">
        <v>45355</v>
      </c>
      <c r="H546" s="3">
        <v>300020948</v>
      </c>
      <c r="I546" s="1064" t="s">
        <v>1288</v>
      </c>
      <c r="J546" s="1174">
        <v>17</v>
      </c>
      <c r="K546" s="3" t="s">
        <v>128</v>
      </c>
      <c r="L546" s="3" t="s">
        <v>60</v>
      </c>
      <c r="M546" s="786">
        <v>271.41000000000003</v>
      </c>
      <c r="N546" s="786">
        <v>462.6</v>
      </c>
      <c r="O546" s="958">
        <v>45370</v>
      </c>
      <c r="P546" s="958">
        <v>45371</v>
      </c>
      <c r="Q546" s="785" t="s">
        <v>1241</v>
      </c>
      <c r="R546" s="3" t="s">
        <v>1289</v>
      </c>
      <c r="S546" s="851" t="s">
        <v>62</v>
      </c>
      <c r="T546" s="856" t="s">
        <v>69</v>
      </c>
      <c r="U546" s="3" t="s">
        <v>130</v>
      </c>
      <c r="V546" s="1174">
        <v>471.77</v>
      </c>
      <c r="W546" s="762">
        <v>283.39999999999998</v>
      </c>
      <c r="X546" s="1179">
        <v>45372</v>
      </c>
      <c r="Y546" s="958">
        <v>45371</v>
      </c>
      <c r="Z546" s="856" t="s">
        <v>62</v>
      </c>
      <c r="AA546" s="1354" t="s">
        <v>1243</v>
      </c>
      <c r="AB546" s="1099">
        <v>45376</v>
      </c>
      <c r="AC546" s="1099">
        <v>45376</v>
      </c>
      <c r="AD546" s="1355">
        <f>500+221</f>
        <v>721</v>
      </c>
      <c r="AE546" s="1264">
        <f t="shared" si="67"/>
        <v>0.96133333333333337</v>
      </c>
      <c r="AF546" s="1228" t="s">
        <v>64</v>
      </c>
      <c r="AG546" s="1360">
        <v>1</v>
      </c>
      <c r="AH546" s="851" t="s">
        <v>514</v>
      </c>
      <c r="AI546" s="1248">
        <v>45383</v>
      </c>
      <c r="AJ546" s="1248">
        <v>45384</v>
      </c>
      <c r="AK546" s="1263">
        <f>6430+24264+53328+11589</f>
        <v>95611</v>
      </c>
      <c r="AL546" s="1264">
        <f t="shared" si="68"/>
        <v>0.95611000000000002</v>
      </c>
      <c r="AM546" s="1361" t="s">
        <v>62</v>
      </c>
      <c r="AN546" s="1362">
        <v>1</v>
      </c>
      <c r="AO546" s="1276">
        <v>1179</v>
      </c>
      <c r="AP546" s="1370">
        <v>45448</v>
      </c>
      <c r="AQ546" s="1276" t="s">
        <v>514</v>
      </c>
      <c r="AR546" s="1278"/>
      <c r="AS546" s="1278"/>
      <c r="AT546" s="1371"/>
      <c r="AU546" s="1371"/>
      <c r="AV546" s="1371"/>
      <c r="AW546" s="1372"/>
      <c r="AX546" s="1373"/>
      <c r="AY546" s="1371"/>
    </row>
    <row r="547" spans="1:51" s="1183" customFormat="1" ht="15.6">
      <c r="A547" s="1097" t="s">
        <v>53</v>
      </c>
      <c r="B547" s="1075" t="s">
        <v>1237</v>
      </c>
      <c r="C547" s="851" t="s">
        <v>1238</v>
      </c>
      <c r="D547" s="851" t="s">
        <v>1239</v>
      </c>
      <c r="E547" s="1481" t="s">
        <v>213</v>
      </c>
      <c r="F547" s="856">
        <v>2024</v>
      </c>
      <c r="G547" s="1175">
        <v>45355</v>
      </c>
      <c r="H547" s="3">
        <v>300020949</v>
      </c>
      <c r="I547" s="1064" t="s">
        <v>1290</v>
      </c>
      <c r="J547" s="1174">
        <v>18</v>
      </c>
      <c r="K547" s="3" t="s">
        <v>128</v>
      </c>
      <c r="L547" s="3" t="s">
        <v>60</v>
      </c>
      <c r="M547" s="786">
        <v>268.44</v>
      </c>
      <c r="N547" s="786">
        <v>454</v>
      </c>
      <c r="O547" s="958">
        <v>45370</v>
      </c>
      <c r="P547" s="958">
        <v>45371</v>
      </c>
      <c r="Q547" s="3" t="s">
        <v>1291</v>
      </c>
      <c r="R547" s="785" t="s">
        <v>1292</v>
      </c>
      <c r="S547" s="851" t="s">
        <v>62</v>
      </c>
      <c r="T547" s="856" t="s">
        <v>69</v>
      </c>
      <c r="U547" s="3" t="s">
        <v>130</v>
      </c>
      <c r="V547" s="1174">
        <v>473.76</v>
      </c>
      <c r="W547" s="786">
        <v>280</v>
      </c>
      <c r="X547" s="1179">
        <v>45372</v>
      </c>
      <c r="Y547" s="958">
        <v>45372</v>
      </c>
      <c r="Z547" s="856" t="s">
        <v>62</v>
      </c>
      <c r="AA547" s="1354" t="s">
        <v>1243</v>
      </c>
      <c r="AB547" s="1099">
        <v>45373</v>
      </c>
      <c r="AC547" s="1099">
        <v>45373</v>
      </c>
      <c r="AD547" s="1355">
        <f>415+308</f>
        <v>723</v>
      </c>
      <c r="AE547" s="1264">
        <f t="shared" si="67"/>
        <v>0.96399999999999997</v>
      </c>
      <c r="AF547" s="1228" t="s">
        <v>64</v>
      </c>
      <c r="AG547" s="1360">
        <v>1</v>
      </c>
      <c r="AH547" s="851" t="s">
        <v>514</v>
      </c>
      <c r="AI547" s="1248">
        <v>45384</v>
      </c>
      <c r="AJ547" s="1248">
        <v>45384</v>
      </c>
      <c r="AK547" s="1263">
        <f>37985+28047+29768</f>
        <v>95800</v>
      </c>
      <c r="AL547" s="1264">
        <f t="shared" si="68"/>
        <v>0.95799999999999996</v>
      </c>
      <c r="AM547" s="1361" t="s">
        <v>62</v>
      </c>
      <c r="AN547" s="1362">
        <v>1</v>
      </c>
      <c r="AO547" s="1276">
        <v>1360</v>
      </c>
      <c r="AP547" s="1370">
        <v>45447</v>
      </c>
      <c r="AQ547" s="1276" t="s">
        <v>514</v>
      </c>
      <c r="AR547" s="1278"/>
      <c r="AS547" s="1278"/>
      <c r="AT547" s="1371"/>
      <c r="AU547" s="1371"/>
      <c r="AV547" s="1371"/>
      <c r="AW547" s="1372"/>
      <c r="AX547" s="1373"/>
      <c r="AY547" s="1371"/>
    </row>
    <row r="548" spans="1:51" s="1183" customFormat="1" ht="15.6">
      <c r="A548" s="1097" t="s">
        <v>53</v>
      </c>
      <c r="B548" s="1075" t="s">
        <v>1237</v>
      </c>
      <c r="C548" s="851" t="s">
        <v>1238</v>
      </c>
      <c r="D548" s="851" t="s">
        <v>1239</v>
      </c>
      <c r="E548" s="1481" t="s">
        <v>213</v>
      </c>
      <c r="F548" s="856">
        <v>2024</v>
      </c>
      <c r="G548" s="1175">
        <v>45355</v>
      </c>
      <c r="H548" s="3">
        <v>300020950</v>
      </c>
      <c r="I548" s="1281" t="s">
        <v>1293</v>
      </c>
      <c r="J548" s="1174">
        <v>19</v>
      </c>
      <c r="K548" s="3" t="s">
        <v>128</v>
      </c>
      <c r="L548" s="3" t="s">
        <v>60</v>
      </c>
      <c r="M548" s="786">
        <v>272.47000000000003</v>
      </c>
      <c r="N548" s="786">
        <v>450.7</v>
      </c>
      <c r="O548" s="958">
        <v>45370</v>
      </c>
      <c r="P548" s="958">
        <v>45371</v>
      </c>
      <c r="Q548" s="3" t="s">
        <v>1294</v>
      </c>
      <c r="R548" s="3" t="s">
        <v>1295</v>
      </c>
      <c r="S548" s="851" t="s">
        <v>62</v>
      </c>
      <c r="T548" s="856" t="s">
        <v>69</v>
      </c>
      <c r="U548" s="3" t="s">
        <v>130</v>
      </c>
      <c r="V548" s="1174">
        <v>470.43</v>
      </c>
      <c r="W548" s="786">
        <v>284.2</v>
      </c>
      <c r="X548" s="1179">
        <v>45372</v>
      </c>
      <c r="Y548" s="958">
        <v>45372</v>
      </c>
      <c r="Z548" s="856" t="s">
        <v>62</v>
      </c>
      <c r="AA548" s="1354" t="s">
        <v>1243</v>
      </c>
      <c r="AB548" s="1099">
        <v>45373</v>
      </c>
      <c r="AC548" s="1099">
        <v>45373</v>
      </c>
      <c r="AD548" s="1355">
        <f>86+637</f>
        <v>723</v>
      </c>
      <c r="AE548" s="1264">
        <f t="shared" si="67"/>
        <v>0.96399999999999997</v>
      </c>
      <c r="AF548" s="1228" t="s">
        <v>64</v>
      </c>
      <c r="AG548" s="1360">
        <v>1</v>
      </c>
      <c r="AH548" s="851" t="s">
        <v>514</v>
      </c>
      <c r="AI548" s="1248">
        <v>45384</v>
      </c>
      <c r="AJ548" s="1248">
        <v>45406</v>
      </c>
      <c r="AK548" s="1263">
        <f>5925+18223+220+29147+21670+20719</f>
        <v>95904</v>
      </c>
      <c r="AL548" s="1264">
        <f t="shared" si="68"/>
        <v>0.95904</v>
      </c>
      <c r="AM548" s="1361" t="s">
        <v>62</v>
      </c>
      <c r="AN548" s="1362">
        <v>1</v>
      </c>
      <c r="AO548" s="1276">
        <v>1980</v>
      </c>
      <c r="AP548" s="1370">
        <v>45447</v>
      </c>
      <c r="AQ548" s="1276" t="s">
        <v>514</v>
      </c>
      <c r="AR548" s="1278"/>
      <c r="AS548" s="1278"/>
      <c r="AT548" s="1371"/>
      <c r="AU548" s="1371"/>
      <c r="AV548" s="1371"/>
      <c r="AW548" s="1372"/>
      <c r="AX548" s="1373"/>
      <c r="AY548" s="1371"/>
    </row>
    <row r="549" spans="1:51" s="1183" customFormat="1" ht="15.6">
      <c r="A549" s="1097" t="s">
        <v>53</v>
      </c>
      <c r="B549" s="1075" t="s">
        <v>1237</v>
      </c>
      <c r="C549" s="851" t="s">
        <v>1238</v>
      </c>
      <c r="D549" s="851" t="s">
        <v>1239</v>
      </c>
      <c r="E549" s="1481" t="s">
        <v>213</v>
      </c>
      <c r="F549" s="856">
        <v>2024</v>
      </c>
      <c r="G549" s="1175">
        <v>45355</v>
      </c>
      <c r="H549" s="3">
        <v>300020951</v>
      </c>
      <c r="I549" s="1281" t="s">
        <v>1296</v>
      </c>
      <c r="J549" s="1174">
        <v>20</v>
      </c>
      <c r="K549" s="3" t="s">
        <v>128</v>
      </c>
      <c r="L549" s="3" t="s">
        <v>60</v>
      </c>
      <c r="M549" s="786">
        <v>268.7</v>
      </c>
      <c r="N549" s="786">
        <v>461.4</v>
      </c>
      <c r="O549" s="958">
        <v>45372</v>
      </c>
      <c r="P549" s="958">
        <v>45371</v>
      </c>
      <c r="Q549" s="785" t="s">
        <v>1297</v>
      </c>
      <c r="R549" s="3" t="s">
        <v>1298</v>
      </c>
      <c r="S549" s="851" t="s">
        <v>62</v>
      </c>
      <c r="T549" s="856" t="s">
        <v>69</v>
      </c>
      <c r="U549" s="3" t="s">
        <v>130</v>
      </c>
      <c r="V549" s="1174">
        <v>481.1</v>
      </c>
      <c r="W549" s="786">
        <v>280.39999999999998</v>
      </c>
      <c r="X549" s="1179">
        <v>45372</v>
      </c>
      <c r="Y549" s="958">
        <v>45372</v>
      </c>
      <c r="Z549" s="856" t="s">
        <v>62</v>
      </c>
      <c r="AA549" s="1354" t="s">
        <v>1243</v>
      </c>
      <c r="AB549" s="1099">
        <v>45376</v>
      </c>
      <c r="AC549" s="1099">
        <v>45376</v>
      </c>
      <c r="AD549" s="1355">
        <f>390+336</f>
        <v>726</v>
      </c>
      <c r="AE549" s="1264">
        <f t="shared" si="67"/>
        <v>0.96799999999999997</v>
      </c>
      <c r="AF549" s="1228" t="s">
        <v>64</v>
      </c>
      <c r="AG549" s="1360">
        <v>1</v>
      </c>
      <c r="AH549" s="851" t="s">
        <v>514</v>
      </c>
      <c r="AI549" s="1248">
        <v>45407</v>
      </c>
      <c r="AJ549" s="1248">
        <v>45446</v>
      </c>
      <c r="AK549" s="1263">
        <f>23069+41300+23680+7578</f>
        <v>95627</v>
      </c>
      <c r="AL549" s="1264">
        <f t="shared" si="68"/>
        <v>0.95626999999999995</v>
      </c>
      <c r="AM549" s="1361" t="s">
        <v>62</v>
      </c>
      <c r="AN549" s="1362">
        <v>1</v>
      </c>
      <c r="AO549" s="1276"/>
      <c r="AP549" s="1370"/>
      <c r="AQ549" s="1276"/>
      <c r="AR549" s="1278"/>
      <c r="AS549" s="1278"/>
      <c r="AT549" s="1371"/>
      <c r="AU549" s="1371"/>
      <c r="AV549" s="1371"/>
      <c r="AW549" s="1372"/>
      <c r="AX549" s="1373"/>
      <c r="AY549" s="1371"/>
    </row>
    <row r="550" spans="1:51" s="1183" customFormat="1" ht="15.6">
      <c r="A550" s="1097" t="s">
        <v>53</v>
      </c>
      <c r="B550" s="1075" t="s">
        <v>1237</v>
      </c>
      <c r="C550" s="851" t="s">
        <v>1238</v>
      </c>
      <c r="D550" s="851" t="s">
        <v>1239</v>
      </c>
      <c r="E550" s="1481" t="s">
        <v>213</v>
      </c>
      <c r="F550" s="856">
        <v>2024</v>
      </c>
      <c r="G550" s="1175">
        <v>45355</v>
      </c>
      <c r="H550" s="3">
        <v>300020952</v>
      </c>
      <c r="I550" s="1281" t="s">
        <v>1299</v>
      </c>
      <c r="J550" s="1174">
        <v>21</v>
      </c>
      <c r="K550" s="3" t="s">
        <v>128</v>
      </c>
      <c r="L550" s="3" t="s">
        <v>60</v>
      </c>
      <c r="M550" s="786">
        <v>272.17</v>
      </c>
      <c r="N550" s="786">
        <v>454.5</v>
      </c>
      <c r="O550" s="958">
        <v>45372</v>
      </c>
      <c r="P550" s="958">
        <v>45372</v>
      </c>
      <c r="Q550" s="785" t="s">
        <v>1300</v>
      </c>
      <c r="R550" s="3" t="s">
        <v>1301</v>
      </c>
      <c r="S550" s="851" t="s">
        <v>62</v>
      </c>
      <c r="T550" s="856" t="s">
        <v>69</v>
      </c>
      <c r="U550" s="3" t="s">
        <v>130</v>
      </c>
      <c r="V550" s="1174">
        <v>474.19</v>
      </c>
      <c r="W550" s="786">
        <v>283.89999999999998</v>
      </c>
      <c r="X550" s="1179">
        <v>45372</v>
      </c>
      <c r="Y550" s="958">
        <v>45372</v>
      </c>
      <c r="Z550" s="856" t="s">
        <v>62</v>
      </c>
      <c r="AA550" s="1354" t="s">
        <v>1243</v>
      </c>
      <c r="AB550" s="1099">
        <v>45376</v>
      </c>
      <c r="AC550" s="1099">
        <v>45377</v>
      </c>
      <c r="AD550" s="1355">
        <f>310+410</f>
        <v>720</v>
      </c>
      <c r="AE550" s="1264">
        <f t="shared" si="67"/>
        <v>0.96</v>
      </c>
      <c r="AF550" s="1228" t="s">
        <v>64</v>
      </c>
      <c r="AG550" s="1360">
        <v>1</v>
      </c>
      <c r="AH550" s="851" t="s">
        <v>514</v>
      </c>
      <c r="AI550" s="1248">
        <v>45446</v>
      </c>
      <c r="AJ550" s="1248">
        <v>45447</v>
      </c>
      <c r="AK550" s="1263">
        <f>20705+39400+35795+AO550</f>
        <v>97437</v>
      </c>
      <c r="AL550" s="1264">
        <f t="shared" si="68"/>
        <v>0.97436999999999996</v>
      </c>
      <c r="AM550" s="1361" t="s">
        <v>62</v>
      </c>
      <c r="AN550" s="1362">
        <v>1</v>
      </c>
      <c r="AO550" s="1276">
        <f>500+1037</f>
        <v>1537</v>
      </c>
      <c r="AP550" s="1370" t="s">
        <v>1302</v>
      </c>
      <c r="AQ550" s="1276" t="s">
        <v>514</v>
      </c>
      <c r="AR550" s="1278"/>
      <c r="AS550" s="1278"/>
      <c r="AT550" s="1371"/>
      <c r="AU550" s="1371"/>
      <c r="AV550" s="1371"/>
      <c r="AW550" s="1372"/>
      <c r="AX550" s="1373"/>
      <c r="AY550" s="1371"/>
    </row>
    <row r="551" spans="1:51" s="1183" customFormat="1" ht="15.6">
      <c r="A551" s="1097" t="s">
        <v>53</v>
      </c>
      <c r="B551" s="1075"/>
      <c r="C551" s="851"/>
      <c r="D551" s="851"/>
      <c r="E551" s="1174"/>
      <c r="F551" s="1174"/>
      <c r="G551" s="1175"/>
      <c r="H551" s="3"/>
      <c r="I551" s="3"/>
      <c r="J551" s="1174"/>
      <c r="K551" s="1174"/>
      <c r="L551" s="1174"/>
      <c r="M551" s="1174"/>
      <c r="N551" s="1174"/>
      <c r="O551" s="1349"/>
      <c r="P551" s="1349"/>
      <c r="Q551" s="1352"/>
      <c r="R551" s="1352"/>
      <c r="S551" s="1174"/>
      <c r="T551" s="856"/>
      <c r="U551" s="1174"/>
      <c r="V551" s="1174"/>
      <c r="W551" s="1174"/>
      <c r="X551" s="1179"/>
      <c r="Y551" s="1179"/>
      <c r="Z551" s="1099"/>
      <c r="AA551" s="1354"/>
      <c r="AB551" s="1099"/>
      <c r="AC551" s="1099"/>
      <c r="AD551" s="1355"/>
      <c r="AE551" s="1264"/>
      <c r="AF551" s="1342"/>
      <c r="AG551" s="1360"/>
      <c r="AH551" s="851"/>
      <c r="AI551" s="1248"/>
      <c r="AJ551" s="1248"/>
      <c r="AK551" s="1263"/>
      <c r="AL551" s="1264"/>
      <c r="AM551" s="1363"/>
      <c r="AN551" s="1362"/>
      <c r="AO551" s="1276"/>
      <c r="AP551" s="1370"/>
      <c r="AQ551" s="1276"/>
      <c r="AR551" s="1278"/>
      <c r="AS551" s="1278"/>
      <c r="AT551" s="1371"/>
      <c r="AU551" s="1371"/>
      <c r="AV551" s="1371"/>
      <c r="AW551" s="1372"/>
      <c r="AX551" s="1373"/>
      <c r="AY551" s="1371"/>
    </row>
    <row r="552" spans="1:51" s="1183" customFormat="1" ht="15.6">
      <c r="A552" s="1097" t="s">
        <v>53</v>
      </c>
      <c r="B552" s="1075" t="s">
        <v>1237</v>
      </c>
      <c r="C552" s="851" t="s">
        <v>1238</v>
      </c>
      <c r="D552" s="851" t="s">
        <v>1239</v>
      </c>
      <c r="E552" s="1481" t="s">
        <v>433</v>
      </c>
      <c r="F552" s="856">
        <v>2024</v>
      </c>
      <c r="G552" s="1175">
        <v>45463</v>
      </c>
      <c r="H552" s="3">
        <v>300021417</v>
      </c>
      <c r="I552" s="1290" t="s">
        <v>1303</v>
      </c>
      <c r="J552" s="1174">
        <v>1</v>
      </c>
      <c r="K552" s="3" t="s">
        <v>128</v>
      </c>
      <c r="L552" s="3" t="s">
        <v>60</v>
      </c>
      <c r="M552" s="858">
        <v>267.83999999999997</v>
      </c>
      <c r="N552" s="858">
        <v>453.4</v>
      </c>
      <c r="O552" s="1349">
        <v>45484</v>
      </c>
      <c r="P552" s="1349">
        <v>45485</v>
      </c>
      <c r="Q552" s="785" t="s">
        <v>1304</v>
      </c>
      <c r="R552" s="3" t="s">
        <v>1305</v>
      </c>
      <c r="S552" s="851" t="s">
        <v>62</v>
      </c>
      <c r="T552" s="856" t="s">
        <v>63</v>
      </c>
      <c r="U552" s="3" t="s">
        <v>130</v>
      </c>
      <c r="V552" s="1174">
        <v>473.12</v>
      </c>
      <c r="W552" s="858">
        <v>279.7</v>
      </c>
      <c r="X552" s="1179">
        <v>45485</v>
      </c>
      <c r="Y552" s="958">
        <v>45488</v>
      </c>
      <c r="Z552" s="856" t="s">
        <v>62</v>
      </c>
      <c r="AA552" s="1354" t="s">
        <v>1243</v>
      </c>
      <c r="AB552" s="1099">
        <v>45489</v>
      </c>
      <c r="AC552" s="1099">
        <v>45489</v>
      </c>
      <c r="AD552" s="1356">
        <v>715</v>
      </c>
      <c r="AE552" s="1264">
        <f t="shared" ref="AE552:AE558" si="69">AD552/750</f>
        <v>0.95333333333333337</v>
      </c>
      <c r="AF552" s="1228" t="s">
        <v>64</v>
      </c>
      <c r="AG552" s="1360">
        <v>1</v>
      </c>
      <c r="AH552" s="851" t="s">
        <v>514</v>
      </c>
      <c r="AI552" s="1248">
        <v>45491</v>
      </c>
      <c r="AJ552" s="1248">
        <v>45492</v>
      </c>
      <c r="AK552" s="1303">
        <f>10567+38050+33537+12828+1556</f>
        <v>96538</v>
      </c>
      <c r="AL552" s="1264">
        <f t="shared" ref="AL552:AL558" si="70">AK552/100000</f>
        <v>0.96538000000000002</v>
      </c>
      <c r="AM552" s="1361" t="s">
        <v>62</v>
      </c>
      <c r="AN552" s="1362">
        <v>1</v>
      </c>
      <c r="AO552" s="1276">
        <v>1556</v>
      </c>
      <c r="AP552" s="1370">
        <v>45516</v>
      </c>
      <c r="AQ552" s="1276" t="s">
        <v>514</v>
      </c>
      <c r="AR552" s="1278"/>
      <c r="AS552" s="1278"/>
      <c r="AT552" s="1371"/>
      <c r="AU552" s="1371"/>
      <c r="AV552" s="1371"/>
      <c r="AW552" s="1372"/>
      <c r="AX552" s="1373"/>
      <c r="AY552" s="1371"/>
    </row>
    <row r="553" spans="1:51" s="1183" customFormat="1" ht="15.6">
      <c r="A553" s="1097" t="s">
        <v>53</v>
      </c>
      <c r="B553" s="1075" t="s">
        <v>1237</v>
      </c>
      <c r="C553" s="851" t="s">
        <v>1238</v>
      </c>
      <c r="D553" s="851" t="s">
        <v>1239</v>
      </c>
      <c r="E553" s="1481" t="s">
        <v>433</v>
      </c>
      <c r="F553" s="856">
        <v>2024</v>
      </c>
      <c r="G553" s="1175">
        <v>45463</v>
      </c>
      <c r="H553" s="3">
        <v>300021418</v>
      </c>
      <c r="I553" s="1290" t="s">
        <v>1306</v>
      </c>
      <c r="J553" s="1174">
        <v>2</v>
      </c>
      <c r="K553" s="3" t="s">
        <v>128</v>
      </c>
      <c r="L553" s="3" t="s">
        <v>60</v>
      </c>
      <c r="M553" s="858">
        <v>273.64999999999998</v>
      </c>
      <c r="N553" s="858">
        <v>457.6</v>
      </c>
      <c r="O553" s="1349">
        <v>45484</v>
      </c>
      <c r="P553" s="1349">
        <v>45485</v>
      </c>
      <c r="Q553" s="785" t="s">
        <v>1307</v>
      </c>
      <c r="R553" s="3" t="s">
        <v>1308</v>
      </c>
      <c r="S553" s="851" t="s">
        <v>62</v>
      </c>
      <c r="T553" s="856" t="s">
        <v>69</v>
      </c>
      <c r="U553" s="3" t="s">
        <v>130</v>
      </c>
      <c r="V553" s="1174">
        <v>477.41</v>
      </c>
      <c r="W553" s="858">
        <v>285.2</v>
      </c>
      <c r="X553" s="1179">
        <v>45488</v>
      </c>
      <c r="Y553" s="958">
        <v>45488</v>
      </c>
      <c r="Z553" s="856" t="s">
        <v>62</v>
      </c>
      <c r="AA553" s="1354" t="s">
        <v>1243</v>
      </c>
      <c r="AB553" s="1099">
        <v>45488</v>
      </c>
      <c r="AC553" s="1099">
        <v>45489</v>
      </c>
      <c r="AD553" s="1355">
        <f>540+192</f>
        <v>732</v>
      </c>
      <c r="AE553" s="1264">
        <f t="shared" si="69"/>
        <v>0.97599999999999998</v>
      </c>
      <c r="AF553" s="1228" t="s">
        <v>64</v>
      </c>
      <c r="AG553" s="1360">
        <v>1</v>
      </c>
      <c r="AH553" s="851" t="s">
        <v>514</v>
      </c>
      <c r="AI553" s="1248">
        <v>45490</v>
      </c>
      <c r="AJ553" s="1248">
        <v>45490</v>
      </c>
      <c r="AK553" s="1263">
        <f>15613+37740+43884</f>
        <v>97237</v>
      </c>
      <c r="AL553" s="1264">
        <f t="shared" si="70"/>
        <v>0.97236999999999996</v>
      </c>
      <c r="AM553" s="1361" t="s">
        <v>62</v>
      </c>
      <c r="AN553" s="1362">
        <v>1</v>
      </c>
      <c r="AO553" s="1276"/>
      <c r="AP553" s="1370"/>
      <c r="AQ553" s="1276"/>
      <c r="AR553" s="1278"/>
      <c r="AS553" s="1278"/>
      <c r="AT553" s="1371"/>
      <c r="AU553" s="1371"/>
      <c r="AV553" s="1371"/>
      <c r="AW553" s="1372"/>
      <c r="AX553" s="1373"/>
      <c r="AY553" s="1371"/>
    </row>
    <row r="554" spans="1:51" s="1183" customFormat="1" ht="15.6">
      <c r="A554" s="1097" t="s">
        <v>53</v>
      </c>
      <c r="B554" s="1075"/>
      <c r="C554" s="851"/>
      <c r="D554" s="851"/>
      <c r="E554" s="1174"/>
      <c r="F554" s="1174"/>
      <c r="G554" s="1175"/>
      <c r="H554" s="3"/>
      <c r="I554" s="3"/>
      <c r="J554" s="1174"/>
      <c r="K554" s="1174"/>
      <c r="L554" s="1174"/>
      <c r="M554" s="1174"/>
      <c r="N554" s="1174"/>
      <c r="O554" s="1349"/>
      <c r="P554" s="1349"/>
      <c r="Q554" s="3"/>
      <c r="R554" s="3"/>
      <c r="S554" s="1174"/>
      <c r="T554" s="856"/>
      <c r="U554" s="856"/>
      <c r="V554" s="856"/>
      <c r="W554" s="856"/>
      <c r="X554" s="1179"/>
      <c r="Y554" s="1179"/>
      <c r="Z554" s="1099"/>
      <c r="AA554" s="1354"/>
      <c r="AB554" s="1099"/>
      <c r="AC554" s="1099"/>
      <c r="AD554" s="1355"/>
      <c r="AE554" s="1264"/>
      <c r="AF554" s="1342"/>
      <c r="AG554" s="1360"/>
      <c r="AH554" s="851"/>
      <c r="AI554" s="1248"/>
      <c r="AJ554" s="1248"/>
      <c r="AK554" s="1263"/>
      <c r="AL554" s="1264"/>
      <c r="AM554" s="1363"/>
      <c r="AN554" s="1362"/>
      <c r="AO554" s="1276"/>
      <c r="AP554" s="1370"/>
      <c r="AQ554" s="1276"/>
      <c r="AR554" s="1278"/>
      <c r="AS554" s="1278"/>
      <c r="AT554" s="1371"/>
      <c r="AU554" s="1371"/>
      <c r="AV554" s="1371"/>
      <c r="AW554" s="1372"/>
      <c r="AX554" s="1373"/>
      <c r="AY554" s="1371"/>
    </row>
    <row r="555" spans="1:51" s="1183" customFormat="1" ht="15.6">
      <c r="A555" s="1097" t="s">
        <v>53</v>
      </c>
      <c r="B555" s="1075" t="s">
        <v>1237</v>
      </c>
      <c r="C555" s="851" t="s">
        <v>1238</v>
      </c>
      <c r="D555" s="851" t="s">
        <v>1239</v>
      </c>
      <c r="E555" s="1481" t="s">
        <v>100</v>
      </c>
      <c r="F555" s="856">
        <v>2024</v>
      </c>
      <c r="G555" s="1175">
        <v>45485</v>
      </c>
      <c r="H555" s="3">
        <v>300021518</v>
      </c>
      <c r="I555" s="807" t="s">
        <v>1309</v>
      </c>
      <c r="J555" s="1174">
        <v>1</v>
      </c>
      <c r="K555" s="3" t="s">
        <v>128</v>
      </c>
      <c r="L555" s="3" t="s">
        <v>60</v>
      </c>
      <c r="M555" s="865">
        <v>266.69</v>
      </c>
      <c r="N555" s="858">
        <v>450.1</v>
      </c>
      <c r="O555" s="958">
        <v>45506</v>
      </c>
      <c r="P555" s="958">
        <v>45505</v>
      </c>
      <c r="Q555" s="3" t="s">
        <v>1310</v>
      </c>
      <c r="R555" s="3" t="s">
        <v>1311</v>
      </c>
      <c r="S555" s="851" t="s">
        <v>62</v>
      </c>
      <c r="T555" s="856" t="s">
        <v>75</v>
      </c>
      <c r="U555" s="3" t="s">
        <v>130</v>
      </c>
      <c r="V555" s="1174">
        <v>468.56</v>
      </c>
      <c r="W555" s="865">
        <v>278.3</v>
      </c>
      <c r="X555" s="1179">
        <v>45506</v>
      </c>
      <c r="Y555" s="958">
        <v>45506</v>
      </c>
      <c r="Z555" s="856" t="s">
        <v>62</v>
      </c>
      <c r="AA555" s="1354" t="s">
        <v>1312</v>
      </c>
      <c r="AB555" s="1099">
        <v>45511</v>
      </c>
      <c r="AC555" s="1099">
        <v>45511</v>
      </c>
      <c r="AD555" s="1355">
        <f>340+383</f>
        <v>723</v>
      </c>
      <c r="AE555" s="1264">
        <f t="shared" si="69"/>
        <v>0.96399999999999997</v>
      </c>
      <c r="AF555" s="1228" t="s">
        <v>64</v>
      </c>
      <c r="AG555" s="1360">
        <v>1</v>
      </c>
      <c r="AH555" s="851" t="s">
        <v>514</v>
      </c>
      <c r="AI555" s="1248">
        <v>45516</v>
      </c>
      <c r="AJ555" s="1248">
        <v>45517</v>
      </c>
      <c r="AK555" s="1263">
        <f>25779+49939+21046</f>
        <v>96764</v>
      </c>
      <c r="AL555" s="1264">
        <f t="shared" si="70"/>
        <v>0.96763999999999994</v>
      </c>
      <c r="AM555" s="1361" t="s">
        <v>62</v>
      </c>
      <c r="AN555" s="1362">
        <v>1</v>
      </c>
      <c r="AO555" s="1276">
        <v>1860</v>
      </c>
      <c r="AP555" s="1370">
        <v>45523</v>
      </c>
      <c r="AQ555" s="1276" t="s">
        <v>514</v>
      </c>
      <c r="AR555" s="1278">
        <v>160</v>
      </c>
      <c r="AS555" s="1278">
        <v>145</v>
      </c>
      <c r="AT555" s="1371"/>
      <c r="AU555" s="1371"/>
      <c r="AV555" s="1371">
        <v>3.1</v>
      </c>
      <c r="AW555" s="1372">
        <v>0.8</v>
      </c>
      <c r="AX555" s="1373"/>
      <c r="AY555" s="1371"/>
    </row>
    <row r="556" spans="1:51" s="1183" customFormat="1" ht="15.6">
      <c r="A556" s="1097" t="s">
        <v>53</v>
      </c>
      <c r="B556" s="1075" t="s">
        <v>1237</v>
      </c>
      <c r="C556" s="851" t="s">
        <v>1238</v>
      </c>
      <c r="D556" s="851" t="s">
        <v>1239</v>
      </c>
      <c r="E556" s="1481" t="s">
        <v>100</v>
      </c>
      <c r="F556" s="856">
        <v>2024</v>
      </c>
      <c r="G556" s="1175">
        <v>45485</v>
      </c>
      <c r="H556" s="3">
        <v>300021519</v>
      </c>
      <c r="I556" s="807" t="s">
        <v>1313</v>
      </c>
      <c r="J556" s="1174">
        <v>2</v>
      </c>
      <c r="K556" s="3" t="s">
        <v>128</v>
      </c>
      <c r="L556" s="3" t="s">
        <v>60</v>
      </c>
      <c r="M556" s="865">
        <v>272.89999999999998</v>
      </c>
      <c r="N556" s="858">
        <v>457.2</v>
      </c>
      <c r="O556" s="958">
        <v>45506</v>
      </c>
      <c r="P556" s="958">
        <v>45505</v>
      </c>
      <c r="Q556" s="3" t="s">
        <v>1314</v>
      </c>
      <c r="R556" s="3" t="s">
        <v>1315</v>
      </c>
      <c r="S556" s="851" t="s">
        <v>62</v>
      </c>
      <c r="T556" s="856" t="s">
        <v>75</v>
      </c>
      <c r="U556" s="3" t="s">
        <v>130</v>
      </c>
      <c r="V556" s="1174">
        <v>475.96</v>
      </c>
      <c r="W556" s="858">
        <v>284.7</v>
      </c>
      <c r="X556" s="1179">
        <v>45506</v>
      </c>
      <c r="Y556" s="958">
        <v>45509</v>
      </c>
      <c r="Z556" s="856" t="s">
        <v>62</v>
      </c>
      <c r="AA556" s="1354" t="s">
        <v>1312</v>
      </c>
      <c r="AB556" s="1099">
        <v>45510</v>
      </c>
      <c r="AC556" s="1099">
        <v>45510</v>
      </c>
      <c r="AD556" s="1355">
        <f>375+358</f>
        <v>733</v>
      </c>
      <c r="AE556" s="1264">
        <f t="shared" si="69"/>
        <v>0.97733333333333339</v>
      </c>
      <c r="AF556" s="1228" t="s">
        <v>64</v>
      </c>
      <c r="AG556" s="1360">
        <v>1</v>
      </c>
      <c r="AH556" s="851" t="s">
        <v>514</v>
      </c>
      <c r="AI556" s="1248">
        <v>45512</v>
      </c>
      <c r="AJ556" s="1248">
        <v>45513</v>
      </c>
      <c r="AK556" s="1263">
        <f>400+32427+31370+27565+5778</f>
        <v>97540</v>
      </c>
      <c r="AL556" s="1264">
        <f t="shared" si="70"/>
        <v>0.97540000000000004</v>
      </c>
      <c r="AM556" s="1361" t="s">
        <v>62</v>
      </c>
      <c r="AN556" s="1362">
        <v>1</v>
      </c>
      <c r="AO556" s="1276">
        <v>2433</v>
      </c>
      <c r="AP556" s="1370">
        <v>45523</v>
      </c>
      <c r="AQ556" s="1276" t="s">
        <v>514</v>
      </c>
      <c r="AR556" s="1278">
        <v>160</v>
      </c>
      <c r="AS556" s="1278">
        <v>145</v>
      </c>
      <c r="AT556" s="1371"/>
      <c r="AU556" s="1371"/>
      <c r="AV556" s="1371">
        <v>1.3</v>
      </c>
      <c r="AW556" s="1372">
        <v>0.7</v>
      </c>
      <c r="AX556" s="1373"/>
      <c r="AY556" s="1371"/>
    </row>
    <row r="557" spans="1:51" s="1183" customFormat="1" ht="15.6">
      <c r="A557" s="1097" t="s">
        <v>53</v>
      </c>
      <c r="B557" s="1075" t="s">
        <v>1237</v>
      </c>
      <c r="C557" s="851" t="s">
        <v>1238</v>
      </c>
      <c r="D557" s="851" t="s">
        <v>1239</v>
      </c>
      <c r="E557" s="1481" t="s">
        <v>100</v>
      </c>
      <c r="F557" s="856">
        <v>2024</v>
      </c>
      <c r="G557" s="1175">
        <v>45485</v>
      </c>
      <c r="H557" s="3">
        <v>300021560</v>
      </c>
      <c r="I557" s="807" t="s">
        <v>1316</v>
      </c>
      <c r="J557" s="1174">
        <v>3</v>
      </c>
      <c r="K557" s="3" t="s">
        <v>128</v>
      </c>
      <c r="L557" s="3" t="s">
        <v>60</v>
      </c>
      <c r="M557" s="858">
        <v>271.87</v>
      </c>
      <c r="N557" s="858">
        <v>450.8</v>
      </c>
      <c r="O557" s="958">
        <v>45506</v>
      </c>
      <c r="P557" s="958">
        <v>45506</v>
      </c>
      <c r="Q557" s="3" t="s">
        <v>1317</v>
      </c>
      <c r="R557" s="3" t="s">
        <v>1318</v>
      </c>
      <c r="S557" s="851" t="s">
        <v>62</v>
      </c>
      <c r="T557" s="856" t="s">
        <v>75</v>
      </c>
      <c r="U557" s="3" t="s">
        <v>130</v>
      </c>
      <c r="V557" s="1174">
        <v>469.84</v>
      </c>
      <c r="W557" s="858">
        <v>283.39999999999998</v>
      </c>
      <c r="X557" s="1179">
        <v>45506</v>
      </c>
      <c r="Y557" s="958">
        <v>45509</v>
      </c>
      <c r="Z557" s="856" t="s">
        <v>62</v>
      </c>
      <c r="AA557" s="1354" t="s">
        <v>1312</v>
      </c>
      <c r="AB557" s="1099">
        <v>45510</v>
      </c>
      <c r="AC557" s="1099">
        <v>45510</v>
      </c>
      <c r="AD557" s="1355">
        <f>195+533</f>
        <v>728</v>
      </c>
      <c r="AE557" s="1264">
        <f t="shared" si="69"/>
        <v>0.97066666666666668</v>
      </c>
      <c r="AF557" s="1228" t="s">
        <v>64</v>
      </c>
      <c r="AG557" s="1360">
        <v>1</v>
      </c>
      <c r="AH557" s="851" t="s">
        <v>514</v>
      </c>
      <c r="AI557" s="1248">
        <v>45513</v>
      </c>
      <c r="AJ557" s="1248">
        <v>45516</v>
      </c>
      <c r="AK557" s="1263">
        <f>42316+43154+11364</f>
        <v>96834</v>
      </c>
      <c r="AL557" s="1264">
        <f t="shared" si="70"/>
        <v>0.96833999999999998</v>
      </c>
      <c r="AM557" s="1361" t="s">
        <v>62</v>
      </c>
      <c r="AN557" s="1362">
        <v>1</v>
      </c>
      <c r="AO557" s="1276">
        <v>810</v>
      </c>
      <c r="AP557" s="1370">
        <v>45523</v>
      </c>
      <c r="AQ557" s="1276" t="s">
        <v>514</v>
      </c>
      <c r="AR557" s="1278">
        <v>160</v>
      </c>
      <c r="AS557" s="1278">
        <v>145</v>
      </c>
      <c r="AT557" s="1371"/>
      <c r="AU557" s="1371"/>
      <c r="AV557" s="1371">
        <v>0.4</v>
      </c>
      <c r="AW557" s="1372">
        <v>0.6</v>
      </c>
      <c r="AX557" s="1373"/>
      <c r="AY557" s="1371"/>
    </row>
    <row r="558" spans="1:51" s="1183" customFormat="1" ht="15.6">
      <c r="A558" s="1097" t="s">
        <v>53</v>
      </c>
      <c r="B558" s="1075" t="s">
        <v>1237</v>
      </c>
      <c r="C558" s="851" t="s">
        <v>1238</v>
      </c>
      <c r="D558" s="851" t="s">
        <v>1239</v>
      </c>
      <c r="E558" s="1481" t="s">
        <v>100</v>
      </c>
      <c r="F558" s="856">
        <v>2024</v>
      </c>
      <c r="G558" s="1175">
        <v>45485</v>
      </c>
      <c r="H558" s="3">
        <v>300021561</v>
      </c>
      <c r="I558" s="807" t="s">
        <v>1319</v>
      </c>
      <c r="J558" s="1174">
        <v>4</v>
      </c>
      <c r="K558" s="3" t="s">
        <v>128</v>
      </c>
      <c r="L558" s="3" t="s">
        <v>60</v>
      </c>
      <c r="M558" s="858">
        <v>273.49</v>
      </c>
      <c r="N558" s="858">
        <v>452.9</v>
      </c>
      <c r="O558" s="958">
        <v>45506</v>
      </c>
      <c r="P558" s="958">
        <v>45506</v>
      </c>
      <c r="Q558" s="3" t="s">
        <v>1320</v>
      </c>
      <c r="R558" s="3" t="s">
        <v>1321</v>
      </c>
      <c r="S558" s="851" t="s">
        <v>62</v>
      </c>
      <c r="T558" s="856" t="s">
        <v>75</v>
      </c>
      <c r="U558" s="3" t="s">
        <v>130</v>
      </c>
      <c r="V558" s="1174">
        <v>471.9</v>
      </c>
      <c r="W558" s="865">
        <v>285</v>
      </c>
      <c r="X558" s="1179">
        <v>45506</v>
      </c>
      <c r="Y558" s="958">
        <v>45509</v>
      </c>
      <c r="Z558" s="856" t="s">
        <v>62</v>
      </c>
      <c r="AA558" s="1354" t="s">
        <v>1312</v>
      </c>
      <c r="AB558" s="1099">
        <v>45511</v>
      </c>
      <c r="AC558" s="1099">
        <v>45511</v>
      </c>
      <c r="AD558" s="1355">
        <f>495+237</f>
        <v>732</v>
      </c>
      <c r="AE558" s="1264">
        <f t="shared" si="69"/>
        <v>0.97599999999999998</v>
      </c>
      <c r="AF558" s="1228" t="s">
        <v>64</v>
      </c>
      <c r="AG558" s="1360">
        <v>1</v>
      </c>
      <c r="AH558" s="851" t="s">
        <v>514</v>
      </c>
      <c r="AI558" s="1248">
        <v>45517</v>
      </c>
      <c r="AJ558" s="1248">
        <v>45518</v>
      </c>
      <c r="AK558" s="1263">
        <f>15100+47424+12314+16050+6211</f>
        <v>97099</v>
      </c>
      <c r="AL558" s="1264">
        <f t="shared" si="70"/>
        <v>0.97099000000000002</v>
      </c>
      <c r="AM558" s="1361" t="s">
        <v>62</v>
      </c>
      <c r="AN558" s="1362">
        <v>1</v>
      </c>
      <c r="AO558" s="1276"/>
      <c r="AP558" s="1370"/>
      <c r="AQ558" s="1276"/>
      <c r="AR558" s="1278"/>
      <c r="AS558" s="1278"/>
      <c r="AT558" s="1371"/>
      <c r="AU558" s="1371"/>
      <c r="AV558" s="1371"/>
      <c r="AW558" s="1372"/>
      <c r="AX558" s="1373"/>
      <c r="AY558" s="1371"/>
    </row>
    <row r="559" spans="1:51" ht="15.6">
      <c r="A559" s="1097" t="s">
        <v>53</v>
      </c>
      <c r="B559" s="1103"/>
      <c r="C559" s="1098"/>
      <c r="D559" s="1098"/>
      <c r="E559" s="1098"/>
      <c r="F559" s="1098"/>
      <c r="G559" s="1347"/>
      <c r="J559" s="1144"/>
      <c r="K559" s="1174"/>
      <c r="L559" s="1174"/>
      <c r="M559" s="1350"/>
      <c r="N559" s="1174"/>
      <c r="O559" s="1179"/>
      <c r="P559" s="1179"/>
      <c r="Q559" s="1099"/>
      <c r="R559" s="1099"/>
      <c r="S559" s="1350"/>
      <c r="T559" s="856"/>
      <c r="U559" s="856"/>
      <c r="V559" s="1350"/>
      <c r="W559" s="1350"/>
      <c r="X559" s="1179"/>
      <c r="Y559" s="1179"/>
      <c r="Z559" s="1350"/>
      <c r="AA559" s="1284"/>
      <c r="AB559" s="1099"/>
      <c r="AC559" s="1076"/>
      <c r="AD559" s="1357"/>
      <c r="AE559" s="1264"/>
      <c r="AF559" s="1358"/>
      <c r="AG559" s="1364"/>
      <c r="AH559" s="1365"/>
      <c r="AI559" s="1099"/>
      <c r="AJ559" s="1099"/>
      <c r="AK559" s="1263"/>
      <c r="AL559" s="1264"/>
      <c r="AM559" s="1366"/>
      <c r="AN559" s="1367"/>
      <c r="AO559" s="1276"/>
      <c r="AP559" s="1277"/>
      <c r="AQ559" s="1276"/>
      <c r="AR559" s="1278"/>
      <c r="AS559" s="1278"/>
    </row>
    <row r="560" spans="1:51" ht="15.6">
      <c r="A560" s="1097" t="s">
        <v>53</v>
      </c>
      <c r="B560" s="1103" t="s">
        <v>1322</v>
      </c>
      <c r="C560" s="1098" t="s">
        <v>1323</v>
      </c>
      <c r="D560" s="1098" t="s">
        <v>1324</v>
      </c>
      <c r="E560" s="1473" t="s">
        <v>213</v>
      </c>
      <c r="F560" s="856">
        <v>2024</v>
      </c>
      <c r="G560" s="1099">
        <v>45351</v>
      </c>
      <c r="H560" s="3">
        <v>200105188</v>
      </c>
      <c r="I560" s="1438" t="s">
        <v>1325</v>
      </c>
      <c r="J560" s="1144">
        <v>1</v>
      </c>
      <c r="K560" s="8" t="s">
        <v>60</v>
      </c>
      <c r="L560" s="8" t="s">
        <v>60</v>
      </c>
      <c r="M560" s="3">
        <v>543.6</v>
      </c>
      <c r="N560" s="762">
        <v>121.31</v>
      </c>
      <c r="O560" s="1351">
        <v>45356</v>
      </c>
      <c r="P560" s="1351">
        <v>45358</v>
      </c>
      <c r="Q560" s="3" t="s">
        <v>1326</v>
      </c>
      <c r="R560" s="762">
        <v>3.74</v>
      </c>
      <c r="S560" s="851" t="s">
        <v>62</v>
      </c>
      <c r="T560" s="856" t="s">
        <v>63</v>
      </c>
      <c r="U560" s="856" t="s">
        <v>69</v>
      </c>
      <c r="V560" s="1350">
        <v>554.64</v>
      </c>
      <c r="W560" s="1350">
        <v>450.9</v>
      </c>
      <c r="X560" s="1179">
        <v>45358</v>
      </c>
      <c r="Y560" s="1179">
        <v>45358</v>
      </c>
      <c r="Z560" s="856" t="s">
        <v>62</v>
      </c>
      <c r="AA560" s="1284" t="s">
        <v>1327</v>
      </c>
      <c r="AB560" s="1099">
        <v>45364</v>
      </c>
      <c r="AC560" s="1099">
        <v>45364</v>
      </c>
      <c r="AD560" s="1359">
        <f>346+629</f>
        <v>975</v>
      </c>
      <c r="AE560" s="1227">
        <v>0.95966456032599101</v>
      </c>
      <c r="AF560" s="1231" t="s">
        <v>64</v>
      </c>
      <c r="AG560" s="1262">
        <v>1</v>
      </c>
      <c r="AH560" s="1368" t="s">
        <v>1328</v>
      </c>
      <c r="AI560" s="1266">
        <v>45370</v>
      </c>
      <c r="AJ560" s="1266">
        <v>45370</v>
      </c>
      <c r="AK560" s="1288">
        <f>39685+18006</f>
        <v>57691</v>
      </c>
      <c r="AL560" s="1227">
        <f t="shared" ref="AL560:AL569" si="71">AK560/60000</f>
        <v>0.96151666666666669</v>
      </c>
      <c r="AM560" s="1252" t="s">
        <v>62</v>
      </c>
      <c r="AN560" s="1367">
        <v>1</v>
      </c>
      <c r="AO560" s="1276"/>
      <c r="AP560" s="1277"/>
      <c r="AQ560" s="1276"/>
      <c r="AR560" s="1278"/>
      <c r="AS560" s="1278"/>
    </row>
    <row r="561" spans="1:45" ht="15.6">
      <c r="A561" s="1097" t="s">
        <v>53</v>
      </c>
      <c r="B561" s="1103" t="s">
        <v>1322</v>
      </c>
      <c r="C561" s="1098" t="s">
        <v>1323</v>
      </c>
      <c r="D561" s="1098" t="s">
        <v>1324</v>
      </c>
      <c r="E561" s="1473" t="s">
        <v>213</v>
      </c>
      <c r="F561" s="856">
        <v>2024</v>
      </c>
      <c r="G561" s="1099">
        <v>45351</v>
      </c>
      <c r="H561" s="3">
        <v>200105189</v>
      </c>
      <c r="I561" s="1438" t="s">
        <v>1329</v>
      </c>
      <c r="J561" s="1144">
        <v>2</v>
      </c>
      <c r="K561" s="8" t="s">
        <v>60</v>
      </c>
      <c r="L561" s="8" t="s">
        <v>60</v>
      </c>
      <c r="M561" s="762">
        <v>552.89</v>
      </c>
      <c r="N561" s="762">
        <v>121.4</v>
      </c>
      <c r="O561" s="1351">
        <v>45357</v>
      </c>
      <c r="P561" s="1351">
        <v>45358</v>
      </c>
      <c r="Q561" s="3" t="s">
        <v>1330</v>
      </c>
      <c r="R561" s="762">
        <v>3.51</v>
      </c>
      <c r="S561" s="851" t="s">
        <v>62</v>
      </c>
      <c r="T561" s="856" t="s">
        <v>63</v>
      </c>
      <c r="U561" s="856" t="s">
        <v>69</v>
      </c>
      <c r="V561" s="1350">
        <v>563.96</v>
      </c>
      <c r="W561" s="1350">
        <v>450.15</v>
      </c>
      <c r="X561" s="1179">
        <v>45358</v>
      </c>
      <c r="Y561" s="1179">
        <v>45358</v>
      </c>
      <c r="Z561" s="856" t="s">
        <v>62</v>
      </c>
      <c r="AA561" s="1284" t="s">
        <v>1327</v>
      </c>
      <c r="AB561" s="1099">
        <v>45363</v>
      </c>
      <c r="AC561" s="1099">
        <v>45363</v>
      </c>
      <c r="AD561" s="1359">
        <f>148+512+322</f>
        <v>982</v>
      </c>
      <c r="AE561" s="1227">
        <v>0.96655445973345899</v>
      </c>
      <c r="AF561" s="1231" t="s">
        <v>64</v>
      </c>
      <c r="AG561" s="1262">
        <v>1</v>
      </c>
      <c r="AH561" s="1368" t="s">
        <v>1328</v>
      </c>
      <c r="AI561" s="1266">
        <v>45365</v>
      </c>
      <c r="AJ561" s="1266">
        <v>45366</v>
      </c>
      <c r="AK561" s="1288">
        <f>45400+12459</f>
        <v>57859</v>
      </c>
      <c r="AL561" s="1227">
        <f t="shared" si="71"/>
        <v>0.96431666666666671</v>
      </c>
      <c r="AM561" s="1252" t="s">
        <v>62</v>
      </c>
      <c r="AN561" s="1367">
        <v>1</v>
      </c>
      <c r="AO561" s="1276"/>
      <c r="AP561" s="1277"/>
      <c r="AQ561" s="1276"/>
      <c r="AR561" s="1278"/>
      <c r="AS561" s="1278"/>
    </row>
    <row r="562" spans="1:45" ht="15.6">
      <c r="A562" s="1097" t="s">
        <v>53</v>
      </c>
      <c r="B562" s="1103" t="s">
        <v>1322</v>
      </c>
      <c r="C562" s="1098" t="s">
        <v>1323</v>
      </c>
      <c r="D562" s="1098" t="s">
        <v>1324</v>
      </c>
      <c r="E562" s="1473" t="s">
        <v>213</v>
      </c>
      <c r="F562" s="856">
        <v>2024</v>
      </c>
      <c r="G562" s="1099">
        <v>45351</v>
      </c>
      <c r="H562" s="3">
        <v>200105190</v>
      </c>
      <c r="I562" s="1438" t="s">
        <v>1331</v>
      </c>
      <c r="J562" s="1144">
        <v>3</v>
      </c>
      <c r="K562" s="8" t="s">
        <v>60</v>
      </c>
      <c r="L562" s="8" t="s">
        <v>60</v>
      </c>
      <c r="M562" s="762">
        <v>551.34</v>
      </c>
      <c r="N562" s="762">
        <v>123.76</v>
      </c>
      <c r="O562" s="1351">
        <v>45357</v>
      </c>
      <c r="P562" s="1351">
        <v>45358</v>
      </c>
      <c r="Q562" s="3" t="s">
        <v>1332</v>
      </c>
      <c r="R562" s="762">
        <v>3.67</v>
      </c>
      <c r="S562" s="851" t="s">
        <v>62</v>
      </c>
      <c r="T562" s="856" t="s">
        <v>63</v>
      </c>
      <c r="U562" s="856" t="s">
        <v>69</v>
      </c>
      <c r="V562" s="1350">
        <v>563.12</v>
      </c>
      <c r="W562" s="1350">
        <v>453.34</v>
      </c>
      <c r="X562" s="1179">
        <v>45358</v>
      </c>
      <c r="Y562" s="1179">
        <v>45359</v>
      </c>
      <c r="Z562" s="856" t="s">
        <v>62</v>
      </c>
      <c r="AA562" s="1284" t="s">
        <v>1333</v>
      </c>
      <c r="AB562" s="1099">
        <v>45363</v>
      </c>
      <c r="AC562" s="1099">
        <v>45364</v>
      </c>
      <c r="AD562" s="1359">
        <f>172+752+57</f>
        <v>981</v>
      </c>
      <c r="AE562" s="1227">
        <v>0.96557018838953501</v>
      </c>
      <c r="AF562" s="1231" t="s">
        <v>64</v>
      </c>
      <c r="AG562" s="1262">
        <v>1</v>
      </c>
      <c r="AH562" s="1368" t="s">
        <v>1328</v>
      </c>
      <c r="AI562" s="1266">
        <v>45366</v>
      </c>
      <c r="AJ562" s="1266">
        <v>45366</v>
      </c>
      <c r="AK562" s="1288">
        <f>32000+26000</f>
        <v>58000</v>
      </c>
      <c r="AL562" s="1227">
        <f t="shared" si="71"/>
        <v>0.96666666666666667</v>
      </c>
      <c r="AM562" s="1252" t="s">
        <v>62</v>
      </c>
      <c r="AN562" s="1367">
        <v>1</v>
      </c>
      <c r="AO562" s="1276"/>
      <c r="AP562" s="1277"/>
      <c r="AQ562" s="1276"/>
      <c r="AR562" s="1278"/>
      <c r="AS562" s="1278"/>
    </row>
    <row r="563" spans="1:45" ht="15.6">
      <c r="A563" s="1097" t="s">
        <v>53</v>
      </c>
      <c r="B563" s="1103" t="s">
        <v>1322</v>
      </c>
      <c r="C563" s="1098" t="s">
        <v>1323</v>
      </c>
      <c r="D563" s="1098" t="s">
        <v>1324</v>
      </c>
      <c r="E563" s="1473" t="s">
        <v>213</v>
      </c>
      <c r="F563" s="856">
        <v>2024</v>
      </c>
      <c r="G563" s="1099">
        <v>45351</v>
      </c>
      <c r="H563" s="3">
        <v>200105191</v>
      </c>
      <c r="I563" s="1438" t="s">
        <v>1334</v>
      </c>
      <c r="J563" s="1144">
        <v>4</v>
      </c>
      <c r="K563" s="8" t="s">
        <v>60</v>
      </c>
      <c r="L563" s="8" t="s">
        <v>60</v>
      </c>
      <c r="M563" s="786">
        <v>553.76</v>
      </c>
      <c r="N563" s="762">
        <v>124.61</v>
      </c>
      <c r="O563" s="1351">
        <v>45357</v>
      </c>
      <c r="P563" s="1351">
        <v>45358</v>
      </c>
      <c r="Q563" s="3" t="s">
        <v>1335</v>
      </c>
      <c r="R563" s="762">
        <v>3.55</v>
      </c>
      <c r="S563" s="851" t="s">
        <v>62</v>
      </c>
      <c r="T563" s="856" t="s">
        <v>63</v>
      </c>
      <c r="U563" s="856" t="s">
        <v>69</v>
      </c>
      <c r="V563" s="1350">
        <v>564.4</v>
      </c>
      <c r="W563" s="1350">
        <v>545.30999999999995</v>
      </c>
      <c r="X563" s="1179">
        <v>45358</v>
      </c>
      <c r="Y563" s="1179">
        <v>45359</v>
      </c>
      <c r="Z563" s="856" t="s">
        <v>62</v>
      </c>
      <c r="AA563" s="1284" t="s">
        <v>1327</v>
      </c>
      <c r="AB563" s="1099">
        <v>45363</v>
      </c>
      <c r="AC563" s="1099">
        <v>45364</v>
      </c>
      <c r="AD563" s="1359">
        <f>330+660</f>
        <v>990</v>
      </c>
      <c r="AE563" s="1227">
        <v>0.97442863048485195</v>
      </c>
      <c r="AF563" s="1231" t="s">
        <v>64</v>
      </c>
      <c r="AG563" s="1262">
        <v>1</v>
      </c>
      <c r="AH563" s="1368" t="s">
        <v>1328</v>
      </c>
      <c r="AI563" s="1266">
        <v>45366</v>
      </c>
      <c r="AJ563" s="1266">
        <v>45366</v>
      </c>
      <c r="AK563" s="1288">
        <f>24000+34568</f>
        <v>58568</v>
      </c>
      <c r="AL563" s="1227">
        <f t="shared" si="71"/>
        <v>0.9761333333333333</v>
      </c>
      <c r="AM563" s="1252" t="s">
        <v>62</v>
      </c>
      <c r="AN563" s="1367">
        <v>1</v>
      </c>
      <c r="AO563" s="1276"/>
      <c r="AP563" s="1277"/>
      <c r="AQ563" s="1276"/>
      <c r="AR563" s="1278"/>
      <c r="AS563" s="1278"/>
    </row>
    <row r="564" spans="1:45" ht="15.6">
      <c r="A564" s="1097" t="s">
        <v>53</v>
      </c>
      <c r="B564" s="1103" t="s">
        <v>1322</v>
      </c>
      <c r="C564" s="1098" t="s">
        <v>1323</v>
      </c>
      <c r="D564" s="1098" t="s">
        <v>1324</v>
      </c>
      <c r="E564" s="1473" t="s">
        <v>213</v>
      </c>
      <c r="F564" s="856">
        <v>2024</v>
      </c>
      <c r="G564" s="1099">
        <v>45351</v>
      </c>
      <c r="H564" s="3">
        <v>200105192</v>
      </c>
      <c r="I564" s="1438" t="s">
        <v>1336</v>
      </c>
      <c r="J564" s="1144">
        <v>5</v>
      </c>
      <c r="K564" s="8" t="s">
        <v>60</v>
      </c>
      <c r="L564" s="8" t="s">
        <v>60</v>
      </c>
      <c r="M564" s="786">
        <v>558.47</v>
      </c>
      <c r="N564" s="786">
        <v>124.85</v>
      </c>
      <c r="O564" s="1351">
        <v>45357</v>
      </c>
      <c r="P564" s="1351">
        <v>45358</v>
      </c>
      <c r="Q564" s="3" t="s">
        <v>1337</v>
      </c>
      <c r="R564" s="882">
        <v>3.74</v>
      </c>
      <c r="S564" s="851" t="s">
        <v>62</v>
      </c>
      <c r="T564" s="856" t="s">
        <v>63</v>
      </c>
      <c r="U564" s="856" t="s">
        <v>63</v>
      </c>
      <c r="V564" s="1350">
        <v>569.62</v>
      </c>
      <c r="W564" s="1350">
        <v>454.42</v>
      </c>
      <c r="X564" s="1179">
        <v>45358</v>
      </c>
      <c r="Y564" s="1179">
        <v>45363</v>
      </c>
      <c r="Z564" s="856" t="s">
        <v>62</v>
      </c>
      <c r="AA564" s="1284" t="s">
        <v>1333</v>
      </c>
      <c r="AB564" s="1099">
        <v>45364</v>
      </c>
      <c r="AC564" s="1099">
        <v>45365</v>
      </c>
      <c r="AD564" s="1359">
        <f>113+570+305</f>
        <v>988</v>
      </c>
      <c r="AE564" s="1227">
        <v>0.97246008779700399</v>
      </c>
      <c r="AF564" s="1231" t="s">
        <v>64</v>
      </c>
      <c r="AG564" s="1262">
        <v>1</v>
      </c>
      <c r="AH564" s="1368" t="s">
        <v>1328</v>
      </c>
      <c r="AI564" s="1266">
        <v>45366</v>
      </c>
      <c r="AJ564" s="1266">
        <v>45369</v>
      </c>
      <c r="AK564" s="1288">
        <f>30200+28289</f>
        <v>58489</v>
      </c>
      <c r="AL564" s="1227">
        <f t="shared" si="71"/>
        <v>0.97481666666666666</v>
      </c>
      <c r="AM564" s="1252" t="s">
        <v>62</v>
      </c>
      <c r="AN564" s="1367">
        <v>1</v>
      </c>
      <c r="AO564" s="1276"/>
      <c r="AP564" s="1277"/>
      <c r="AQ564" s="1276"/>
      <c r="AR564" s="1278"/>
      <c r="AS564" s="1278"/>
    </row>
    <row r="565" spans="1:45" ht="15.6">
      <c r="A565" s="1097" t="s">
        <v>53</v>
      </c>
      <c r="B565" s="1103" t="s">
        <v>1322</v>
      </c>
      <c r="C565" s="1098" t="s">
        <v>1323</v>
      </c>
      <c r="D565" s="1098" t="s">
        <v>1324</v>
      </c>
      <c r="E565" s="1473" t="s">
        <v>213</v>
      </c>
      <c r="F565" s="856">
        <v>2024</v>
      </c>
      <c r="G565" s="1099">
        <v>45351</v>
      </c>
      <c r="H565" s="3">
        <v>200105193</v>
      </c>
      <c r="I565" s="1438" t="s">
        <v>1338</v>
      </c>
      <c r="J565" s="1144">
        <v>6</v>
      </c>
      <c r="K565" s="8" t="s">
        <v>60</v>
      </c>
      <c r="L565" s="8" t="s">
        <v>60</v>
      </c>
      <c r="M565" s="786">
        <v>552.92999999999995</v>
      </c>
      <c r="N565" s="786">
        <v>122.39</v>
      </c>
      <c r="O565" s="1351">
        <v>45357</v>
      </c>
      <c r="P565" s="1351">
        <v>45358</v>
      </c>
      <c r="Q565" s="3" t="s">
        <v>1339</v>
      </c>
      <c r="R565" s="882">
        <v>3.46</v>
      </c>
      <c r="S565" s="851" t="s">
        <v>62</v>
      </c>
      <c r="T565" s="856" t="s">
        <v>63</v>
      </c>
      <c r="U565" s="856" t="s">
        <v>63</v>
      </c>
      <c r="V565" s="1350">
        <v>564.02499999999998</v>
      </c>
      <c r="W565" s="1350">
        <v>451.94</v>
      </c>
      <c r="X565" s="1179">
        <v>45358</v>
      </c>
      <c r="Y565" s="1179">
        <v>45363</v>
      </c>
      <c r="Z565" s="856" t="s">
        <v>62</v>
      </c>
      <c r="AA565" s="1284" t="s">
        <v>1327</v>
      </c>
      <c r="AB565" s="1099">
        <v>45364</v>
      </c>
      <c r="AC565" s="1099">
        <v>45365</v>
      </c>
      <c r="AD565" s="1359">
        <f>16+710+262</f>
        <v>988</v>
      </c>
      <c r="AE565" s="1227">
        <v>0.97246008779700399</v>
      </c>
      <c r="AF565" s="1231" t="s">
        <v>64</v>
      </c>
      <c r="AG565" s="1262">
        <v>1</v>
      </c>
      <c r="AH565" s="1368" t="s">
        <v>1328</v>
      </c>
      <c r="AI565" s="1266">
        <v>45369</v>
      </c>
      <c r="AJ565" s="1266">
        <v>45370</v>
      </c>
      <c r="AK565" s="1288">
        <f>53000+5415</f>
        <v>58415</v>
      </c>
      <c r="AL565" s="1227">
        <f t="shared" si="71"/>
        <v>0.97358333333333336</v>
      </c>
      <c r="AM565" s="1252" t="s">
        <v>62</v>
      </c>
      <c r="AN565" s="1367">
        <v>1</v>
      </c>
      <c r="AO565" s="1276"/>
      <c r="AP565" s="1277"/>
      <c r="AQ565" s="1276"/>
      <c r="AR565" s="1278"/>
      <c r="AS565" s="1278"/>
    </row>
    <row r="566" spans="1:45" ht="15.6">
      <c r="A566" s="1097" t="s">
        <v>53</v>
      </c>
      <c r="B566" s="1103" t="s">
        <v>1322</v>
      </c>
      <c r="C566" s="1098" t="s">
        <v>1323</v>
      </c>
      <c r="D566" s="1098" t="s">
        <v>1324</v>
      </c>
      <c r="E566" s="1473" t="s">
        <v>213</v>
      </c>
      <c r="F566" s="856">
        <v>2024</v>
      </c>
      <c r="G566" s="1099">
        <v>45351</v>
      </c>
      <c r="H566" s="3">
        <v>200105194</v>
      </c>
      <c r="I566" s="1438" t="s">
        <v>1340</v>
      </c>
      <c r="J566" s="1144">
        <v>7</v>
      </c>
      <c r="K566" s="8" t="s">
        <v>60</v>
      </c>
      <c r="L566" s="8" t="s">
        <v>60</v>
      </c>
      <c r="M566" s="762">
        <v>552.33000000000004</v>
      </c>
      <c r="N566" s="786">
        <v>123.28</v>
      </c>
      <c r="O566" s="1351">
        <v>45357</v>
      </c>
      <c r="P566" s="1351">
        <v>45358</v>
      </c>
      <c r="Q566" s="3" t="s">
        <v>1341</v>
      </c>
      <c r="R566" s="882">
        <v>3.78</v>
      </c>
      <c r="S566" s="851" t="s">
        <v>62</v>
      </c>
      <c r="T566" s="856" t="s">
        <v>63</v>
      </c>
      <c r="U566" s="856" t="s">
        <v>63</v>
      </c>
      <c r="V566" s="1350">
        <v>563.52</v>
      </c>
      <c r="W566" s="1350">
        <v>452.72</v>
      </c>
      <c r="X566" s="1179">
        <v>45358</v>
      </c>
      <c r="Y566" s="1179">
        <v>45364</v>
      </c>
      <c r="Z566" s="856" t="s">
        <v>62</v>
      </c>
      <c r="AA566" s="1284" t="s">
        <v>1327</v>
      </c>
      <c r="AB566" s="1099">
        <v>45365</v>
      </c>
      <c r="AC566" s="1099">
        <v>45365</v>
      </c>
      <c r="AD566" s="1359">
        <f>370+615</f>
        <v>985</v>
      </c>
      <c r="AE566" s="1227">
        <v>0.96950727376523205</v>
      </c>
      <c r="AF566" s="1231" t="s">
        <v>64</v>
      </c>
      <c r="AG566" s="1262">
        <v>1</v>
      </c>
      <c r="AH566" s="1368" t="s">
        <v>1328</v>
      </c>
      <c r="AI566" s="1266">
        <v>45369</v>
      </c>
      <c r="AJ566" s="1266">
        <v>45369</v>
      </c>
      <c r="AK566" s="1288">
        <f>45600+12461</f>
        <v>58061</v>
      </c>
      <c r="AL566" s="1227">
        <f t="shared" si="71"/>
        <v>0.96768333333333334</v>
      </c>
      <c r="AM566" s="1252" t="s">
        <v>62</v>
      </c>
      <c r="AN566" s="1367">
        <v>1</v>
      </c>
      <c r="AO566" s="1276"/>
      <c r="AP566" s="1277"/>
      <c r="AQ566" s="1276"/>
      <c r="AR566" s="1278"/>
      <c r="AS566" s="1278"/>
    </row>
    <row r="567" spans="1:45" ht="15.6">
      <c r="A567" s="1097" t="s">
        <v>53</v>
      </c>
      <c r="B567" s="1103" t="s">
        <v>1322</v>
      </c>
      <c r="C567" s="1098" t="s">
        <v>1323</v>
      </c>
      <c r="D567" s="1098" t="s">
        <v>1324</v>
      </c>
      <c r="E567" s="1473" t="s">
        <v>213</v>
      </c>
      <c r="F567" s="856">
        <v>2024</v>
      </c>
      <c r="G567" s="1099">
        <v>45351</v>
      </c>
      <c r="H567" s="3">
        <v>200105195</v>
      </c>
      <c r="I567" s="1438" t="s">
        <v>1342</v>
      </c>
      <c r="J567" s="1144">
        <v>8</v>
      </c>
      <c r="K567" s="8" t="s">
        <v>60</v>
      </c>
      <c r="L567" s="8" t="s">
        <v>60</v>
      </c>
      <c r="M567" s="762">
        <v>555.37</v>
      </c>
      <c r="N567" s="786">
        <v>123.4</v>
      </c>
      <c r="O567" s="1351">
        <v>45358</v>
      </c>
      <c r="P567" s="1351">
        <v>45358</v>
      </c>
      <c r="Q567" s="785" t="s">
        <v>1343</v>
      </c>
      <c r="R567" s="882">
        <v>3.72</v>
      </c>
      <c r="S567" s="851" t="s">
        <v>62</v>
      </c>
      <c r="T567" s="856" t="s">
        <v>63</v>
      </c>
      <c r="U567" s="856" t="s">
        <v>63</v>
      </c>
      <c r="V567" s="1350">
        <v>566.72</v>
      </c>
      <c r="W567" s="1350">
        <v>452.92</v>
      </c>
      <c r="X567" s="1179">
        <v>45358</v>
      </c>
      <c r="Y567" s="1179">
        <v>45364</v>
      </c>
      <c r="Z567" s="856" t="s">
        <v>62</v>
      </c>
      <c r="AA567" s="1284" t="s">
        <v>1327</v>
      </c>
      <c r="AB567" s="1099">
        <v>45365</v>
      </c>
      <c r="AC567" s="1099">
        <v>45366</v>
      </c>
      <c r="AD567" s="1359">
        <f>66+588+336</f>
        <v>990</v>
      </c>
      <c r="AE567" s="1227">
        <v>0.97442863048485195</v>
      </c>
      <c r="AF567" s="1231" t="s">
        <v>64</v>
      </c>
      <c r="AG567" s="1262">
        <v>1</v>
      </c>
      <c r="AH567" s="1365" t="s">
        <v>1344</v>
      </c>
      <c r="AI567" s="1266">
        <v>45369</v>
      </c>
      <c r="AJ567" s="1266">
        <v>45369</v>
      </c>
      <c r="AK567" s="1288">
        <f>54000+4528</f>
        <v>58528</v>
      </c>
      <c r="AL567" s="1227">
        <f t="shared" si="71"/>
        <v>0.9754666666666667</v>
      </c>
      <c r="AM567" s="1252" t="s">
        <v>62</v>
      </c>
      <c r="AN567" s="1367">
        <v>1</v>
      </c>
      <c r="AO567" s="1276"/>
      <c r="AP567" s="1277"/>
      <c r="AQ567" s="1276"/>
      <c r="AR567" s="1278"/>
      <c r="AS567" s="1278"/>
    </row>
    <row r="568" spans="1:45" ht="15.6">
      <c r="A568" s="1097" t="s">
        <v>53</v>
      </c>
      <c r="B568" s="1103" t="s">
        <v>1322</v>
      </c>
      <c r="C568" s="1098" t="s">
        <v>1323</v>
      </c>
      <c r="D568" s="1098" t="s">
        <v>1324</v>
      </c>
      <c r="E568" s="1473" t="s">
        <v>213</v>
      </c>
      <c r="F568" s="856">
        <v>2024</v>
      </c>
      <c r="G568" s="1099">
        <v>45351</v>
      </c>
      <c r="H568" s="3">
        <v>200105196</v>
      </c>
      <c r="I568" s="1438" t="s">
        <v>1345</v>
      </c>
      <c r="J568" s="1144">
        <v>9</v>
      </c>
      <c r="K568" s="8" t="s">
        <v>60</v>
      </c>
      <c r="L568" s="8" t="s">
        <v>60</v>
      </c>
      <c r="M568" s="762">
        <v>558.25</v>
      </c>
      <c r="N568" s="786">
        <v>124.03</v>
      </c>
      <c r="O568" s="1351">
        <v>45358</v>
      </c>
      <c r="P568" s="1351">
        <v>45358</v>
      </c>
      <c r="Q568" s="3" t="s">
        <v>1346</v>
      </c>
      <c r="R568" s="882">
        <v>3.46</v>
      </c>
      <c r="S568" s="851" t="s">
        <v>62</v>
      </c>
      <c r="T568" s="856" t="s">
        <v>63</v>
      </c>
      <c r="U568" s="856" t="s">
        <v>63</v>
      </c>
      <c r="V568" s="1350">
        <v>569.28</v>
      </c>
      <c r="W568" s="1350">
        <v>453.66</v>
      </c>
      <c r="X568" s="1179">
        <v>45359</v>
      </c>
      <c r="Y568" s="1179">
        <v>45364</v>
      </c>
      <c r="Z568" s="856" t="s">
        <v>62</v>
      </c>
      <c r="AA568" s="1284" t="s">
        <v>1333</v>
      </c>
      <c r="AB568" s="1099">
        <v>45365</v>
      </c>
      <c r="AC568" s="1099">
        <v>45366</v>
      </c>
      <c r="AD568" s="1359">
        <f>426+366+199</f>
        <v>991</v>
      </c>
      <c r="AE568" s="1227">
        <v>0.97541290182877605</v>
      </c>
      <c r="AF568" s="1231" t="s">
        <v>64</v>
      </c>
      <c r="AG568" s="1262">
        <v>1</v>
      </c>
      <c r="AH568" s="1365" t="s">
        <v>1344</v>
      </c>
      <c r="AI568" s="1266">
        <v>45369</v>
      </c>
      <c r="AJ568" s="1266">
        <v>45370</v>
      </c>
      <c r="AK568" s="1288">
        <f>54000+4577</f>
        <v>58577</v>
      </c>
      <c r="AL568" s="1227">
        <f t="shared" si="71"/>
        <v>0.97628333333333328</v>
      </c>
      <c r="AM568" s="1252" t="s">
        <v>62</v>
      </c>
      <c r="AN568" s="1367">
        <v>1</v>
      </c>
      <c r="AO568" s="1276"/>
      <c r="AP568" s="1277"/>
      <c r="AQ568" s="1276"/>
      <c r="AR568" s="1278"/>
      <c r="AS568" s="1278"/>
    </row>
    <row r="569" spans="1:45" ht="15.6">
      <c r="A569" s="1097" t="s">
        <v>53</v>
      </c>
      <c r="B569" s="1103" t="s">
        <v>1322</v>
      </c>
      <c r="C569" s="1098" t="s">
        <v>1323</v>
      </c>
      <c r="D569" s="1098" t="s">
        <v>1324</v>
      </c>
      <c r="E569" s="1098" t="s">
        <v>213</v>
      </c>
      <c r="F569" s="856">
        <v>2024</v>
      </c>
      <c r="G569" s="1099">
        <v>45351</v>
      </c>
      <c r="H569" s="3">
        <v>200105197</v>
      </c>
      <c r="I569" s="1438" t="s">
        <v>1347</v>
      </c>
      <c r="J569" s="1144">
        <v>10</v>
      </c>
      <c r="K569" s="8" t="s">
        <v>60</v>
      </c>
      <c r="L569" s="8" t="s">
        <v>60</v>
      </c>
      <c r="M569" s="762">
        <v>548.39</v>
      </c>
      <c r="N569" s="786">
        <v>125.73</v>
      </c>
      <c r="O569" s="1351">
        <v>45358</v>
      </c>
      <c r="P569" s="1351">
        <v>45358</v>
      </c>
      <c r="Q569" s="3" t="s">
        <v>1348</v>
      </c>
      <c r="R569" s="882">
        <v>3.63</v>
      </c>
      <c r="S569" s="851" t="s">
        <v>62</v>
      </c>
      <c r="T569" s="856" t="s">
        <v>63</v>
      </c>
      <c r="U569" s="856" t="s">
        <v>63</v>
      </c>
      <c r="V569" s="1350">
        <v>559.48</v>
      </c>
      <c r="W569" s="1350">
        <v>455.32</v>
      </c>
      <c r="X569" s="1179">
        <v>45363</v>
      </c>
      <c r="Y569" s="1179">
        <v>45365</v>
      </c>
      <c r="Z569" s="856" t="s">
        <v>62</v>
      </c>
      <c r="AA569" s="1284" t="s">
        <v>1333</v>
      </c>
      <c r="AB569" s="1099">
        <v>45366</v>
      </c>
      <c r="AC569" s="1099">
        <v>45366</v>
      </c>
      <c r="AD569" s="1359">
        <f>330+653</f>
        <v>983</v>
      </c>
      <c r="AE569" s="1227">
        <v>0.96753873107738297</v>
      </c>
      <c r="AF569" s="1231" t="s">
        <v>64</v>
      </c>
      <c r="AG569" s="1262">
        <v>1</v>
      </c>
      <c r="AH569" s="1365" t="s">
        <v>1344</v>
      </c>
      <c r="AI569" s="1266">
        <v>45370</v>
      </c>
      <c r="AJ569" s="1266">
        <v>45371</v>
      </c>
      <c r="AK569" s="1288">
        <f>3000+35000+500+19586</f>
        <v>58086</v>
      </c>
      <c r="AL569" s="1227">
        <f t="shared" si="71"/>
        <v>0.96809999999999996</v>
      </c>
      <c r="AM569" s="1252" t="s">
        <v>62</v>
      </c>
      <c r="AN569" s="1367">
        <v>1</v>
      </c>
      <c r="AO569" s="1276"/>
      <c r="AP569" s="1277"/>
      <c r="AQ569" s="1276"/>
      <c r="AR569" s="1278"/>
      <c r="AS569" s="1278"/>
    </row>
    <row r="570" spans="1:45" ht="15.6">
      <c r="A570" s="1097"/>
      <c r="B570" s="1103" t="s">
        <v>1322</v>
      </c>
      <c r="C570" s="1098" t="s">
        <v>1323</v>
      </c>
      <c r="D570" s="1098" t="s">
        <v>1324</v>
      </c>
      <c r="E570" s="1098" t="s">
        <v>213</v>
      </c>
      <c r="F570" s="856">
        <v>2024</v>
      </c>
      <c r="G570" s="1099">
        <v>45351</v>
      </c>
      <c r="H570" s="3">
        <v>200105276</v>
      </c>
      <c r="I570" s="1469" t="s">
        <v>1349</v>
      </c>
      <c r="J570" s="1144">
        <v>11</v>
      </c>
      <c r="K570" s="1174" t="s">
        <v>144</v>
      </c>
      <c r="L570" s="8" t="s">
        <v>60</v>
      </c>
      <c r="N570" s="762">
        <v>122.9</v>
      </c>
      <c r="O570" s="1351"/>
      <c r="P570" s="1351">
        <v>45365</v>
      </c>
      <c r="Q570" s="3"/>
      <c r="R570" s="882"/>
      <c r="S570" s="851"/>
      <c r="T570" s="856"/>
      <c r="U570" s="856"/>
      <c r="V570" s="1350"/>
      <c r="W570" s="1350"/>
      <c r="X570" s="1179"/>
      <c r="Y570" s="1179"/>
      <c r="Z570" s="856"/>
      <c r="AA570" s="1284"/>
      <c r="AB570" s="1099"/>
      <c r="AC570" s="1099"/>
      <c r="AD570" s="1359"/>
      <c r="AE570" s="1227"/>
      <c r="AF570" s="1231"/>
      <c r="AG570" s="1262"/>
      <c r="AH570" s="1365"/>
      <c r="AI570" s="1266"/>
      <c r="AJ570" s="1266"/>
      <c r="AK570" s="1288"/>
      <c r="AL570" s="1227"/>
      <c r="AM570" s="1252"/>
      <c r="AN570" s="1367"/>
      <c r="AO570" s="1276"/>
      <c r="AP570" s="1277"/>
      <c r="AQ570" s="1276"/>
      <c r="AR570" s="1278"/>
      <c r="AS570" s="1278"/>
    </row>
    <row r="571" spans="1:45" ht="15.6">
      <c r="A571" s="1097" t="s">
        <v>53</v>
      </c>
      <c r="B571" s="1103" t="s">
        <v>1322</v>
      </c>
      <c r="C571" s="1098" t="s">
        <v>1323</v>
      </c>
      <c r="D571" s="1098" t="s">
        <v>1324</v>
      </c>
      <c r="E571" s="1473" t="s">
        <v>213</v>
      </c>
      <c r="F571" s="856">
        <v>2024</v>
      </c>
      <c r="G571" s="1099">
        <v>45357</v>
      </c>
      <c r="H571" s="3">
        <v>200105277</v>
      </c>
      <c r="I571" s="1439" t="s">
        <v>1350</v>
      </c>
      <c r="J571" s="1144">
        <v>12</v>
      </c>
      <c r="K571" s="1174" t="s">
        <v>144</v>
      </c>
      <c r="L571" s="8" t="s">
        <v>60</v>
      </c>
      <c r="M571" s="1350">
        <v>547.5</v>
      </c>
      <c r="N571" s="762">
        <v>122.44</v>
      </c>
      <c r="O571" s="1313">
        <v>45365</v>
      </c>
      <c r="P571" s="1351">
        <v>45365</v>
      </c>
      <c r="Q571" s="1101"/>
      <c r="R571" s="1044">
        <v>3.72</v>
      </c>
      <c r="S571" s="851" t="s">
        <v>62</v>
      </c>
      <c r="T571" s="856" t="s">
        <v>63</v>
      </c>
      <c r="U571" s="856" t="s">
        <v>63</v>
      </c>
      <c r="V571" s="1350">
        <v>558.6</v>
      </c>
      <c r="W571" s="1350">
        <v>451.9</v>
      </c>
      <c r="X571" s="1179">
        <v>45365</v>
      </c>
      <c r="Y571" s="1313">
        <v>45369</v>
      </c>
      <c r="Z571" s="856" t="s">
        <v>62</v>
      </c>
      <c r="AA571" s="1284" t="s">
        <v>1327</v>
      </c>
      <c r="AB571" s="1099">
        <v>45370</v>
      </c>
      <c r="AC571" s="1099">
        <v>45371</v>
      </c>
      <c r="AD571" s="1359">
        <f>148+776+58</f>
        <v>982</v>
      </c>
      <c r="AE571" s="1227">
        <v>0.96655445973345899</v>
      </c>
      <c r="AF571" s="1231" t="s">
        <v>64</v>
      </c>
      <c r="AG571" s="1262">
        <v>1</v>
      </c>
      <c r="AH571" s="1368" t="s">
        <v>1328</v>
      </c>
      <c r="AI571" s="1266">
        <v>45373</v>
      </c>
      <c r="AJ571" s="1266">
        <v>45373</v>
      </c>
      <c r="AK571" s="1369">
        <f>18000+36943+3063</f>
        <v>58006</v>
      </c>
      <c r="AL571" s="1227">
        <f t="shared" ref="AL571:AL579" si="72">AK571/60000</f>
        <v>0.96676666666666666</v>
      </c>
      <c r="AM571" s="1252" t="s">
        <v>62</v>
      </c>
      <c r="AN571" s="1367">
        <v>1</v>
      </c>
      <c r="AO571" s="1276"/>
      <c r="AP571" s="1277"/>
      <c r="AQ571" s="1276"/>
      <c r="AR571" s="1278"/>
      <c r="AS571" s="1278"/>
    </row>
    <row r="572" spans="1:45" ht="15.6">
      <c r="A572" s="1097" t="s">
        <v>53</v>
      </c>
      <c r="B572" s="1103" t="s">
        <v>1322</v>
      </c>
      <c r="C572" s="1098" t="s">
        <v>1323</v>
      </c>
      <c r="D572" s="1098" t="s">
        <v>1324</v>
      </c>
      <c r="E572" s="1473" t="s">
        <v>213</v>
      </c>
      <c r="F572" s="856">
        <v>2024</v>
      </c>
      <c r="G572" s="1099">
        <v>45357</v>
      </c>
      <c r="H572" s="3">
        <v>200105278</v>
      </c>
      <c r="I572" s="1439" t="s">
        <v>1351</v>
      </c>
      <c r="J572" s="1144">
        <v>13</v>
      </c>
      <c r="K572" s="1174" t="s">
        <v>144</v>
      </c>
      <c r="L572" s="8" t="s">
        <v>60</v>
      </c>
      <c r="M572" s="1350">
        <v>552.24</v>
      </c>
      <c r="N572" s="762">
        <v>122.93</v>
      </c>
      <c r="O572" s="1313">
        <v>45365</v>
      </c>
      <c r="P572" s="1351">
        <v>45365</v>
      </c>
      <c r="Q572" s="1101"/>
      <c r="R572" s="1044">
        <v>3.6</v>
      </c>
      <c r="S572" s="851" t="s">
        <v>62</v>
      </c>
      <c r="T572" s="856" t="s">
        <v>63</v>
      </c>
      <c r="U572" s="856" t="s">
        <v>63</v>
      </c>
      <c r="V572" s="1350">
        <v>563.24</v>
      </c>
      <c r="W572" s="1350">
        <v>452.5</v>
      </c>
      <c r="X572" s="1179">
        <v>45366</v>
      </c>
      <c r="Y572" s="1313">
        <v>45369</v>
      </c>
      <c r="Z572" s="856" t="s">
        <v>62</v>
      </c>
      <c r="AA572" s="1284" t="s">
        <v>1333</v>
      </c>
      <c r="AB572" s="1099">
        <v>45370</v>
      </c>
      <c r="AC572" s="1099">
        <v>45370</v>
      </c>
      <c r="AD572" s="1359">
        <f>238+746</f>
        <v>984</v>
      </c>
      <c r="AE572" s="1227">
        <v>0.96852300242130795</v>
      </c>
      <c r="AF572" s="1231" t="s">
        <v>64</v>
      </c>
      <c r="AG572" s="1262">
        <v>1</v>
      </c>
      <c r="AH572" s="1368" t="s">
        <v>1328</v>
      </c>
      <c r="AI572" s="1266">
        <v>45376</v>
      </c>
      <c r="AJ572" s="1266">
        <v>45376</v>
      </c>
      <c r="AK572" s="1288">
        <f>13700+41700+2833</f>
        <v>58233</v>
      </c>
      <c r="AL572" s="1227">
        <f t="shared" si="72"/>
        <v>0.97055000000000002</v>
      </c>
      <c r="AM572" s="1252" t="s">
        <v>62</v>
      </c>
      <c r="AN572" s="1367">
        <v>1</v>
      </c>
      <c r="AO572" s="1276">
        <v>940</v>
      </c>
      <c r="AP572" s="1277">
        <v>45469</v>
      </c>
      <c r="AQ572" s="1276" t="s">
        <v>1344</v>
      </c>
      <c r="AR572" s="1278"/>
      <c r="AS572" s="1278"/>
    </row>
    <row r="573" spans="1:45" ht="15.6">
      <c r="A573" s="1097" t="s">
        <v>53</v>
      </c>
      <c r="B573" s="1103" t="s">
        <v>1322</v>
      </c>
      <c r="C573" s="1098" t="s">
        <v>1323</v>
      </c>
      <c r="D573" s="1098" t="s">
        <v>1324</v>
      </c>
      <c r="E573" s="1473" t="s">
        <v>213</v>
      </c>
      <c r="F573" s="856">
        <v>2024</v>
      </c>
      <c r="G573" s="1099">
        <v>45363</v>
      </c>
      <c r="H573" s="3">
        <v>200105344</v>
      </c>
      <c r="I573" s="1478" t="s">
        <v>1352</v>
      </c>
      <c r="J573" s="1144">
        <v>14</v>
      </c>
      <c r="K573" s="1174" t="s">
        <v>144</v>
      </c>
      <c r="L573" s="8" t="s">
        <v>60</v>
      </c>
      <c r="M573" s="1350">
        <v>552.76</v>
      </c>
      <c r="N573" s="762">
        <v>125.9</v>
      </c>
      <c r="O573" s="1313">
        <v>45365</v>
      </c>
      <c r="P573" s="1351">
        <v>45365</v>
      </c>
      <c r="Q573" s="1101"/>
      <c r="R573" s="764">
        <v>3.72</v>
      </c>
      <c r="S573" s="851" t="s">
        <v>62</v>
      </c>
      <c r="T573" s="856" t="s">
        <v>63</v>
      </c>
      <c r="U573" s="856" t="s">
        <v>63</v>
      </c>
      <c r="V573" s="1350">
        <v>563.79999999999995</v>
      </c>
      <c r="W573" s="1350">
        <v>455.38</v>
      </c>
      <c r="X573" s="1313">
        <v>45366</v>
      </c>
      <c r="Y573" s="1313">
        <v>45369</v>
      </c>
      <c r="Z573" s="856" t="s">
        <v>62</v>
      </c>
      <c r="AA573" s="1284" t="s">
        <v>1333</v>
      </c>
      <c r="AB573" s="1099">
        <v>45371</v>
      </c>
      <c r="AC573" s="1099">
        <v>45371</v>
      </c>
      <c r="AD573" s="1359">
        <f>670+316</f>
        <v>986</v>
      </c>
      <c r="AE573" s="1227">
        <v>0.97049154510915603</v>
      </c>
      <c r="AF573" s="1231" t="s">
        <v>64</v>
      </c>
      <c r="AG573" s="1262">
        <v>1</v>
      </c>
      <c r="AH573" s="1368" t="s">
        <v>1328</v>
      </c>
      <c r="AI573" s="1266">
        <v>45373</v>
      </c>
      <c r="AJ573" s="1266">
        <v>45373</v>
      </c>
      <c r="AK573" s="1263">
        <f>8200+50118</f>
        <v>58318</v>
      </c>
      <c r="AL573" s="1227">
        <f t="shared" si="72"/>
        <v>0.97196666666666665</v>
      </c>
      <c r="AM573" s="1252" t="s">
        <v>62</v>
      </c>
      <c r="AN573" s="1367">
        <v>1</v>
      </c>
      <c r="AO573" s="1276"/>
      <c r="AP573" s="1277"/>
      <c r="AQ573" s="1276"/>
      <c r="AR573" s="1278"/>
      <c r="AS573" s="1278"/>
    </row>
    <row r="574" spans="1:45" ht="15.6">
      <c r="A574" s="1097" t="s">
        <v>53</v>
      </c>
      <c r="B574" s="1103" t="s">
        <v>1322</v>
      </c>
      <c r="C574" s="1098" t="s">
        <v>1323</v>
      </c>
      <c r="D574" s="1098" t="s">
        <v>1324</v>
      </c>
      <c r="E574" s="1473" t="s">
        <v>213</v>
      </c>
      <c r="F574" s="856">
        <v>2024</v>
      </c>
      <c r="G574" s="1099">
        <v>45363</v>
      </c>
      <c r="H574" s="3">
        <v>200105345</v>
      </c>
      <c r="I574" s="1478" t="s">
        <v>1353</v>
      </c>
      <c r="J574" s="1144">
        <v>15</v>
      </c>
      <c r="K574" s="1174" t="s">
        <v>144</v>
      </c>
      <c r="L574" s="8" t="s">
        <v>60</v>
      </c>
      <c r="M574" s="1350">
        <v>556.70000000000005</v>
      </c>
      <c r="N574" s="762">
        <v>125.1</v>
      </c>
      <c r="O574" s="1313">
        <v>45366</v>
      </c>
      <c r="P574" s="1351">
        <v>45365</v>
      </c>
      <c r="Q574" s="1101"/>
      <c r="R574" s="764">
        <v>3.67</v>
      </c>
      <c r="S574" s="851" t="s">
        <v>62</v>
      </c>
      <c r="T574" s="856" t="s">
        <v>63</v>
      </c>
      <c r="U574" s="856" t="s">
        <v>63</v>
      </c>
      <c r="V574" s="1350">
        <v>567.84</v>
      </c>
      <c r="W574" s="1350">
        <v>454.6</v>
      </c>
      <c r="X574" s="1313">
        <v>45366</v>
      </c>
      <c r="Y574" s="1313">
        <v>45369</v>
      </c>
      <c r="Z574" s="856" t="s">
        <v>62</v>
      </c>
      <c r="AA574" s="1284" t="s">
        <v>1333</v>
      </c>
      <c r="AB574" s="1099">
        <v>45371</v>
      </c>
      <c r="AC574" s="1099">
        <v>45372</v>
      </c>
      <c r="AD574" s="1359">
        <f>360+498+134</f>
        <v>992</v>
      </c>
      <c r="AE574" s="1227">
        <v>0.97639717317270003</v>
      </c>
      <c r="AF574" s="1231" t="s">
        <v>64</v>
      </c>
      <c r="AG574" s="1262">
        <v>1</v>
      </c>
      <c r="AH574" s="1365" t="s">
        <v>1344</v>
      </c>
      <c r="AI574" s="1266">
        <v>45376</v>
      </c>
      <c r="AJ574" s="1266">
        <v>45376</v>
      </c>
      <c r="AK574" s="1288">
        <f>11000+47672</f>
        <v>58672</v>
      </c>
      <c r="AL574" s="1227">
        <f t="shared" si="72"/>
        <v>0.97786666666666666</v>
      </c>
      <c r="AM574" s="1252" t="s">
        <v>62</v>
      </c>
      <c r="AN574" s="1367">
        <v>1</v>
      </c>
      <c r="AO574" s="1276"/>
      <c r="AP574" s="1277"/>
      <c r="AQ574" s="1276"/>
      <c r="AR574" s="1278"/>
      <c r="AS574" s="1278"/>
    </row>
    <row r="575" spans="1:45" ht="15.6">
      <c r="A575" s="1097" t="s">
        <v>53</v>
      </c>
      <c r="B575" s="1103" t="s">
        <v>1322</v>
      </c>
      <c r="C575" s="1098" t="s">
        <v>1323</v>
      </c>
      <c r="D575" s="1098" t="s">
        <v>1324</v>
      </c>
      <c r="E575" s="1473" t="s">
        <v>213</v>
      </c>
      <c r="F575" s="856">
        <v>2024</v>
      </c>
      <c r="G575" s="1099">
        <v>45363</v>
      </c>
      <c r="H575" s="3">
        <v>200105346</v>
      </c>
      <c r="I575" s="1478" t="s">
        <v>1354</v>
      </c>
      <c r="J575" s="1144">
        <v>16</v>
      </c>
      <c r="K575" s="1174" t="s">
        <v>144</v>
      </c>
      <c r="L575" s="8" t="s">
        <v>60</v>
      </c>
      <c r="M575" s="1350">
        <v>553</v>
      </c>
      <c r="N575" s="762">
        <v>123.46</v>
      </c>
      <c r="O575" s="1313">
        <v>45369</v>
      </c>
      <c r="P575" s="1351">
        <v>45365</v>
      </c>
      <c r="Q575" s="1101"/>
      <c r="R575" s="764">
        <v>3.77</v>
      </c>
      <c r="S575" s="851" t="s">
        <v>62</v>
      </c>
      <c r="T575" s="856" t="s">
        <v>63</v>
      </c>
      <c r="U575" s="856" t="s">
        <v>63</v>
      </c>
      <c r="V575" s="1350">
        <v>564.1</v>
      </c>
      <c r="W575" s="1350">
        <v>452.86</v>
      </c>
      <c r="X575" s="1313">
        <v>45370</v>
      </c>
      <c r="Y575" s="1313">
        <v>45370</v>
      </c>
      <c r="Z575" s="856" t="s">
        <v>62</v>
      </c>
      <c r="AA575" s="1284" t="s">
        <v>1333</v>
      </c>
      <c r="AB575" s="1099">
        <v>45372</v>
      </c>
      <c r="AC575" s="1099">
        <v>45372</v>
      </c>
      <c r="AD575" s="1359">
        <f>528+456</f>
        <v>984</v>
      </c>
      <c r="AE575" s="1227">
        <v>0.96852300242130795</v>
      </c>
      <c r="AF575" s="1231" t="s">
        <v>64</v>
      </c>
      <c r="AG575" s="1262">
        <v>1</v>
      </c>
      <c r="AH575" s="1368" t="s">
        <v>1328</v>
      </c>
      <c r="AI575" s="1266">
        <v>45376</v>
      </c>
      <c r="AJ575" s="1266">
        <v>45377</v>
      </c>
      <c r="AK575" s="1285">
        <f>3745+10000+32000+12504</f>
        <v>58249</v>
      </c>
      <c r="AL575" s="1227">
        <f t="shared" si="72"/>
        <v>0.97081666666666666</v>
      </c>
      <c r="AM575" s="1252" t="s">
        <v>62</v>
      </c>
      <c r="AN575" s="1367">
        <v>1</v>
      </c>
      <c r="AO575" s="1276"/>
      <c r="AP575" s="1277"/>
      <c r="AQ575" s="1276"/>
      <c r="AR575" s="1278"/>
      <c r="AS575" s="1278"/>
    </row>
    <row r="576" spans="1:45" ht="15.6">
      <c r="A576" s="1097" t="s">
        <v>53</v>
      </c>
      <c r="B576" s="1103" t="s">
        <v>1322</v>
      </c>
      <c r="C576" s="1098" t="s">
        <v>1323</v>
      </c>
      <c r="D576" s="1098" t="s">
        <v>1324</v>
      </c>
      <c r="E576" s="1473" t="s">
        <v>213</v>
      </c>
      <c r="F576" s="856">
        <v>2024</v>
      </c>
      <c r="G576" s="1099">
        <v>45363</v>
      </c>
      <c r="H576" s="3">
        <v>200105347</v>
      </c>
      <c r="I576" s="1478" t="s">
        <v>1355</v>
      </c>
      <c r="J576" s="1144">
        <v>17</v>
      </c>
      <c r="K576" s="1174" t="s">
        <v>144</v>
      </c>
      <c r="L576" s="8" t="s">
        <v>60</v>
      </c>
      <c r="M576" s="1350">
        <v>550</v>
      </c>
      <c r="N576" s="762">
        <v>124.3</v>
      </c>
      <c r="O576" s="1313">
        <v>45369</v>
      </c>
      <c r="P576" s="1351">
        <v>45365</v>
      </c>
      <c r="Q576" s="1101"/>
      <c r="R576" s="764">
        <v>3.76</v>
      </c>
      <c r="S576" s="851" t="s">
        <v>62</v>
      </c>
      <c r="T576" s="856" t="s">
        <v>63</v>
      </c>
      <c r="U576" s="856" t="s">
        <v>63</v>
      </c>
      <c r="V576" s="1350">
        <v>561.12</v>
      </c>
      <c r="W576" s="1350">
        <v>453.78</v>
      </c>
      <c r="X576" s="1313">
        <v>45370</v>
      </c>
      <c r="Y576" s="1313">
        <v>45370</v>
      </c>
      <c r="Z576" s="856" t="s">
        <v>62</v>
      </c>
      <c r="AA576" s="1284" t="s">
        <v>1327</v>
      </c>
      <c r="AB576" s="1099">
        <v>45371</v>
      </c>
      <c r="AC576" s="1099">
        <v>45372</v>
      </c>
      <c r="AD576" s="1359">
        <f>358+630</f>
        <v>988</v>
      </c>
      <c r="AE576" s="1227">
        <v>0.97246008779700399</v>
      </c>
      <c r="AF576" s="1231" t="s">
        <v>64</v>
      </c>
      <c r="AG576" s="1262">
        <v>1</v>
      </c>
      <c r="AH576" s="1365" t="s">
        <v>1344</v>
      </c>
      <c r="AI576" s="1266">
        <v>45376</v>
      </c>
      <c r="AJ576" s="1266">
        <v>45377</v>
      </c>
      <c r="AK576" s="1288">
        <f>10000+48429</f>
        <v>58429</v>
      </c>
      <c r="AL576" s="1227">
        <f t="shared" si="72"/>
        <v>0.97381666666666666</v>
      </c>
      <c r="AM576" s="1252" t="s">
        <v>62</v>
      </c>
      <c r="AN576" s="1367">
        <v>1</v>
      </c>
      <c r="AO576" s="1276"/>
      <c r="AP576" s="1277"/>
      <c r="AQ576" s="1276"/>
      <c r="AR576" s="1278"/>
      <c r="AS576" s="1278"/>
    </row>
    <row r="577" spans="1:45" ht="15.6">
      <c r="A577" s="1097" t="s">
        <v>53</v>
      </c>
      <c r="B577" s="1103" t="s">
        <v>1322</v>
      </c>
      <c r="C577" s="1098" t="s">
        <v>1323</v>
      </c>
      <c r="D577" s="1098" t="s">
        <v>1324</v>
      </c>
      <c r="E577" s="1473" t="s">
        <v>213</v>
      </c>
      <c r="F577" s="856">
        <v>2024</v>
      </c>
      <c r="G577" s="1099">
        <v>45363</v>
      </c>
      <c r="H577" s="3">
        <v>200105348</v>
      </c>
      <c r="I577" s="1478" t="s">
        <v>1356</v>
      </c>
      <c r="J577" s="1144">
        <v>18</v>
      </c>
      <c r="K577" s="1174" t="s">
        <v>144</v>
      </c>
      <c r="L577" s="8" t="s">
        <v>60</v>
      </c>
      <c r="M577" s="1350">
        <v>548</v>
      </c>
      <c r="N577" s="762">
        <v>125.28</v>
      </c>
      <c r="O577" s="1313">
        <v>45369</v>
      </c>
      <c r="P577" s="1351">
        <v>45365</v>
      </c>
      <c r="Q577" s="1101"/>
      <c r="R577" s="764">
        <v>3.76</v>
      </c>
      <c r="S577" s="851" t="s">
        <v>62</v>
      </c>
      <c r="T577" s="856" t="s">
        <v>63</v>
      </c>
      <c r="U577" s="856" t="s">
        <v>63</v>
      </c>
      <c r="V577" s="1350">
        <v>559.14</v>
      </c>
      <c r="W577" s="1350">
        <v>454.8</v>
      </c>
      <c r="X577" s="1313">
        <v>45370</v>
      </c>
      <c r="Y577" s="1313">
        <v>45370</v>
      </c>
      <c r="Z577" s="856" t="s">
        <v>62</v>
      </c>
      <c r="AA577" s="1284" t="s">
        <v>1327</v>
      </c>
      <c r="AB577" s="1099">
        <v>45372</v>
      </c>
      <c r="AC577" s="1099">
        <v>45372</v>
      </c>
      <c r="AD577" s="1359">
        <f>104+728+154</f>
        <v>986</v>
      </c>
      <c r="AE577" s="1227">
        <v>0.97049154510915603</v>
      </c>
      <c r="AF577" s="1231" t="s">
        <v>64</v>
      </c>
      <c r="AG577" s="1262">
        <v>1</v>
      </c>
      <c r="AH577" s="1365" t="s">
        <v>1344</v>
      </c>
      <c r="AI577" s="1266">
        <v>45377</v>
      </c>
      <c r="AJ577" s="1266">
        <v>45377</v>
      </c>
      <c r="AK577" s="1288">
        <f>9336+49039</f>
        <v>58375</v>
      </c>
      <c r="AL577" s="1227">
        <f t="shared" si="72"/>
        <v>0.97291666666666665</v>
      </c>
      <c r="AM577" s="1252" t="s">
        <v>62</v>
      </c>
      <c r="AN577" s="1367">
        <v>1</v>
      </c>
      <c r="AO577" s="1276"/>
      <c r="AP577" s="1277"/>
      <c r="AQ577" s="1276"/>
      <c r="AR577" s="1278"/>
      <c r="AS577" s="1278"/>
    </row>
    <row r="578" spans="1:45" ht="15.6">
      <c r="A578" s="1097" t="s">
        <v>53</v>
      </c>
      <c r="B578" s="1103" t="s">
        <v>1322</v>
      </c>
      <c r="C578" s="1098" t="s">
        <v>1323</v>
      </c>
      <c r="D578" s="1098" t="s">
        <v>1324</v>
      </c>
      <c r="E578" s="1473" t="s">
        <v>213</v>
      </c>
      <c r="F578" s="856">
        <v>2024</v>
      </c>
      <c r="G578" s="1099">
        <v>45363</v>
      </c>
      <c r="H578" s="3">
        <v>200105349</v>
      </c>
      <c r="I578" s="1478" t="s">
        <v>1357</v>
      </c>
      <c r="J578" s="1144">
        <v>19</v>
      </c>
      <c r="K578" s="1174" t="s">
        <v>144</v>
      </c>
      <c r="L578" s="8" t="s">
        <v>60</v>
      </c>
      <c r="M578" s="1350">
        <v>558.20000000000005</v>
      </c>
      <c r="N578" s="786">
        <v>122.25</v>
      </c>
      <c r="O578" s="1313">
        <v>45369</v>
      </c>
      <c r="P578" s="1351">
        <v>45371</v>
      </c>
      <c r="Q578" s="1101"/>
      <c r="R578" s="786">
        <v>3.69</v>
      </c>
      <c r="S578" s="851" t="s">
        <v>62</v>
      </c>
      <c r="T578" s="856" t="s">
        <v>63</v>
      </c>
      <c r="U578" s="856" t="s">
        <v>63</v>
      </c>
      <c r="V578" s="1350">
        <v>569.39</v>
      </c>
      <c r="W578" s="1350">
        <v>451.3</v>
      </c>
      <c r="X578" s="1313">
        <v>45370</v>
      </c>
      <c r="Y578" s="1313">
        <v>45373</v>
      </c>
      <c r="Z578" s="856" t="s">
        <v>62</v>
      </c>
      <c r="AA578" s="1284" t="s">
        <v>1333</v>
      </c>
      <c r="AB578" s="1099">
        <v>45373</v>
      </c>
      <c r="AC578" s="1099">
        <v>45374</v>
      </c>
      <c r="AD578" s="1359">
        <f>96+762+131</f>
        <v>989</v>
      </c>
      <c r="AE578" s="1227">
        <v>0.97344435914092797</v>
      </c>
      <c r="AF578" s="1231" t="s">
        <v>64</v>
      </c>
      <c r="AG578" s="1262">
        <v>1</v>
      </c>
      <c r="AH578" s="1368" t="s">
        <v>1328</v>
      </c>
      <c r="AI578" s="1266">
        <v>45377</v>
      </c>
      <c r="AJ578" s="1266">
        <v>45378</v>
      </c>
      <c r="AK578" s="1285">
        <f>21000+37376</f>
        <v>58376</v>
      </c>
      <c r="AL578" s="1227">
        <f t="shared" si="72"/>
        <v>0.97293333333333332</v>
      </c>
      <c r="AM578" s="1252" t="s">
        <v>62</v>
      </c>
      <c r="AN578" s="1367">
        <v>1</v>
      </c>
      <c r="AO578" s="1276"/>
      <c r="AP578" s="1277"/>
      <c r="AQ578" s="1276"/>
      <c r="AR578" s="1278"/>
      <c r="AS578" s="1278"/>
    </row>
    <row r="579" spans="1:45" ht="15.6">
      <c r="A579" s="1097" t="s">
        <v>53</v>
      </c>
      <c r="B579" s="1103" t="s">
        <v>1322</v>
      </c>
      <c r="C579" s="1098" t="s">
        <v>1323</v>
      </c>
      <c r="D579" s="1098" t="s">
        <v>1324</v>
      </c>
      <c r="E579" s="1473" t="s">
        <v>213</v>
      </c>
      <c r="F579" s="856">
        <v>2024</v>
      </c>
      <c r="G579" s="1099">
        <v>45363</v>
      </c>
      <c r="H579" s="3">
        <v>200105350</v>
      </c>
      <c r="I579" s="1478" t="s">
        <v>1358</v>
      </c>
      <c r="J579" s="1144">
        <v>20</v>
      </c>
      <c r="K579" s="1174" t="s">
        <v>144</v>
      </c>
      <c r="L579" s="8" t="s">
        <v>60</v>
      </c>
      <c r="M579" s="1350">
        <v>548.20000000000005</v>
      </c>
      <c r="N579" s="786">
        <v>124.72</v>
      </c>
      <c r="O579" s="1313">
        <v>45370</v>
      </c>
      <c r="P579" s="1351">
        <v>45371</v>
      </c>
      <c r="Q579" s="1101"/>
      <c r="R579" s="786">
        <v>3.52</v>
      </c>
      <c r="S579" s="851" t="s">
        <v>62</v>
      </c>
      <c r="T579" s="856" t="s">
        <v>63</v>
      </c>
      <c r="U579" s="856" t="s">
        <v>63</v>
      </c>
      <c r="V579" s="1350">
        <v>559.34</v>
      </c>
      <c r="W579" s="1350">
        <v>454.2</v>
      </c>
      <c r="X579" s="1313">
        <v>45372</v>
      </c>
      <c r="Y579" s="1313">
        <v>45373</v>
      </c>
      <c r="Z579" s="856" t="s">
        <v>62</v>
      </c>
      <c r="AA579" s="1284" t="s">
        <v>1327</v>
      </c>
      <c r="AB579" s="1099">
        <v>45374</v>
      </c>
      <c r="AC579" s="1099">
        <v>45374</v>
      </c>
      <c r="AD579" s="1359">
        <f>700+286</f>
        <v>986</v>
      </c>
      <c r="AE579" s="1227">
        <v>0.97049154510915603</v>
      </c>
      <c r="AF579" s="1231" t="s">
        <v>64</v>
      </c>
      <c r="AG579" s="1262">
        <v>1</v>
      </c>
      <c r="AH579" s="1377" t="s">
        <v>1328</v>
      </c>
      <c r="AI579" s="1378">
        <v>45378</v>
      </c>
      <c r="AJ579" s="1378">
        <v>45378</v>
      </c>
      <c r="AK579" s="1379">
        <f>27700+30663</f>
        <v>58363</v>
      </c>
      <c r="AL579" s="1227">
        <f t="shared" si="72"/>
        <v>0.97271666666666667</v>
      </c>
      <c r="AM579" s="1252" t="s">
        <v>62</v>
      </c>
      <c r="AN579" s="1367">
        <v>1</v>
      </c>
      <c r="AO579" s="1276"/>
      <c r="AP579" s="1277"/>
      <c r="AQ579" s="1276"/>
      <c r="AR579" s="1278"/>
      <c r="AS579" s="1278"/>
    </row>
    <row r="580" spans="1:45" ht="15.6">
      <c r="A580" s="1097" t="s">
        <v>53</v>
      </c>
      <c r="B580" s="1103"/>
      <c r="C580" s="1098"/>
      <c r="D580" s="1098"/>
      <c r="E580" s="1098"/>
      <c r="F580" s="1098"/>
      <c r="G580" s="1099"/>
      <c r="H580" s="3"/>
      <c r="I580" s="1192"/>
      <c r="J580" s="1144"/>
      <c r="K580" s="1174"/>
      <c r="L580" s="1174"/>
      <c r="M580" s="1350"/>
      <c r="N580" s="1174"/>
      <c r="O580" s="1313"/>
      <c r="P580" s="1313"/>
      <c r="Q580" s="1374"/>
      <c r="R580" s="1175"/>
      <c r="S580" s="851"/>
      <c r="T580" s="1215"/>
      <c r="U580" s="856"/>
      <c r="V580" s="1350"/>
      <c r="W580" s="1350"/>
      <c r="X580" s="1313"/>
      <c r="Y580" s="1313"/>
      <c r="Z580" s="856" t="s">
        <v>62</v>
      </c>
      <c r="AA580" s="1284"/>
      <c r="AB580" s="1099"/>
      <c r="AC580" s="1099"/>
      <c r="AD580" s="1359"/>
      <c r="AE580" s="1264"/>
      <c r="AF580" s="1231"/>
      <c r="AG580" s="1262"/>
      <c r="AH580" s="1365"/>
      <c r="AI580" s="1266"/>
      <c r="AJ580" s="1266"/>
      <c r="AK580" s="1288"/>
      <c r="AL580" s="1264"/>
      <c r="AM580" s="1255"/>
      <c r="AN580" s="1367"/>
      <c r="AO580" s="1276"/>
      <c r="AP580" s="1277"/>
      <c r="AQ580" s="1276"/>
      <c r="AR580" s="1278"/>
      <c r="AS580" s="1278"/>
    </row>
    <row r="581" spans="1:45" ht="15.6">
      <c r="A581" s="1097" t="s">
        <v>53</v>
      </c>
      <c r="B581" s="1103" t="s">
        <v>1322</v>
      </c>
      <c r="C581" s="1098" t="s">
        <v>1323</v>
      </c>
      <c r="D581" s="1098" t="s">
        <v>1324</v>
      </c>
      <c r="E581" s="1473" t="s">
        <v>277</v>
      </c>
      <c r="F581" s="856">
        <v>2024</v>
      </c>
      <c r="G581" s="1099">
        <v>45364</v>
      </c>
      <c r="H581" s="1192">
        <v>200105359</v>
      </c>
      <c r="I581" s="1482" t="s">
        <v>1359</v>
      </c>
      <c r="J581" s="1071">
        <v>4</v>
      </c>
      <c r="K581" s="1174" t="s">
        <v>144</v>
      </c>
      <c r="L581" s="1174" t="s">
        <v>1360</v>
      </c>
      <c r="M581" s="1350">
        <v>557.66</v>
      </c>
      <c r="N581" s="762">
        <v>121.85</v>
      </c>
      <c r="O581" s="1313">
        <v>45371</v>
      </c>
      <c r="P581" s="1351">
        <v>45373</v>
      </c>
      <c r="Q581" s="1101"/>
      <c r="R581" s="764">
        <v>3.57</v>
      </c>
      <c r="S581" s="851" t="s">
        <v>62</v>
      </c>
      <c r="T581" s="856" t="s">
        <v>63</v>
      </c>
      <c r="U581" s="856" t="s">
        <v>63</v>
      </c>
      <c r="V581" s="1350">
        <v>568.76</v>
      </c>
      <c r="W581" s="1350">
        <v>451.25</v>
      </c>
      <c r="X581" s="1313">
        <v>45372</v>
      </c>
      <c r="Y581" s="1313">
        <v>45373</v>
      </c>
      <c r="Z581" s="856" t="s">
        <v>62</v>
      </c>
      <c r="AA581" s="1284" t="s">
        <v>1333</v>
      </c>
      <c r="AB581" s="1099">
        <v>45374</v>
      </c>
      <c r="AC581" s="1099">
        <v>45374</v>
      </c>
      <c r="AD581" s="1359">
        <f>264+722</f>
        <v>986</v>
      </c>
      <c r="AE581" s="1227">
        <v>0.97049154510915603</v>
      </c>
      <c r="AF581" s="1231" t="s">
        <v>64</v>
      </c>
      <c r="AG581" s="1262">
        <v>1</v>
      </c>
      <c r="AH581" s="1377" t="s">
        <v>1328</v>
      </c>
      <c r="AI581" s="1266">
        <v>45379</v>
      </c>
      <c r="AJ581" s="1266">
        <v>45384</v>
      </c>
      <c r="AK581" s="1379">
        <f>21738+8709+20997+6925</f>
        <v>58369</v>
      </c>
      <c r="AL581" s="1227">
        <f t="shared" ref="AL581:AL625" si="73">AK581/60000</f>
        <v>0.97281666666666666</v>
      </c>
      <c r="AM581" s="1252" t="s">
        <v>62</v>
      </c>
      <c r="AN581" s="1367">
        <v>1</v>
      </c>
      <c r="AO581" s="1276"/>
      <c r="AP581" s="1277"/>
      <c r="AQ581" s="1276"/>
      <c r="AR581" s="1278"/>
      <c r="AS581" s="1278"/>
    </row>
    <row r="582" spans="1:45" ht="15.6">
      <c r="A582" s="1097" t="s">
        <v>53</v>
      </c>
      <c r="B582" s="1103" t="s">
        <v>1322</v>
      </c>
      <c r="C582" s="1098" t="s">
        <v>1323</v>
      </c>
      <c r="D582" s="1098" t="s">
        <v>1324</v>
      </c>
      <c r="E582" s="1473" t="s">
        <v>277</v>
      </c>
      <c r="F582" s="856">
        <v>2024</v>
      </c>
      <c r="G582" s="1099">
        <v>45364</v>
      </c>
      <c r="H582" s="1192">
        <v>200105360</v>
      </c>
      <c r="I582" s="1482" t="s">
        <v>1361</v>
      </c>
      <c r="J582" s="1071">
        <v>5</v>
      </c>
      <c r="K582" s="1174" t="s">
        <v>144</v>
      </c>
      <c r="L582" s="1174" t="s">
        <v>1360</v>
      </c>
      <c r="M582" s="1350">
        <v>547.5</v>
      </c>
      <c r="N582" s="762">
        <v>123.52</v>
      </c>
      <c r="O582" s="1313">
        <v>45371</v>
      </c>
      <c r="P582" s="1351">
        <v>45373</v>
      </c>
      <c r="Q582" s="1101"/>
      <c r="R582" s="764">
        <v>3.62</v>
      </c>
      <c r="S582" s="851" t="s">
        <v>62</v>
      </c>
      <c r="T582" s="856" t="s">
        <v>63</v>
      </c>
      <c r="U582" s="856" t="s">
        <v>63</v>
      </c>
      <c r="V582" s="1350">
        <v>558.67999999999995</v>
      </c>
      <c r="W582" s="1350">
        <v>453.06</v>
      </c>
      <c r="X582" s="1313">
        <v>45373</v>
      </c>
      <c r="Y582" s="1313">
        <v>45373</v>
      </c>
      <c r="Z582" s="856" t="s">
        <v>62</v>
      </c>
      <c r="AA582" s="1284" t="s">
        <v>1333</v>
      </c>
      <c r="AB582" s="1099">
        <v>45376</v>
      </c>
      <c r="AC582" s="1099">
        <v>45376</v>
      </c>
      <c r="AD582" s="1359">
        <f>528+452</f>
        <v>980</v>
      </c>
      <c r="AE582" s="1227">
        <v>0.96458591704561103</v>
      </c>
      <c r="AF582" s="1231" t="s">
        <v>64</v>
      </c>
      <c r="AG582" s="1262">
        <v>1</v>
      </c>
      <c r="AH582" s="1365" t="s">
        <v>1344</v>
      </c>
      <c r="AI582" s="1266">
        <v>45383</v>
      </c>
      <c r="AJ582" s="1266">
        <v>45385</v>
      </c>
      <c r="AK582" s="1288">
        <f>21600+1200+2800+32347</f>
        <v>57947</v>
      </c>
      <c r="AL582" s="1227">
        <f t="shared" si="73"/>
        <v>0.96578333333333333</v>
      </c>
      <c r="AM582" s="1252" t="s">
        <v>62</v>
      </c>
      <c r="AN582" s="1367">
        <v>1</v>
      </c>
      <c r="AO582" s="1276"/>
      <c r="AP582" s="1277"/>
      <c r="AQ582" s="1276"/>
      <c r="AR582" s="1278"/>
      <c r="AS582" s="1278"/>
    </row>
    <row r="583" spans="1:45" ht="15.6">
      <c r="A583" s="1097" t="s">
        <v>53</v>
      </c>
      <c r="B583" s="1103" t="s">
        <v>1322</v>
      </c>
      <c r="C583" s="1098" t="s">
        <v>1323</v>
      </c>
      <c r="D583" s="1098" t="s">
        <v>1324</v>
      </c>
      <c r="E583" s="1473" t="s">
        <v>277</v>
      </c>
      <c r="F583" s="856">
        <v>2024</v>
      </c>
      <c r="G583" s="1099">
        <v>45364</v>
      </c>
      <c r="H583" s="1192">
        <v>200105361</v>
      </c>
      <c r="I583" s="1482" t="s">
        <v>1362</v>
      </c>
      <c r="J583" s="1071">
        <v>6</v>
      </c>
      <c r="K583" s="1174" t="s">
        <v>144</v>
      </c>
      <c r="L583" s="1174" t="s">
        <v>1360</v>
      </c>
      <c r="M583" s="1350">
        <v>548</v>
      </c>
      <c r="N583" s="762">
        <v>124.35</v>
      </c>
      <c r="O583" s="1313">
        <v>45371</v>
      </c>
      <c r="P583" s="1351">
        <v>45373</v>
      </c>
      <c r="Q583" s="1101"/>
      <c r="R583" s="764">
        <v>3.52</v>
      </c>
      <c r="S583" s="851" t="s">
        <v>62</v>
      </c>
      <c r="T583" s="856" t="s">
        <v>63</v>
      </c>
      <c r="U583" s="856" t="s">
        <v>63</v>
      </c>
      <c r="V583" s="1350">
        <v>559.1</v>
      </c>
      <c r="W583" s="1350">
        <v>453.9</v>
      </c>
      <c r="X583" s="1313">
        <v>45373</v>
      </c>
      <c r="Y583" s="1313">
        <v>45373</v>
      </c>
      <c r="Z583" s="856" t="s">
        <v>62</v>
      </c>
      <c r="AA583" s="1284" t="s">
        <v>1327</v>
      </c>
      <c r="AB583" s="1099">
        <v>45376</v>
      </c>
      <c r="AC583" s="1099">
        <v>45376</v>
      </c>
      <c r="AD583" s="1359">
        <f>578+178+229</f>
        <v>985</v>
      </c>
      <c r="AE583" s="1227">
        <v>0.96950727376523205</v>
      </c>
      <c r="AF583" s="1231" t="s">
        <v>64</v>
      </c>
      <c r="AG583" s="1262">
        <v>1</v>
      </c>
      <c r="AH583" s="1377" t="s">
        <v>1328</v>
      </c>
      <c r="AI583" s="1266">
        <v>45384</v>
      </c>
      <c r="AJ583" s="1266">
        <v>45384</v>
      </c>
      <c r="AK583" s="1379">
        <f>33600+24704</f>
        <v>58304</v>
      </c>
      <c r="AL583" s="1227">
        <f t="shared" si="73"/>
        <v>0.97173333333333334</v>
      </c>
      <c r="AM583" s="1252" t="s">
        <v>62</v>
      </c>
      <c r="AN583" s="1367">
        <v>1</v>
      </c>
      <c r="AO583" s="1276"/>
      <c r="AP583" s="1277"/>
      <c r="AQ583" s="1276"/>
      <c r="AR583" s="1278"/>
      <c r="AS583" s="1278"/>
    </row>
    <row r="584" spans="1:45" ht="15.6">
      <c r="A584" s="1097" t="s">
        <v>53</v>
      </c>
      <c r="B584" s="1103" t="s">
        <v>1322</v>
      </c>
      <c r="C584" s="1098" t="s">
        <v>1323</v>
      </c>
      <c r="D584" s="1098" t="s">
        <v>1324</v>
      </c>
      <c r="E584" s="1473" t="s">
        <v>277</v>
      </c>
      <c r="F584" s="856">
        <v>2024</v>
      </c>
      <c r="G584" s="1099">
        <v>45364</v>
      </c>
      <c r="H584" s="1192">
        <v>200105362</v>
      </c>
      <c r="I584" s="1482" t="s">
        <v>1363</v>
      </c>
      <c r="J584" s="1071">
        <v>7</v>
      </c>
      <c r="K584" s="1174" t="s">
        <v>144</v>
      </c>
      <c r="L584" s="1174" t="s">
        <v>1360</v>
      </c>
      <c r="M584" s="1350">
        <v>557.36</v>
      </c>
      <c r="N584" s="762">
        <v>123.91</v>
      </c>
      <c r="O584" s="1313">
        <v>45371</v>
      </c>
      <c r="P584" s="1351">
        <v>45373</v>
      </c>
      <c r="Q584" s="1101"/>
      <c r="R584" s="764">
        <v>3.44</v>
      </c>
      <c r="S584" s="851" t="s">
        <v>62</v>
      </c>
      <c r="T584" s="856" t="s">
        <v>63</v>
      </c>
      <c r="U584" s="856" t="s">
        <v>63</v>
      </c>
      <c r="V584" s="1350">
        <v>568.17999999999995</v>
      </c>
      <c r="W584" s="1350">
        <v>543.29999999999995</v>
      </c>
      <c r="X584" s="1313">
        <v>45373</v>
      </c>
      <c r="Y584" s="1313">
        <v>45373</v>
      </c>
      <c r="Z584" s="856" t="s">
        <v>62</v>
      </c>
      <c r="AA584" s="1284" t="s">
        <v>1333</v>
      </c>
      <c r="AB584" s="1099">
        <v>45376</v>
      </c>
      <c r="AC584" s="1099">
        <v>45377</v>
      </c>
      <c r="AD584" s="1359">
        <f>224+745+18</f>
        <v>987</v>
      </c>
      <c r="AE584" s="1227">
        <v>0.97147581645308001</v>
      </c>
      <c r="AF584" s="1231" t="s">
        <v>64</v>
      </c>
      <c r="AG584" s="1262">
        <v>1</v>
      </c>
      <c r="AH584" s="1365" t="s">
        <v>1344</v>
      </c>
      <c r="AI584" s="1266">
        <v>45385</v>
      </c>
      <c r="AJ584" s="1266">
        <v>45386</v>
      </c>
      <c r="AK584" s="1288">
        <f>10200+48213</f>
        <v>58413</v>
      </c>
      <c r="AL584" s="1227">
        <f t="shared" si="73"/>
        <v>0.97355000000000003</v>
      </c>
      <c r="AM584" s="1252" t="s">
        <v>62</v>
      </c>
      <c r="AN584" s="1367">
        <v>1</v>
      </c>
      <c r="AO584" s="1276"/>
      <c r="AP584" s="1277"/>
      <c r="AQ584" s="1276"/>
      <c r="AR584" s="1278"/>
      <c r="AS584" s="1278"/>
    </row>
    <row r="585" spans="1:45" ht="15.6">
      <c r="A585" s="1097" t="s">
        <v>53</v>
      </c>
      <c r="B585" s="1103" t="s">
        <v>1322</v>
      </c>
      <c r="C585" s="1098" t="s">
        <v>1323</v>
      </c>
      <c r="D585" s="1098" t="s">
        <v>1324</v>
      </c>
      <c r="E585" s="1473" t="s">
        <v>277</v>
      </c>
      <c r="F585" s="856">
        <v>2024</v>
      </c>
      <c r="G585" s="1099">
        <v>45364</v>
      </c>
      <c r="H585" s="1192">
        <v>200105363</v>
      </c>
      <c r="I585" s="1482" t="s">
        <v>1364</v>
      </c>
      <c r="J585" s="1071">
        <v>8</v>
      </c>
      <c r="K585" s="1174" t="s">
        <v>144</v>
      </c>
      <c r="L585" s="1174" t="s">
        <v>1360</v>
      </c>
      <c r="M585" s="1350">
        <v>547.24</v>
      </c>
      <c r="N585" s="762">
        <v>121.92</v>
      </c>
      <c r="O585" s="1313">
        <v>45372</v>
      </c>
      <c r="P585" s="1351">
        <v>45373</v>
      </c>
      <c r="Q585" s="1101"/>
      <c r="R585" s="764">
        <v>3.44</v>
      </c>
      <c r="S585" s="851" t="s">
        <v>62</v>
      </c>
      <c r="T585" s="856" t="s">
        <v>63</v>
      </c>
      <c r="U585" s="856" t="s">
        <v>75</v>
      </c>
      <c r="V585" s="1350">
        <v>558.29999999999995</v>
      </c>
      <c r="W585" s="1350">
        <v>451.24</v>
      </c>
      <c r="X585" s="1313">
        <v>45373</v>
      </c>
      <c r="Y585" s="1313">
        <v>45376</v>
      </c>
      <c r="Z585" s="856" t="s">
        <v>62</v>
      </c>
      <c r="AA585" s="1284" t="s">
        <v>1327</v>
      </c>
      <c r="AB585" s="1099">
        <v>45376</v>
      </c>
      <c r="AC585" s="1099">
        <v>45377</v>
      </c>
      <c r="AD585" s="1359">
        <f>502+326+153</f>
        <v>981</v>
      </c>
      <c r="AE585" s="1227">
        <v>0.96557018838953501</v>
      </c>
      <c r="AF585" s="1231" t="s">
        <v>64</v>
      </c>
      <c r="AG585" s="1262">
        <v>1</v>
      </c>
      <c r="AH585" s="1377" t="s">
        <v>1328</v>
      </c>
      <c r="AI585" s="1266">
        <v>45384</v>
      </c>
      <c r="AJ585" s="1266">
        <v>45384</v>
      </c>
      <c r="AK585" s="1379">
        <f>23200+34782</f>
        <v>57982</v>
      </c>
      <c r="AL585" s="1227">
        <f t="shared" si="73"/>
        <v>0.96636666666666671</v>
      </c>
      <c r="AM585" s="1252" t="s">
        <v>62</v>
      </c>
      <c r="AN585" s="1367">
        <v>1</v>
      </c>
      <c r="AO585" s="1276"/>
      <c r="AP585" s="1277"/>
      <c r="AQ585" s="1276"/>
      <c r="AR585" s="1278"/>
      <c r="AS585" s="1278"/>
    </row>
    <row r="586" spans="1:45" ht="15.6">
      <c r="A586" s="1097" t="s">
        <v>53</v>
      </c>
      <c r="B586" s="1103" t="s">
        <v>1322</v>
      </c>
      <c r="C586" s="1098" t="s">
        <v>1323</v>
      </c>
      <c r="D586" s="1098" t="s">
        <v>1324</v>
      </c>
      <c r="E586" s="1473" t="s">
        <v>277</v>
      </c>
      <c r="F586" s="856">
        <v>2024</v>
      </c>
      <c r="G586" s="1099">
        <v>45364</v>
      </c>
      <c r="H586" s="1192">
        <v>200105364</v>
      </c>
      <c r="I586" s="1482" t="s">
        <v>1365</v>
      </c>
      <c r="J586" s="1071">
        <v>9</v>
      </c>
      <c r="K586" s="1174" t="s">
        <v>144</v>
      </c>
      <c r="L586" s="1174" t="s">
        <v>1360</v>
      </c>
      <c r="M586" s="1350">
        <v>546</v>
      </c>
      <c r="N586" s="762">
        <v>123.09</v>
      </c>
      <c r="O586" s="1313">
        <v>45372</v>
      </c>
      <c r="P586" s="1351">
        <v>45373</v>
      </c>
      <c r="Q586" s="1101"/>
      <c r="R586" s="764">
        <v>3.77</v>
      </c>
      <c r="S586" s="851" t="s">
        <v>62</v>
      </c>
      <c r="T586" s="856" t="s">
        <v>63</v>
      </c>
      <c r="U586" s="856" t="s">
        <v>75</v>
      </c>
      <c r="V586" s="1350">
        <v>557</v>
      </c>
      <c r="W586" s="1350">
        <v>453.26</v>
      </c>
      <c r="X586" s="1313">
        <v>45373</v>
      </c>
      <c r="Y586" s="1313">
        <v>45376</v>
      </c>
      <c r="Z586" s="856" t="s">
        <v>62</v>
      </c>
      <c r="AA586" s="1284" t="s">
        <v>1333</v>
      </c>
      <c r="AB586" s="1099">
        <v>45377</v>
      </c>
      <c r="AC586" s="1099">
        <v>45377</v>
      </c>
      <c r="AD586" s="1359">
        <f>710+267</f>
        <v>977</v>
      </c>
      <c r="AE586" s="1227">
        <v>0.96163310301383897</v>
      </c>
      <c r="AF586" s="1231" t="s">
        <v>64</v>
      </c>
      <c r="AG586" s="1262">
        <v>1</v>
      </c>
      <c r="AH586" s="1377" t="s">
        <v>1328</v>
      </c>
      <c r="AI586" s="1266">
        <v>45385</v>
      </c>
      <c r="AJ586" s="1266">
        <v>45385</v>
      </c>
      <c r="AK586" s="1379">
        <f>35000+22868</f>
        <v>57868</v>
      </c>
      <c r="AL586" s="1227">
        <f t="shared" si="73"/>
        <v>0.96446666666666669</v>
      </c>
      <c r="AM586" s="1252" t="s">
        <v>62</v>
      </c>
      <c r="AN586" s="1367">
        <v>1</v>
      </c>
      <c r="AO586" s="1276"/>
      <c r="AP586" s="1277"/>
      <c r="AQ586" s="1276"/>
      <c r="AR586" s="1278"/>
      <c r="AS586" s="1278"/>
    </row>
    <row r="587" spans="1:45" ht="15.6">
      <c r="A587" s="1097" t="s">
        <v>53</v>
      </c>
      <c r="B587" s="1103" t="s">
        <v>1322</v>
      </c>
      <c r="C587" s="1098" t="s">
        <v>1323</v>
      </c>
      <c r="D587" s="1098" t="s">
        <v>1324</v>
      </c>
      <c r="E587" s="1473" t="s">
        <v>277</v>
      </c>
      <c r="F587" s="856">
        <v>2024</v>
      </c>
      <c r="G587" s="1099">
        <v>45364</v>
      </c>
      <c r="H587" s="1192">
        <v>200105365</v>
      </c>
      <c r="I587" s="1482" t="s">
        <v>1366</v>
      </c>
      <c r="J587" s="1071">
        <v>10</v>
      </c>
      <c r="K587" s="1174" t="s">
        <v>144</v>
      </c>
      <c r="L587" s="1174" t="s">
        <v>1360</v>
      </c>
      <c r="M587" s="1350">
        <v>549</v>
      </c>
      <c r="N587" s="762">
        <v>123.74</v>
      </c>
      <c r="O587" s="1313">
        <v>45373</v>
      </c>
      <c r="P587" s="1351">
        <v>45373</v>
      </c>
      <c r="Q587" s="1101"/>
      <c r="R587" s="764">
        <v>3.59</v>
      </c>
      <c r="S587" s="851" t="s">
        <v>62</v>
      </c>
      <c r="T587" s="856" t="s">
        <v>63</v>
      </c>
      <c r="U587" s="856" t="s">
        <v>75</v>
      </c>
      <c r="V587" s="1350">
        <v>560.05999999999995</v>
      </c>
      <c r="W587" s="1350">
        <v>453.44</v>
      </c>
      <c r="X587" s="1313">
        <v>45376</v>
      </c>
      <c r="Y587" s="1313">
        <v>45376</v>
      </c>
      <c r="Z587" s="856" t="s">
        <v>62</v>
      </c>
      <c r="AA587" s="1284" t="s">
        <v>1327</v>
      </c>
      <c r="AB587" s="1175">
        <v>45377</v>
      </c>
      <c r="AC587" s="1099">
        <v>45378</v>
      </c>
      <c r="AD587" s="1359">
        <f>26+766+194</f>
        <v>986</v>
      </c>
      <c r="AE587" s="1227">
        <v>0.97049154510915603</v>
      </c>
      <c r="AF587" s="1231" t="s">
        <v>64</v>
      </c>
      <c r="AG587" s="1262">
        <v>1</v>
      </c>
      <c r="AH587" s="1365" t="s">
        <v>1344</v>
      </c>
      <c r="AI587" s="1266">
        <v>45386</v>
      </c>
      <c r="AJ587" s="1266">
        <v>45387</v>
      </c>
      <c r="AK587" s="1285">
        <f>37000+21338</f>
        <v>58338</v>
      </c>
      <c r="AL587" s="1227">
        <f t="shared" si="73"/>
        <v>0.97230000000000005</v>
      </c>
      <c r="AM587" s="1252" t="s">
        <v>62</v>
      </c>
      <c r="AN587" s="1367">
        <v>1</v>
      </c>
      <c r="AO587" s="1276"/>
      <c r="AP587" s="1277"/>
      <c r="AQ587" s="1276"/>
      <c r="AR587" s="1278"/>
      <c r="AS587" s="1278"/>
    </row>
    <row r="588" spans="1:45" ht="15.6">
      <c r="A588" s="1097" t="s">
        <v>53</v>
      </c>
      <c r="B588" s="1103" t="s">
        <v>1322</v>
      </c>
      <c r="C588" s="1098" t="s">
        <v>1323</v>
      </c>
      <c r="D588" s="1098" t="s">
        <v>1324</v>
      </c>
      <c r="E588" s="1473" t="s">
        <v>277</v>
      </c>
      <c r="F588" s="856">
        <v>2024</v>
      </c>
      <c r="G588" s="1099">
        <v>45364</v>
      </c>
      <c r="H588" s="1192">
        <v>200105366</v>
      </c>
      <c r="I588" s="1482" t="s">
        <v>1367</v>
      </c>
      <c r="J588" s="1071">
        <v>11</v>
      </c>
      <c r="K588" s="1174" t="s">
        <v>144</v>
      </c>
      <c r="L588" s="1174" t="s">
        <v>1360</v>
      </c>
      <c r="M588" s="1350">
        <v>549</v>
      </c>
      <c r="N588" s="762">
        <v>123.89</v>
      </c>
      <c r="O588" s="1313">
        <v>45373</v>
      </c>
      <c r="P588" s="1351">
        <v>45373</v>
      </c>
      <c r="Q588" s="1101"/>
      <c r="R588" s="764">
        <v>3.62</v>
      </c>
      <c r="S588" s="851" t="s">
        <v>62</v>
      </c>
      <c r="T588" s="856" t="s">
        <v>63</v>
      </c>
      <c r="U588" s="856" t="s">
        <v>75</v>
      </c>
      <c r="V588" s="1350">
        <v>560.12</v>
      </c>
      <c r="W588" s="1350">
        <v>452.6</v>
      </c>
      <c r="X588" s="1313">
        <v>45376</v>
      </c>
      <c r="Y588" s="1313">
        <v>45377</v>
      </c>
      <c r="Z588" s="856" t="s">
        <v>62</v>
      </c>
      <c r="AA588" s="1284" t="s">
        <v>1333</v>
      </c>
      <c r="AB588" s="1099">
        <v>45377</v>
      </c>
      <c r="AC588" s="1099">
        <v>45378</v>
      </c>
      <c r="AD588" s="1359">
        <f>300+659+18</f>
        <v>977</v>
      </c>
      <c r="AE588" s="1227">
        <v>0.96163310301383897</v>
      </c>
      <c r="AF588" s="1231" t="s">
        <v>64</v>
      </c>
      <c r="AG588" s="1262">
        <v>1</v>
      </c>
      <c r="AH588" s="1377" t="s">
        <v>1328</v>
      </c>
      <c r="AI588" s="1266">
        <v>45384</v>
      </c>
      <c r="AJ588" s="1266">
        <v>45385</v>
      </c>
      <c r="AK588" s="1379">
        <f>32300+25488</f>
        <v>57788</v>
      </c>
      <c r="AL588" s="1227">
        <f t="shared" si="73"/>
        <v>0.96313333333333329</v>
      </c>
      <c r="AM588" s="1252" t="s">
        <v>62</v>
      </c>
      <c r="AN588" s="1367">
        <v>1</v>
      </c>
      <c r="AO588" s="1276"/>
      <c r="AP588" s="1277"/>
      <c r="AQ588" s="1276"/>
      <c r="AR588" s="1278"/>
      <c r="AS588" s="1278"/>
    </row>
    <row r="589" spans="1:45" ht="15.6">
      <c r="A589" s="1097" t="s">
        <v>53</v>
      </c>
      <c r="B589" s="1103" t="s">
        <v>1322</v>
      </c>
      <c r="C589" s="1098" t="s">
        <v>1323</v>
      </c>
      <c r="D589" s="1098" t="s">
        <v>1324</v>
      </c>
      <c r="E589" s="1473" t="s">
        <v>277</v>
      </c>
      <c r="F589" s="856">
        <v>2024</v>
      </c>
      <c r="G589" s="1099">
        <v>45364</v>
      </c>
      <c r="H589" s="1192">
        <v>200105367</v>
      </c>
      <c r="I589" s="1482" t="s">
        <v>1368</v>
      </c>
      <c r="J589" s="1071">
        <v>12</v>
      </c>
      <c r="K589" s="1174" t="s">
        <v>144</v>
      </c>
      <c r="L589" s="1174" t="s">
        <v>1360</v>
      </c>
      <c r="M589" s="1350">
        <v>559</v>
      </c>
      <c r="N589" s="762">
        <v>125.19</v>
      </c>
      <c r="O589" s="1313">
        <v>45373</v>
      </c>
      <c r="P589" s="1351">
        <v>45373</v>
      </c>
      <c r="Q589" s="1101"/>
      <c r="R589" s="764">
        <v>3.58</v>
      </c>
      <c r="S589" s="851" t="s">
        <v>62</v>
      </c>
      <c r="T589" s="856" t="s">
        <v>63</v>
      </c>
      <c r="U589" s="856" t="s">
        <v>75</v>
      </c>
      <c r="V589" s="1350">
        <v>570.14</v>
      </c>
      <c r="W589" s="1350">
        <v>454.74</v>
      </c>
      <c r="X589" s="1313">
        <v>45376</v>
      </c>
      <c r="Y589" s="1313">
        <v>45377</v>
      </c>
      <c r="Z589" s="856" t="s">
        <v>62</v>
      </c>
      <c r="AA589" s="1284" t="s">
        <v>1333</v>
      </c>
      <c r="AB589" s="1099">
        <v>45378</v>
      </c>
      <c r="AC589" s="1099">
        <v>45378</v>
      </c>
      <c r="AD589" s="1359">
        <f>705+285</f>
        <v>990</v>
      </c>
      <c r="AE589" s="1227">
        <v>0.97442863048485195</v>
      </c>
      <c r="AF589" s="1231" t="s">
        <v>64</v>
      </c>
      <c r="AG589" s="1262">
        <v>1</v>
      </c>
      <c r="AH589" s="1365" t="s">
        <v>1344</v>
      </c>
      <c r="AI589" s="1266">
        <v>45386</v>
      </c>
      <c r="AJ589" s="1266">
        <v>45386</v>
      </c>
      <c r="AK589" s="1288">
        <f>16300+24000+18254</f>
        <v>58554</v>
      </c>
      <c r="AL589" s="1227">
        <f t="shared" si="73"/>
        <v>0.97589999999999999</v>
      </c>
      <c r="AM589" s="1252" t="s">
        <v>62</v>
      </c>
      <c r="AN589" s="1367">
        <v>1</v>
      </c>
      <c r="AO589" s="1276"/>
      <c r="AP589" s="1277"/>
      <c r="AQ589" s="1276"/>
      <c r="AR589" s="1278"/>
      <c r="AS589" s="1278"/>
    </row>
    <row r="590" spans="1:45" ht="15.6">
      <c r="A590" s="1097" t="s">
        <v>53</v>
      </c>
      <c r="B590" s="1103" t="s">
        <v>1322</v>
      </c>
      <c r="C590" s="1098" t="s">
        <v>1323</v>
      </c>
      <c r="D590" s="1098" t="s">
        <v>1324</v>
      </c>
      <c r="E590" s="1473" t="s">
        <v>277</v>
      </c>
      <c r="F590" s="856">
        <v>2024</v>
      </c>
      <c r="G590" s="1099">
        <v>45369</v>
      </c>
      <c r="H590" s="1192">
        <v>200105392</v>
      </c>
      <c r="I590" s="1478" t="s">
        <v>1369</v>
      </c>
      <c r="J590" s="1071">
        <v>13</v>
      </c>
      <c r="K590" s="1174" t="s">
        <v>144</v>
      </c>
      <c r="L590" s="1174" t="s">
        <v>1360</v>
      </c>
      <c r="M590" s="1350">
        <v>547.1</v>
      </c>
      <c r="N590" s="786">
        <v>122.39</v>
      </c>
      <c r="O590" s="1313">
        <v>45376</v>
      </c>
      <c r="P590" s="1351">
        <v>45377</v>
      </c>
      <c r="Q590" s="1101"/>
      <c r="R590" s="882">
        <v>3.55</v>
      </c>
      <c r="S590" s="851" t="s">
        <v>62</v>
      </c>
      <c r="T590" s="856" t="s">
        <v>63</v>
      </c>
      <c r="U590" s="856" t="s">
        <v>69</v>
      </c>
      <c r="V590" s="1350">
        <v>558.52</v>
      </c>
      <c r="W590" s="1350">
        <v>451.98</v>
      </c>
      <c r="X590" s="1313">
        <v>45376</v>
      </c>
      <c r="Y590" s="1313">
        <v>45377</v>
      </c>
      <c r="Z590" s="856" t="s">
        <v>62</v>
      </c>
      <c r="AA590" s="1375" t="s">
        <v>1327</v>
      </c>
      <c r="AB590" s="1175">
        <v>45378</v>
      </c>
      <c r="AC590" s="1175">
        <v>45379</v>
      </c>
      <c r="AD590" s="1376">
        <f>20+392+248+322</f>
        <v>982</v>
      </c>
      <c r="AE590" s="1227">
        <v>0.96655445973345899</v>
      </c>
      <c r="AF590" s="1231" t="s">
        <v>64</v>
      </c>
      <c r="AG590" s="1262">
        <v>1</v>
      </c>
      <c r="AH590" s="1377" t="s">
        <v>1328</v>
      </c>
      <c r="AI590" s="1266">
        <v>45385</v>
      </c>
      <c r="AJ590" s="1266">
        <v>45385</v>
      </c>
      <c r="AK590" s="1379">
        <f>36400+21677</f>
        <v>58077</v>
      </c>
      <c r="AL590" s="1227">
        <f t="shared" si="73"/>
        <v>0.96794999999999998</v>
      </c>
      <c r="AM590" s="1252" t="s">
        <v>62</v>
      </c>
      <c r="AN590" s="1367">
        <v>1</v>
      </c>
      <c r="AO590" s="1276"/>
      <c r="AP590" s="1277"/>
      <c r="AQ590" s="1276"/>
      <c r="AR590" s="1278"/>
      <c r="AS590" s="1278"/>
    </row>
    <row r="591" spans="1:45" ht="15.6">
      <c r="A591" s="1097" t="s">
        <v>53</v>
      </c>
      <c r="B591" s="1103" t="s">
        <v>1322</v>
      </c>
      <c r="C591" s="1098" t="s">
        <v>1323</v>
      </c>
      <c r="D591" s="1098" t="s">
        <v>1324</v>
      </c>
      <c r="E591" s="1473" t="s">
        <v>277</v>
      </c>
      <c r="F591" s="856">
        <v>2024</v>
      </c>
      <c r="G591" s="1099">
        <v>45369</v>
      </c>
      <c r="H591" s="1192">
        <v>200105393</v>
      </c>
      <c r="I591" s="1478" t="s">
        <v>1370</v>
      </c>
      <c r="J591" s="1071">
        <v>14</v>
      </c>
      <c r="K591" s="1174" t="s">
        <v>144</v>
      </c>
      <c r="L591" s="1174" t="s">
        <v>1360</v>
      </c>
      <c r="M591" s="1350">
        <v>547.20000000000005</v>
      </c>
      <c r="N591" s="786">
        <v>122.27</v>
      </c>
      <c r="O591" s="1313">
        <v>45376</v>
      </c>
      <c r="P591" s="1351">
        <v>45377</v>
      </c>
      <c r="Q591" s="1101"/>
      <c r="R591" s="882">
        <v>3.73</v>
      </c>
      <c r="S591" s="851" t="s">
        <v>62</v>
      </c>
      <c r="T591" s="856" t="s">
        <v>63</v>
      </c>
      <c r="U591" s="856" t="s">
        <v>69</v>
      </c>
      <c r="V591" s="1350">
        <v>558.34</v>
      </c>
      <c r="W591" s="1350">
        <v>451.81</v>
      </c>
      <c r="X591" s="1313">
        <v>45377</v>
      </c>
      <c r="Y591" s="1313">
        <v>45378</v>
      </c>
      <c r="Z591" s="856" t="s">
        <v>62</v>
      </c>
      <c r="AA591" s="1284" t="s">
        <v>1333</v>
      </c>
      <c r="AB591" s="1099">
        <v>45378</v>
      </c>
      <c r="AC591" s="1099">
        <v>45378</v>
      </c>
      <c r="AD591" s="1359">
        <f>396+582</f>
        <v>978</v>
      </c>
      <c r="AE591" s="1227">
        <v>0.96261737435776296</v>
      </c>
      <c r="AF591" s="1231" t="s">
        <v>64</v>
      </c>
      <c r="AG591" s="1262">
        <v>1</v>
      </c>
      <c r="AH591" s="1368" t="s">
        <v>1328</v>
      </c>
      <c r="AI591" s="1266">
        <v>45387</v>
      </c>
      <c r="AJ591" s="1266">
        <v>45387</v>
      </c>
      <c r="AK591" s="1285">
        <f>9000+48781</f>
        <v>57781</v>
      </c>
      <c r="AL591" s="1227">
        <f t="shared" si="73"/>
        <v>0.96301666666666663</v>
      </c>
      <c r="AM591" s="1252" t="s">
        <v>62</v>
      </c>
      <c r="AN591" s="1367">
        <v>1</v>
      </c>
      <c r="AO591" s="1276"/>
      <c r="AP591" s="1277"/>
      <c r="AQ591" s="1276"/>
      <c r="AR591" s="1278"/>
      <c r="AS591" s="1278"/>
    </row>
    <row r="592" spans="1:45" ht="15.6">
      <c r="A592" s="1097" t="s">
        <v>53</v>
      </c>
      <c r="B592" s="1103" t="s">
        <v>1322</v>
      </c>
      <c r="C592" s="1098" t="s">
        <v>1323</v>
      </c>
      <c r="D592" s="1098" t="s">
        <v>1324</v>
      </c>
      <c r="E592" s="1473" t="s">
        <v>277</v>
      </c>
      <c r="F592" s="856">
        <v>2024</v>
      </c>
      <c r="G592" s="1099">
        <v>45369</v>
      </c>
      <c r="H592" s="1192">
        <v>200105394</v>
      </c>
      <c r="I592" s="1478" t="s">
        <v>1371</v>
      </c>
      <c r="J592" s="1144">
        <v>15</v>
      </c>
      <c r="K592" s="1174" t="s">
        <v>144</v>
      </c>
      <c r="L592" s="1174" t="s">
        <v>1360</v>
      </c>
      <c r="M592" s="1350">
        <v>550.20000000000005</v>
      </c>
      <c r="N592" s="786">
        <v>122.49</v>
      </c>
      <c r="O592" s="1313">
        <v>45376</v>
      </c>
      <c r="P592" s="1351">
        <v>45377</v>
      </c>
      <c r="Q592" s="1101"/>
      <c r="R592" s="882">
        <v>3.57</v>
      </c>
      <c r="S592" s="851" t="s">
        <v>62</v>
      </c>
      <c r="T592" s="856" t="s">
        <v>63</v>
      </c>
      <c r="U592" s="856" t="s">
        <v>69</v>
      </c>
      <c r="V592" s="1350">
        <v>561.38</v>
      </c>
      <c r="W592" s="1350">
        <v>452.06</v>
      </c>
      <c r="X592" s="1313">
        <v>45377</v>
      </c>
      <c r="Y592" s="1313">
        <v>45378</v>
      </c>
      <c r="Z592" s="856" t="s">
        <v>62</v>
      </c>
      <c r="AA592" s="1284" t="s">
        <v>1333</v>
      </c>
      <c r="AB592" s="1099">
        <v>45378</v>
      </c>
      <c r="AC592" s="1175">
        <v>45379</v>
      </c>
      <c r="AD592" s="1359">
        <f>76+690+214</f>
        <v>980</v>
      </c>
      <c r="AE592" s="1227">
        <v>0.96458591704561103</v>
      </c>
      <c r="AF592" s="1231" t="s">
        <v>64</v>
      </c>
      <c r="AG592" s="1262">
        <v>1</v>
      </c>
      <c r="AH592" s="1377" t="s">
        <v>1328</v>
      </c>
      <c r="AI592" s="1266">
        <v>45385</v>
      </c>
      <c r="AJ592" s="1266">
        <v>45386</v>
      </c>
      <c r="AK592" s="1379">
        <f>24600+33357</f>
        <v>57957</v>
      </c>
      <c r="AL592" s="1227">
        <f t="shared" si="73"/>
        <v>0.96594999999999998</v>
      </c>
      <c r="AM592" s="1252" t="s">
        <v>62</v>
      </c>
      <c r="AN592" s="1367">
        <v>1</v>
      </c>
      <c r="AO592" s="1276"/>
      <c r="AP592" s="1277"/>
      <c r="AQ592" s="1276"/>
      <c r="AR592" s="1278"/>
      <c r="AS592" s="1278"/>
    </row>
    <row r="593" spans="1:45" ht="15.6">
      <c r="A593" s="1097" t="s">
        <v>53</v>
      </c>
      <c r="B593" s="1103" t="s">
        <v>1322</v>
      </c>
      <c r="C593" s="1098" t="s">
        <v>1323</v>
      </c>
      <c r="D593" s="1098" t="s">
        <v>1324</v>
      </c>
      <c r="E593" s="1473" t="s">
        <v>277</v>
      </c>
      <c r="F593" s="856">
        <v>2024</v>
      </c>
      <c r="G593" s="1099">
        <v>45369</v>
      </c>
      <c r="H593" s="1192">
        <v>200105395</v>
      </c>
      <c r="I593" s="1478" t="s">
        <v>1372</v>
      </c>
      <c r="J593" s="1144">
        <v>16</v>
      </c>
      <c r="K593" s="1174" t="s">
        <v>144</v>
      </c>
      <c r="L593" s="1174" t="s">
        <v>1360</v>
      </c>
      <c r="M593" s="1350">
        <v>557.14</v>
      </c>
      <c r="N593" s="786">
        <v>122.5</v>
      </c>
      <c r="O593" s="1313">
        <v>45376</v>
      </c>
      <c r="P593" s="1351">
        <v>45377</v>
      </c>
      <c r="Q593" s="1101"/>
      <c r="R593" s="882">
        <v>3.72</v>
      </c>
      <c r="S593" s="851" t="s">
        <v>62</v>
      </c>
      <c r="T593" s="856" t="s">
        <v>63</v>
      </c>
      <c r="U593" s="856" t="s">
        <v>63</v>
      </c>
      <c r="V593" s="1350">
        <v>568.29999999999995</v>
      </c>
      <c r="W593" s="1350">
        <v>452</v>
      </c>
      <c r="X593" s="1313">
        <v>45377</v>
      </c>
      <c r="Y593" s="1313">
        <v>45378</v>
      </c>
      <c r="Z593" s="856" t="s">
        <v>62</v>
      </c>
      <c r="AA593" s="1375" t="s">
        <v>1327</v>
      </c>
      <c r="AB593" s="1175">
        <v>45379</v>
      </c>
      <c r="AC593" s="1175">
        <v>45379</v>
      </c>
      <c r="AD593" s="1376">
        <f>350+640</f>
        <v>990</v>
      </c>
      <c r="AE593" s="1227">
        <v>0.97442863048485195</v>
      </c>
      <c r="AF593" s="1231" t="s">
        <v>64</v>
      </c>
      <c r="AG593" s="1262">
        <v>1</v>
      </c>
      <c r="AH593" s="1368" t="s">
        <v>1328</v>
      </c>
      <c r="AI593" s="1266">
        <v>45387</v>
      </c>
      <c r="AJ593" s="1266">
        <v>45399</v>
      </c>
      <c r="AK593" s="1285">
        <f>34690+23859</f>
        <v>58549</v>
      </c>
      <c r="AL593" s="1227">
        <f t="shared" si="73"/>
        <v>0.97581666666666667</v>
      </c>
      <c r="AM593" s="1252" t="s">
        <v>62</v>
      </c>
      <c r="AN593" s="1367">
        <v>1</v>
      </c>
      <c r="AO593" s="1276"/>
      <c r="AP593" s="1277"/>
      <c r="AQ593" s="1276"/>
      <c r="AR593" s="1278"/>
      <c r="AS593" s="1278"/>
    </row>
    <row r="594" spans="1:45" ht="15.6">
      <c r="A594" s="1097" t="s">
        <v>53</v>
      </c>
      <c r="B594" s="1103" t="s">
        <v>1322</v>
      </c>
      <c r="C594" s="1098" t="s">
        <v>1323</v>
      </c>
      <c r="D594" s="1098" t="s">
        <v>1324</v>
      </c>
      <c r="E594" s="1473" t="s">
        <v>277</v>
      </c>
      <c r="F594" s="856">
        <v>2024</v>
      </c>
      <c r="G594" s="1099">
        <v>45369</v>
      </c>
      <c r="H594" s="1192">
        <v>200105396</v>
      </c>
      <c r="I594" s="1478" t="s">
        <v>1373</v>
      </c>
      <c r="J594" s="1144">
        <v>17</v>
      </c>
      <c r="K594" s="1174" t="s">
        <v>144</v>
      </c>
      <c r="L594" s="1174" t="s">
        <v>1360</v>
      </c>
      <c r="M594" s="1350">
        <v>547.20000000000005</v>
      </c>
      <c r="N594" s="762">
        <v>123.7</v>
      </c>
      <c r="O594" s="1313">
        <v>45378</v>
      </c>
      <c r="P594" s="1351">
        <v>45378</v>
      </c>
      <c r="Q594" s="1101"/>
      <c r="R594" s="1044">
        <v>3.64</v>
      </c>
      <c r="S594" s="851" t="s">
        <v>62</v>
      </c>
      <c r="T594" s="856" t="s">
        <v>63</v>
      </c>
      <c r="U594" s="856" t="s">
        <v>63</v>
      </c>
      <c r="V594" s="1350">
        <v>558.35</v>
      </c>
      <c r="W594" s="1350">
        <v>453.18</v>
      </c>
      <c r="X594" s="1313">
        <v>45378</v>
      </c>
      <c r="Y594" s="1313">
        <v>45378</v>
      </c>
      <c r="Z594" s="856" t="s">
        <v>62</v>
      </c>
      <c r="AA594" s="1284" t="s">
        <v>1333</v>
      </c>
      <c r="AB594" s="1175">
        <v>45379</v>
      </c>
      <c r="AC594" s="1175">
        <v>45379</v>
      </c>
      <c r="AD594" s="1359">
        <f>462+514</f>
        <v>976</v>
      </c>
      <c r="AE594" s="1227">
        <v>0.96064883166991499</v>
      </c>
      <c r="AF594" s="1231" t="s">
        <v>64</v>
      </c>
      <c r="AG594" s="1262">
        <v>1</v>
      </c>
      <c r="AH594" s="1377" t="s">
        <v>1328</v>
      </c>
      <c r="AI594" s="1266">
        <v>45386</v>
      </c>
      <c r="AJ594" s="1266">
        <v>45386</v>
      </c>
      <c r="AK594" s="1379">
        <f>34000+23687</f>
        <v>57687</v>
      </c>
      <c r="AL594" s="1227">
        <f t="shared" si="73"/>
        <v>0.96145000000000003</v>
      </c>
      <c r="AM594" s="1252" t="s">
        <v>62</v>
      </c>
      <c r="AN594" s="1367">
        <v>1</v>
      </c>
      <c r="AO594" s="1276"/>
      <c r="AP594" s="1277"/>
      <c r="AQ594" s="1276"/>
      <c r="AR594" s="1278"/>
      <c r="AS594" s="1278"/>
    </row>
    <row r="595" spans="1:45" ht="15.6">
      <c r="A595" s="1097" t="s">
        <v>53</v>
      </c>
      <c r="B595" s="1103" t="s">
        <v>1322</v>
      </c>
      <c r="C595" s="1098" t="s">
        <v>1323</v>
      </c>
      <c r="D595" s="1098" t="s">
        <v>1324</v>
      </c>
      <c r="E595" s="1473" t="s">
        <v>277</v>
      </c>
      <c r="F595" s="856">
        <v>2024</v>
      </c>
      <c r="G595" s="1099">
        <v>45369</v>
      </c>
      <c r="H595" s="1192">
        <v>200105397</v>
      </c>
      <c r="I595" s="1478" t="s">
        <v>1374</v>
      </c>
      <c r="J595" s="1144">
        <v>18</v>
      </c>
      <c r="K595" s="1174" t="s">
        <v>144</v>
      </c>
      <c r="L595" s="1174" t="s">
        <v>1360</v>
      </c>
      <c r="M595" s="1350">
        <v>548</v>
      </c>
      <c r="N595" s="762">
        <v>124.92</v>
      </c>
      <c r="O595" s="1313">
        <v>45378</v>
      </c>
      <c r="P595" s="1351">
        <v>45378</v>
      </c>
      <c r="Q595" s="1101"/>
      <c r="R595" s="1044">
        <v>3.69</v>
      </c>
      <c r="S595" s="851" t="s">
        <v>62</v>
      </c>
      <c r="T595" s="856" t="s">
        <v>69</v>
      </c>
      <c r="U595" s="856" t="s">
        <v>63</v>
      </c>
      <c r="V595" s="1350">
        <v>559.12</v>
      </c>
      <c r="W595" s="1350">
        <v>454.06</v>
      </c>
      <c r="X595" s="1313">
        <v>45379</v>
      </c>
      <c r="Y595" s="1313">
        <v>45378</v>
      </c>
      <c r="Z595" s="856" t="s">
        <v>62</v>
      </c>
      <c r="AA595" s="1375" t="s">
        <v>1327</v>
      </c>
      <c r="AB595" s="1175">
        <v>45379</v>
      </c>
      <c r="AC595" s="1175">
        <v>45383</v>
      </c>
      <c r="AD595" s="1376">
        <f>36+776+172</f>
        <v>984</v>
      </c>
      <c r="AE595" s="1227">
        <v>0.96852300242130795</v>
      </c>
      <c r="AF595" s="1231" t="s">
        <v>64</v>
      </c>
      <c r="AG595" s="1262">
        <v>1</v>
      </c>
      <c r="AH595" s="1365" t="s">
        <v>1344</v>
      </c>
      <c r="AI595" s="1266">
        <v>45387</v>
      </c>
      <c r="AJ595" s="1266">
        <v>45387</v>
      </c>
      <c r="AK595" s="1285">
        <f>19700+38480</f>
        <v>58180</v>
      </c>
      <c r="AL595" s="1227">
        <f t="shared" si="73"/>
        <v>0.96966666666666668</v>
      </c>
      <c r="AM595" s="1252" t="s">
        <v>62</v>
      </c>
      <c r="AN595" s="1367">
        <v>1</v>
      </c>
      <c r="AO595" s="1276"/>
      <c r="AP595" s="1277"/>
      <c r="AQ595" s="1276"/>
      <c r="AR595" s="1278"/>
      <c r="AS595" s="1278"/>
    </row>
    <row r="596" spans="1:45" ht="15.6">
      <c r="A596" s="1097" t="s">
        <v>53</v>
      </c>
      <c r="B596" s="1103" t="s">
        <v>1322</v>
      </c>
      <c r="C596" s="1098" t="s">
        <v>1323</v>
      </c>
      <c r="D596" s="1098" t="s">
        <v>1324</v>
      </c>
      <c r="E596" s="1473" t="s">
        <v>277</v>
      </c>
      <c r="F596" s="856">
        <v>2024</v>
      </c>
      <c r="G596" s="1099">
        <v>45369</v>
      </c>
      <c r="H596" s="1192">
        <v>200105398</v>
      </c>
      <c r="I596" s="1478" t="s">
        <v>1375</v>
      </c>
      <c r="J596" s="1144">
        <v>19</v>
      </c>
      <c r="K596" s="1174" t="s">
        <v>144</v>
      </c>
      <c r="L596" s="1174" t="s">
        <v>1360</v>
      </c>
      <c r="M596" s="1350">
        <v>547.79999999999995</v>
      </c>
      <c r="N596" s="762">
        <v>124.2</v>
      </c>
      <c r="O596" s="1313">
        <v>45378</v>
      </c>
      <c r="P596" s="1351">
        <v>45378</v>
      </c>
      <c r="Q596" s="1101"/>
      <c r="R596" s="1044">
        <v>3.68</v>
      </c>
      <c r="S596" s="851" t="s">
        <v>62</v>
      </c>
      <c r="T596" s="856" t="s">
        <v>69</v>
      </c>
      <c r="U596" s="856" t="s">
        <v>69</v>
      </c>
      <c r="V596" s="1350">
        <v>558.92999999999995</v>
      </c>
      <c r="W596" s="1350">
        <v>453.61</v>
      </c>
      <c r="X596" s="1313">
        <v>45379</v>
      </c>
      <c r="Y596" s="1313">
        <v>45379</v>
      </c>
      <c r="Z596" s="856" t="s">
        <v>62</v>
      </c>
      <c r="AA596" s="1284" t="s">
        <v>1333</v>
      </c>
      <c r="AB596" s="1175">
        <v>45379</v>
      </c>
      <c r="AC596" s="1175">
        <v>45383</v>
      </c>
      <c r="AD596" s="1359">
        <f>132+594+251</f>
        <v>977</v>
      </c>
      <c r="AE596" s="1227">
        <v>0.96163310301383897</v>
      </c>
      <c r="AF596" s="1231" t="s">
        <v>64</v>
      </c>
      <c r="AG596" s="1262">
        <v>1</v>
      </c>
      <c r="AH596" s="1377" t="s">
        <v>1328</v>
      </c>
      <c r="AI596" s="1266">
        <v>45386</v>
      </c>
      <c r="AJ596" s="1266">
        <v>45387</v>
      </c>
      <c r="AK596" s="1379">
        <f>28400+29433</f>
        <v>57833</v>
      </c>
      <c r="AL596" s="1227">
        <f t="shared" si="73"/>
        <v>0.96388333333333331</v>
      </c>
      <c r="AM596" s="1252" t="s">
        <v>62</v>
      </c>
      <c r="AN596" s="1367">
        <v>1</v>
      </c>
      <c r="AO596" s="1276"/>
      <c r="AP596" s="1277"/>
      <c r="AQ596" s="1276"/>
      <c r="AR596" s="1278"/>
      <c r="AS596" s="1278"/>
    </row>
    <row r="597" spans="1:45" ht="15.6">
      <c r="A597" s="1097" t="s">
        <v>53</v>
      </c>
      <c r="B597" s="1103" t="s">
        <v>1322</v>
      </c>
      <c r="C597" s="1098" t="s">
        <v>1323</v>
      </c>
      <c r="D597" s="1098" t="s">
        <v>1324</v>
      </c>
      <c r="E597" s="1473" t="s">
        <v>277</v>
      </c>
      <c r="F597" s="856">
        <v>2024</v>
      </c>
      <c r="G597" s="1099">
        <v>45369</v>
      </c>
      <c r="H597" s="1192">
        <v>200105399</v>
      </c>
      <c r="I597" s="1478" t="s">
        <v>1376</v>
      </c>
      <c r="J597" s="1144">
        <v>20</v>
      </c>
      <c r="K597" s="1174" t="s">
        <v>144</v>
      </c>
      <c r="L597" s="1174" t="s">
        <v>1360</v>
      </c>
      <c r="M597" s="1350">
        <v>559</v>
      </c>
      <c r="N597" s="762">
        <v>125.89</v>
      </c>
      <c r="O597" s="1313">
        <v>45378</v>
      </c>
      <c r="P597" s="1351">
        <v>45378</v>
      </c>
      <c r="Q597" s="1101"/>
      <c r="R597" s="1044">
        <v>3.72</v>
      </c>
      <c r="S597" s="851" t="s">
        <v>62</v>
      </c>
      <c r="T597" s="856" t="s">
        <v>69</v>
      </c>
      <c r="U597" s="856" t="s">
        <v>69</v>
      </c>
      <c r="V597" s="1350">
        <v>570.08000000000004</v>
      </c>
      <c r="W597" s="1350">
        <v>455.35</v>
      </c>
      <c r="X597" s="1313">
        <v>45379</v>
      </c>
      <c r="Y597" s="1313">
        <v>45379</v>
      </c>
      <c r="Z597" s="856" t="s">
        <v>62</v>
      </c>
      <c r="AA597" s="1375" t="s">
        <v>1327</v>
      </c>
      <c r="AB597" s="1175">
        <v>45383</v>
      </c>
      <c r="AC597" s="1175">
        <v>45384</v>
      </c>
      <c r="AD597" s="1376">
        <f>116+686+192</f>
        <v>994</v>
      </c>
      <c r="AE597" s="1227">
        <v>0.97836571586054799</v>
      </c>
      <c r="AF597" s="1231" t="s">
        <v>64</v>
      </c>
      <c r="AG597" s="1262">
        <v>1</v>
      </c>
      <c r="AH597" s="1368" t="s">
        <v>1328</v>
      </c>
      <c r="AI597" s="1266">
        <v>45399</v>
      </c>
      <c r="AJ597" s="1266">
        <v>45399</v>
      </c>
      <c r="AK597" s="1285">
        <f>14000+44696</f>
        <v>58696</v>
      </c>
      <c r="AL597" s="1227">
        <f t="shared" si="73"/>
        <v>0.97826666666666662</v>
      </c>
      <c r="AM597" s="1252" t="s">
        <v>62</v>
      </c>
      <c r="AN597" s="1367">
        <v>1</v>
      </c>
      <c r="AO597" s="1276"/>
      <c r="AP597" s="1277"/>
      <c r="AQ597" s="1276"/>
      <c r="AR597" s="1278"/>
      <c r="AS597" s="1278"/>
    </row>
    <row r="598" spans="1:45" ht="15.6">
      <c r="A598" s="1097" t="s">
        <v>53</v>
      </c>
      <c r="B598" s="1103" t="s">
        <v>1322</v>
      </c>
      <c r="C598" s="1098" t="s">
        <v>1323</v>
      </c>
      <c r="D598" s="1098" t="s">
        <v>1324</v>
      </c>
      <c r="E598" s="1473" t="s">
        <v>277</v>
      </c>
      <c r="F598" s="856">
        <v>2024</v>
      </c>
      <c r="G598" s="1099">
        <v>45369</v>
      </c>
      <c r="H598" s="1192">
        <v>200105420</v>
      </c>
      <c r="I598" s="1478" t="s">
        <v>1377</v>
      </c>
      <c r="J598" s="1144">
        <v>21</v>
      </c>
      <c r="K598" s="1174" t="s">
        <v>144</v>
      </c>
      <c r="L598" s="1174" t="s">
        <v>1360</v>
      </c>
      <c r="M598" s="1350">
        <v>547.20000000000005</v>
      </c>
      <c r="N598" s="762">
        <v>126.38</v>
      </c>
      <c r="O598" s="1313">
        <v>45379</v>
      </c>
      <c r="P598" s="1351">
        <v>45378</v>
      </c>
      <c r="Q598" s="1101"/>
      <c r="R598" s="1044">
        <v>3.69</v>
      </c>
      <c r="S598" s="851" t="s">
        <v>62</v>
      </c>
      <c r="T598" s="856" t="s">
        <v>63</v>
      </c>
      <c r="U598" s="856" t="s">
        <v>69</v>
      </c>
      <c r="V598" s="1350">
        <v>558.04</v>
      </c>
      <c r="W598" s="1350">
        <v>456.22</v>
      </c>
      <c r="X598" s="1313">
        <v>45379</v>
      </c>
      <c r="Y598" s="1313">
        <v>45379</v>
      </c>
      <c r="Z598" s="856" t="s">
        <v>62</v>
      </c>
      <c r="AA598" s="1284" t="s">
        <v>1333</v>
      </c>
      <c r="AB598" s="1175">
        <v>45383</v>
      </c>
      <c r="AC598" s="1175">
        <v>45384</v>
      </c>
      <c r="AD598" s="1359">
        <f>86+594+300</f>
        <v>980</v>
      </c>
      <c r="AE598" s="1227">
        <v>0.96458591704561103</v>
      </c>
      <c r="AF598" s="1231" t="s">
        <v>64</v>
      </c>
      <c r="AG598" s="1262">
        <v>1</v>
      </c>
      <c r="AH598" s="1377" t="s">
        <v>1328</v>
      </c>
      <c r="AI598" s="1266">
        <v>45397</v>
      </c>
      <c r="AJ598" s="1266">
        <v>45397</v>
      </c>
      <c r="AK598" s="1379">
        <f>4500+48900+4613</f>
        <v>58013</v>
      </c>
      <c r="AL598" s="1227">
        <f t="shared" si="73"/>
        <v>0.96688333333333332</v>
      </c>
      <c r="AM598" s="1252" t="s">
        <v>62</v>
      </c>
      <c r="AN598" s="1367">
        <v>1</v>
      </c>
      <c r="AO598" s="1276"/>
      <c r="AP598" s="1277"/>
      <c r="AQ598" s="1276"/>
      <c r="AR598" s="1278"/>
      <c r="AS598" s="1278"/>
    </row>
    <row r="599" spans="1:45" ht="15.6">
      <c r="A599" s="1097" t="s">
        <v>53</v>
      </c>
      <c r="B599" s="1103" t="s">
        <v>1322</v>
      </c>
      <c r="C599" s="1098" t="s">
        <v>1323</v>
      </c>
      <c r="D599" s="1098" t="s">
        <v>1324</v>
      </c>
      <c r="E599" s="1473" t="s">
        <v>277</v>
      </c>
      <c r="F599" s="856">
        <v>2024</v>
      </c>
      <c r="G599" s="1099">
        <v>45369</v>
      </c>
      <c r="H599" s="1192">
        <v>200105421</v>
      </c>
      <c r="I599" s="1478" t="s">
        <v>1378</v>
      </c>
      <c r="J599" s="1144">
        <v>22</v>
      </c>
      <c r="K599" s="1174" t="s">
        <v>144</v>
      </c>
      <c r="L599" s="1174" t="s">
        <v>1360</v>
      </c>
      <c r="M599" s="1350">
        <v>548</v>
      </c>
      <c r="N599" s="786">
        <v>122.5</v>
      </c>
      <c r="O599" s="1313">
        <v>45379</v>
      </c>
      <c r="P599" s="1351">
        <v>45379</v>
      </c>
      <c r="Q599" s="1101"/>
      <c r="R599" s="882">
        <v>3.68</v>
      </c>
      <c r="S599" s="851" t="s">
        <v>62</v>
      </c>
      <c r="T599" s="856" t="s">
        <v>75</v>
      </c>
      <c r="U599" s="856" t="s">
        <v>69</v>
      </c>
      <c r="V599" s="1350">
        <v>558.72</v>
      </c>
      <c r="W599" s="1350">
        <v>451.9</v>
      </c>
      <c r="X599" s="1313">
        <v>45383</v>
      </c>
      <c r="Y599" s="1313">
        <v>45383</v>
      </c>
      <c r="Z599" s="856" t="s">
        <v>62</v>
      </c>
      <c r="AA599" s="1375" t="s">
        <v>1327</v>
      </c>
      <c r="AB599" s="1175">
        <v>45384</v>
      </c>
      <c r="AC599" s="1175">
        <v>45384</v>
      </c>
      <c r="AD599" s="1376">
        <f>462+519</f>
        <v>981</v>
      </c>
      <c r="AE599" s="1227">
        <v>0.96557018838953501</v>
      </c>
      <c r="AF599" s="1231" t="s">
        <v>64</v>
      </c>
      <c r="AG599" s="1262">
        <v>1</v>
      </c>
      <c r="AH599" s="1365" t="s">
        <v>1344</v>
      </c>
      <c r="AI599" s="1266">
        <v>45397</v>
      </c>
      <c r="AJ599" s="1266">
        <v>45400</v>
      </c>
      <c r="AK599" s="1285">
        <f>10000+41000+6848</f>
        <v>57848</v>
      </c>
      <c r="AL599" s="1227">
        <f t="shared" si="73"/>
        <v>0.96413333333333329</v>
      </c>
      <c r="AM599" s="1252" t="s">
        <v>62</v>
      </c>
      <c r="AN599" s="1367">
        <v>1</v>
      </c>
      <c r="AO599" s="1276"/>
      <c r="AP599" s="1277"/>
      <c r="AQ599" s="1276"/>
      <c r="AR599" s="1278"/>
      <c r="AS599" s="1278"/>
    </row>
    <row r="600" spans="1:45" ht="15.6">
      <c r="A600" s="1097" t="s">
        <v>53</v>
      </c>
      <c r="B600" s="1103" t="s">
        <v>1322</v>
      </c>
      <c r="C600" s="1098" t="s">
        <v>1323</v>
      </c>
      <c r="D600" s="1098" t="s">
        <v>1324</v>
      </c>
      <c r="E600" s="1473" t="s">
        <v>277</v>
      </c>
      <c r="F600" s="856">
        <v>2024</v>
      </c>
      <c r="G600" s="1099">
        <v>45376</v>
      </c>
      <c r="H600" s="3">
        <v>200105234</v>
      </c>
      <c r="I600" s="1439" t="s">
        <v>1379</v>
      </c>
      <c r="J600" s="1144">
        <v>23</v>
      </c>
      <c r="K600" s="1174" t="s">
        <v>144</v>
      </c>
      <c r="L600" s="1174" t="s">
        <v>1360</v>
      </c>
      <c r="M600" s="1350">
        <v>549</v>
      </c>
      <c r="N600" s="786">
        <v>122.91</v>
      </c>
      <c r="O600" s="1313">
        <v>45379</v>
      </c>
      <c r="P600" s="1351">
        <v>45379</v>
      </c>
      <c r="Q600" s="1101"/>
      <c r="R600" s="882">
        <v>3.67</v>
      </c>
      <c r="S600" s="851" t="s">
        <v>62</v>
      </c>
      <c r="T600" s="856" t="s">
        <v>75</v>
      </c>
      <c r="U600" s="856" t="s">
        <v>69</v>
      </c>
      <c r="V600" s="1350">
        <v>560.20000000000005</v>
      </c>
      <c r="W600" s="1350">
        <v>452.27</v>
      </c>
      <c r="X600" s="1313">
        <v>45383</v>
      </c>
      <c r="Y600" s="1313">
        <v>45383</v>
      </c>
      <c r="Z600" s="856" t="s">
        <v>62</v>
      </c>
      <c r="AA600" s="1284" t="s">
        <v>1333</v>
      </c>
      <c r="AB600" s="1175">
        <v>45384</v>
      </c>
      <c r="AC600" s="1175">
        <v>45384</v>
      </c>
      <c r="AD600" s="1359">
        <f>376+611</f>
        <v>987</v>
      </c>
      <c r="AE600" s="1227">
        <v>0.97147581645308001</v>
      </c>
      <c r="AF600" s="1231" t="s">
        <v>64</v>
      </c>
      <c r="AG600" s="1262">
        <v>1</v>
      </c>
      <c r="AH600" s="1368" t="s">
        <v>1328</v>
      </c>
      <c r="AI600" s="1266">
        <v>45399</v>
      </c>
      <c r="AJ600" s="1266">
        <v>45400</v>
      </c>
      <c r="AK600" s="1285">
        <f>17000+41380</f>
        <v>58380</v>
      </c>
      <c r="AL600" s="1227">
        <f t="shared" si="73"/>
        <v>0.97299999999999998</v>
      </c>
      <c r="AM600" s="1252" t="s">
        <v>62</v>
      </c>
      <c r="AN600" s="1367">
        <v>1</v>
      </c>
      <c r="AO600" s="1276"/>
      <c r="AP600" s="1277"/>
      <c r="AQ600" s="1276"/>
      <c r="AR600" s="1278"/>
      <c r="AS600" s="1278"/>
    </row>
    <row r="601" spans="1:45" ht="15.6">
      <c r="A601" s="1097" t="s">
        <v>53</v>
      </c>
      <c r="B601" s="1103" t="s">
        <v>1322</v>
      </c>
      <c r="C601" s="1098" t="s">
        <v>1323</v>
      </c>
      <c r="D601" s="1098" t="s">
        <v>1324</v>
      </c>
      <c r="E601" s="1473" t="s">
        <v>277</v>
      </c>
      <c r="F601" s="856">
        <v>2024</v>
      </c>
      <c r="G601" s="1099">
        <v>45376</v>
      </c>
      <c r="H601" s="3">
        <v>200105235</v>
      </c>
      <c r="I601" s="1439" t="s">
        <v>1380</v>
      </c>
      <c r="J601" s="1144">
        <v>24</v>
      </c>
      <c r="K601" s="1174" t="s">
        <v>144</v>
      </c>
      <c r="L601" s="1174" t="s">
        <v>1360</v>
      </c>
      <c r="M601" s="1350">
        <v>549</v>
      </c>
      <c r="N601" s="786">
        <v>122.73</v>
      </c>
      <c r="O601" s="1313">
        <v>45379</v>
      </c>
      <c r="P601" s="1351">
        <v>45379</v>
      </c>
      <c r="Q601" s="1101"/>
      <c r="R601" s="882">
        <v>3.67</v>
      </c>
      <c r="S601" s="851" t="s">
        <v>62</v>
      </c>
      <c r="T601" s="856" t="s">
        <v>75</v>
      </c>
      <c r="U601" s="856" t="s">
        <v>69</v>
      </c>
      <c r="V601" s="1350">
        <v>560.20000000000005</v>
      </c>
      <c r="W601" s="1350">
        <v>452.39</v>
      </c>
      <c r="X601" s="1313">
        <v>45383</v>
      </c>
      <c r="Y601" s="1313">
        <v>45383</v>
      </c>
      <c r="Z601" s="856" t="s">
        <v>62</v>
      </c>
      <c r="AA601" s="1375" t="s">
        <v>1327</v>
      </c>
      <c r="AB601" s="1175">
        <v>45384</v>
      </c>
      <c r="AC601" s="1175">
        <v>45385</v>
      </c>
      <c r="AD601" s="1376">
        <f>106+752+126</f>
        <v>984</v>
      </c>
      <c r="AE601" s="1227">
        <v>0.96852300242130795</v>
      </c>
      <c r="AF601" s="1231" t="s">
        <v>64</v>
      </c>
      <c r="AG601" s="1262">
        <v>1</v>
      </c>
      <c r="AH601" s="1368" t="s">
        <v>1328</v>
      </c>
      <c r="AI601" s="1266">
        <v>45400</v>
      </c>
      <c r="AJ601" s="1266">
        <v>45400</v>
      </c>
      <c r="AK601" s="1285">
        <f>15000+43071</f>
        <v>58071</v>
      </c>
      <c r="AL601" s="1227">
        <f t="shared" si="73"/>
        <v>0.96784999999999999</v>
      </c>
      <c r="AM601" s="1252" t="s">
        <v>62</v>
      </c>
      <c r="AN601" s="1367">
        <v>1</v>
      </c>
      <c r="AO601" s="1276"/>
      <c r="AP601" s="1277"/>
      <c r="AQ601" s="1276"/>
      <c r="AR601" s="1278"/>
      <c r="AS601" s="1278"/>
    </row>
    <row r="602" spans="1:45" ht="15.6">
      <c r="A602" s="1097" t="s">
        <v>53</v>
      </c>
      <c r="B602" s="1103" t="s">
        <v>1322</v>
      </c>
      <c r="C602" s="1098" t="s">
        <v>1323</v>
      </c>
      <c r="D602" s="1098" t="s">
        <v>1324</v>
      </c>
      <c r="E602" s="1473" t="s">
        <v>277</v>
      </c>
      <c r="F602" s="856">
        <v>2024</v>
      </c>
      <c r="G602" s="1099">
        <v>45376</v>
      </c>
      <c r="H602" s="3">
        <v>200105236</v>
      </c>
      <c r="I602" s="1439" t="s">
        <v>1381</v>
      </c>
      <c r="J602" s="1144">
        <v>25</v>
      </c>
      <c r="K602" s="1174" t="s">
        <v>144</v>
      </c>
      <c r="L602" s="1174" t="s">
        <v>1360</v>
      </c>
      <c r="M602" s="1350" t="s">
        <v>1382</v>
      </c>
      <c r="N602" s="786">
        <v>125.49</v>
      </c>
      <c r="O602" s="1313">
        <v>45379</v>
      </c>
      <c r="P602" s="1351">
        <v>45379</v>
      </c>
      <c r="Q602" s="1101"/>
      <c r="R602" s="882">
        <v>3.4</v>
      </c>
      <c r="S602" s="851" t="s">
        <v>62</v>
      </c>
      <c r="T602" s="856" t="s">
        <v>75</v>
      </c>
      <c r="U602" s="856" t="s">
        <v>63</v>
      </c>
      <c r="V602" s="1350">
        <v>555.32000000000005</v>
      </c>
      <c r="W602" s="1350">
        <v>455.06</v>
      </c>
      <c r="X602" s="1313">
        <v>45383</v>
      </c>
      <c r="Y602" s="1313">
        <v>45384</v>
      </c>
      <c r="Z602" s="856" t="s">
        <v>62</v>
      </c>
      <c r="AA602" s="1284" t="s">
        <v>1333</v>
      </c>
      <c r="AB602" s="1175">
        <v>45384</v>
      </c>
      <c r="AC602" s="1175">
        <v>45385</v>
      </c>
      <c r="AD602" s="1359">
        <f>100+692+190</f>
        <v>982</v>
      </c>
      <c r="AE602" s="1227">
        <v>0.96655445973345899</v>
      </c>
      <c r="AF602" s="1231" t="s">
        <v>64</v>
      </c>
      <c r="AG602" s="1262">
        <v>1</v>
      </c>
      <c r="AH602" s="1365" t="s">
        <v>1344</v>
      </c>
      <c r="AI602" s="1266">
        <v>45397</v>
      </c>
      <c r="AJ602" s="1266">
        <v>45398</v>
      </c>
      <c r="AK602" s="1285">
        <f>14000+44039</f>
        <v>58039</v>
      </c>
      <c r="AL602" s="1227">
        <f t="shared" si="73"/>
        <v>0.96731666666666671</v>
      </c>
      <c r="AM602" s="1252" t="s">
        <v>62</v>
      </c>
      <c r="AN602" s="1367">
        <v>1</v>
      </c>
      <c r="AO602" s="1276"/>
      <c r="AP602" s="1277"/>
      <c r="AQ602" s="1276"/>
      <c r="AR602" s="1278"/>
      <c r="AS602" s="1278"/>
    </row>
    <row r="603" spans="1:45" ht="15.6">
      <c r="A603" s="1097" t="s">
        <v>53</v>
      </c>
      <c r="B603" s="1103" t="s">
        <v>1322</v>
      </c>
      <c r="C603" s="1098" t="s">
        <v>1323</v>
      </c>
      <c r="D603" s="1098" t="s">
        <v>1324</v>
      </c>
      <c r="E603" s="1473" t="s">
        <v>277</v>
      </c>
      <c r="F603" s="856">
        <v>2024</v>
      </c>
      <c r="G603" s="1099">
        <v>45376</v>
      </c>
      <c r="H603" s="3">
        <v>200105237</v>
      </c>
      <c r="I603" s="1439" t="s">
        <v>1383</v>
      </c>
      <c r="J603" s="1144">
        <v>26</v>
      </c>
      <c r="K603" s="1174" t="s">
        <v>144</v>
      </c>
      <c r="L603" s="1174" t="s">
        <v>1360</v>
      </c>
      <c r="M603" s="1350">
        <v>551.20000000000005</v>
      </c>
      <c r="N603" s="786">
        <v>125.51</v>
      </c>
      <c r="O603" s="1313">
        <v>45383</v>
      </c>
      <c r="P603" s="1351">
        <v>45379</v>
      </c>
      <c r="Q603" s="1101"/>
      <c r="R603" s="882">
        <v>3.77</v>
      </c>
      <c r="S603" s="851" t="s">
        <v>62</v>
      </c>
      <c r="T603" s="856" t="s">
        <v>63</v>
      </c>
      <c r="U603" s="856" t="s">
        <v>69</v>
      </c>
      <c r="V603" s="1350">
        <v>562.62</v>
      </c>
      <c r="W603" s="1350">
        <v>455.01</v>
      </c>
      <c r="X603" s="1313">
        <v>45384</v>
      </c>
      <c r="Y603" s="1313">
        <v>45383</v>
      </c>
      <c r="Z603" s="856" t="s">
        <v>62</v>
      </c>
      <c r="AA603" s="1375" t="s">
        <v>1327</v>
      </c>
      <c r="AB603" s="1175">
        <v>45385</v>
      </c>
      <c r="AC603" s="1175">
        <v>45385</v>
      </c>
      <c r="AD603" s="1376">
        <f>340+650</f>
        <v>990</v>
      </c>
      <c r="AE603" s="1227">
        <v>0.97442863048485195</v>
      </c>
      <c r="AF603" s="1231" t="s">
        <v>64</v>
      </c>
      <c r="AG603" s="1262">
        <v>1</v>
      </c>
      <c r="AH603" s="1365" t="s">
        <v>1344</v>
      </c>
      <c r="AI603" s="1266">
        <v>45398</v>
      </c>
      <c r="AJ603" s="1266">
        <v>45398</v>
      </c>
      <c r="AK603" s="1285">
        <f>9000+49604</f>
        <v>58604</v>
      </c>
      <c r="AL603" s="1227">
        <f t="shared" si="73"/>
        <v>0.97673333333333334</v>
      </c>
      <c r="AM603" s="1252" t="s">
        <v>62</v>
      </c>
      <c r="AN603" s="1367">
        <v>1</v>
      </c>
      <c r="AO603" s="1276"/>
      <c r="AP603" s="1277"/>
      <c r="AQ603" s="1276"/>
      <c r="AR603" s="1278"/>
      <c r="AS603" s="1278"/>
    </row>
    <row r="604" spans="1:45" ht="15.6">
      <c r="A604" s="1097" t="s">
        <v>53</v>
      </c>
      <c r="B604" s="1103" t="s">
        <v>1322</v>
      </c>
      <c r="C604" s="1098" t="s">
        <v>1323</v>
      </c>
      <c r="D604" s="1098" t="s">
        <v>1324</v>
      </c>
      <c r="E604" s="1473" t="s">
        <v>277</v>
      </c>
      <c r="F604" s="856">
        <v>2024</v>
      </c>
      <c r="G604" s="1099">
        <v>45376</v>
      </c>
      <c r="H604" s="3">
        <v>200105238</v>
      </c>
      <c r="I604" s="1439" t="s">
        <v>1384</v>
      </c>
      <c r="J604" s="1144">
        <v>27</v>
      </c>
      <c r="K604" s="1174" t="s">
        <v>144</v>
      </c>
      <c r="L604" s="1174" t="s">
        <v>1360</v>
      </c>
      <c r="M604" s="1350">
        <v>549.84</v>
      </c>
      <c r="N604" s="786">
        <v>123.34</v>
      </c>
      <c r="O604" s="1313">
        <v>45383</v>
      </c>
      <c r="P604" s="1351">
        <v>45383</v>
      </c>
      <c r="Q604" s="1101"/>
      <c r="R604" s="882">
        <v>3.79</v>
      </c>
      <c r="S604" s="851" t="s">
        <v>62</v>
      </c>
      <c r="T604" s="856" t="s">
        <v>63</v>
      </c>
      <c r="U604" s="856" t="s">
        <v>63</v>
      </c>
      <c r="V604" s="1350">
        <v>560.94000000000005</v>
      </c>
      <c r="W604" s="1350">
        <v>452.24</v>
      </c>
      <c r="X604" s="1313">
        <v>45384</v>
      </c>
      <c r="Y604" s="1313">
        <v>45384</v>
      </c>
      <c r="Z604" s="856" t="s">
        <v>62</v>
      </c>
      <c r="AA604" s="1284" t="s">
        <v>1333</v>
      </c>
      <c r="AB604" s="1175">
        <v>45385</v>
      </c>
      <c r="AC604" s="1175">
        <v>45385</v>
      </c>
      <c r="AD604" s="1359">
        <f>462+526</f>
        <v>988</v>
      </c>
      <c r="AE604" s="1227">
        <v>0.97246008779700399</v>
      </c>
      <c r="AF604" s="1231" t="s">
        <v>64</v>
      </c>
      <c r="AG604" s="1262">
        <v>1</v>
      </c>
      <c r="AH604" s="1377" t="s">
        <v>1328</v>
      </c>
      <c r="AI604" s="1266">
        <v>45398</v>
      </c>
      <c r="AJ604" s="1266">
        <v>45398</v>
      </c>
      <c r="AK604" s="1379">
        <f>11700+46691</f>
        <v>58391</v>
      </c>
      <c r="AL604" s="1227">
        <f t="shared" si="73"/>
        <v>0.97318333333333329</v>
      </c>
      <c r="AM604" s="1252" t="s">
        <v>62</v>
      </c>
      <c r="AN604" s="1367">
        <v>1</v>
      </c>
      <c r="AO604" s="1276"/>
      <c r="AP604" s="1277"/>
      <c r="AQ604" s="1276"/>
      <c r="AR604" s="1278"/>
      <c r="AS604" s="1278"/>
    </row>
    <row r="605" spans="1:45" ht="15.6">
      <c r="A605" s="1097" t="s">
        <v>53</v>
      </c>
      <c r="B605" s="1103" t="s">
        <v>1322</v>
      </c>
      <c r="C605" s="1098" t="s">
        <v>1323</v>
      </c>
      <c r="D605" s="1098" t="s">
        <v>1324</v>
      </c>
      <c r="E605" s="1473" t="s">
        <v>277</v>
      </c>
      <c r="F605" s="856">
        <v>2024</v>
      </c>
      <c r="G605" s="1099">
        <v>45379</v>
      </c>
      <c r="H605" s="1192">
        <v>200105457</v>
      </c>
      <c r="I605" s="1477" t="s">
        <v>1385</v>
      </c>
      <c r="J605" s="1144">
        <v>28</v>
      </c>
      <c r="K605" s="1174" t="s">
        <v>144</v>
      </c>
      <c r="L605" s="1174" t="s">
        <v>1360</v>
      </c>
      <c r="M605" s="1350">
        <v>548.05999999999995</v>
      </c>
      <c r="N605" s="3">
        <v>121.47</v>
      </c>
      <c r="O605" s="1313">
        <v>45384</v>
      </c>
      <c r="P605" s="1351">
        <v>45383</v>
      </c>
      <c r="Q605" s="1101"/>
      <c r="R605" s="786">
        <v>3.78</v>
      </c>
      <c r="S605" s="851" t="s">
        <v>62</v>
      </c>
      <c r="T605" s="856" t="s">
        <v>63</v>
      </c>
      <c r="U605" s="856" t="s">
        <v>63</v>
      </c>
      <c r="V605" s="1350">
        <v>559.12</v>
      </c>
      <c r="W605" s="1350">
        <v>451.1</v>
      </c>
      <c r="X605" s="1313">
        <v>45384</v>
      </c>
      <c r="Y605" s="1313">
        <v>45384</v>
      </c>
      <c r="Z605" s="856" t="s">
        <v>62</v>
      </c>
      <c r="AA605" s="1375" t="s">
        <v>1327</v>
      </c>
      <c r="AB605" s="1175">
        <v>45385</v>
      </c>
      <c r="AC605" s="1175">
        <v>45386</v>
      </c>
      <c r="AD605" s="1376">
        <f>30+736+216</f>
        <v>982</v>
      </c>
      <c r="AE605" s="1227">
        <v>0.96655445973345899</v>
      </c>
      <c r="AF605" s="1231" t="s">
        <v>64</v>
      </c>
      <c r="AG605" s="1262">
        <v>1</v>
      </c>
      <c r="AH605" s="1365" t="s">
        <v>1344</v>
      </c>
      <c r="AI605" s="1266">
        <v>45398</v>
      </c>
      <c r="AJ605" s="1266">
        <v>45398</v>
      </c>
      <c r="AK605" s="1285">
        <f>7500+50490</f>
        <v>57990</v>
      </c>
      <c r="AL605" s="1227">
        <f t="shared" si="73"/>
        <v>0.96650000000000003</v>
      </c>
      <c r="AM605" s="1252" t="s">
        <v>62</v>
      </c>
      <c r="AN605" s="1367">
        <v>1</v>
      </c>
      <c r="AO605" s="1276"/>
      <c r="AP605" s="1277"/>
      <c r="AQ605" s="1276"/>
      <c r="AR605" s="1278"/>
      <c r="AS605" s="1278"/>
    </row>
    <row r="606" spans="1:45" ht="15.6">
      <c r="A606" s="1097" t="s">
        <v>53</v>
      </c>
      <c r="B606" s="1103" t="s">
        <v>1322</v>
      </c>
      <c r="C606" s="1098" t="s">
        <v>1323</v>
      </c>
      <c r="D606" s="1098" t="s">
        <v>1324</v>
      </c>
      <c r="E606" s="1473" t="s">
        <v>277</v>
      </c>
      <c r="F606" s="856">
        <v>2024</v>
      </c>
      <c r="G606" s="1099">
        <v>45379</v>
      </c>
      <c r="H606" s="1192">
        <v>200105458</v>
      </c>
      <c r="I606" s="1477" t="s">
        <v>1386</v>
      </c>
      <c r="J606" s="1144">
        <v>29</v>
      </c>
      <c r="K606" s="1174" t="s">
        <v>144</v>
      </c>
      <c r="L606" s="1174" t="s">
        <v>1360</v>
      </c>
      <c r="M606" s="1350">
        <v>549.58000000000004</v>
      </c>
      <c r="N606" s="785">
        <v>122.51</v>
      </c>
      <c r="O606" s="1313">
        <v>45384</v>
      </c>
      <c r="P606" s="1351">
        <v>45384</v>
      </c>
      <c r="Q606" s="1101"/>
      <c r="R606" s="786">
        <v>3.46</v>
      </c>
      <c r="S606" s="851" t="s">
        <v>62</v>
      </c>
      <c r="T606" s="856" t="s">
        <v>63</v>
      </c>
      <c r="U606" s="856" t="s">
        <v>63</v>
      </c>
      <c r="V606" s="1350">
        <v>560.12</v>
      </c>
      <c r="W606" s="1350">
        <v>452.08</v>
      </c>
      <c r="X606" s="1313">
        <v>45384</v>
      </c>
      <c r="Y606" s="1313">
        <v>45384</v>
      </c>
      <c r="Z606" s="856" t="s">
        <v>62</v>
      </c>
      <c r="AA606" s="1375" t="s">
        <v>1327</v>
      </c>
      <c r="AB606" s="1175">
        <v>45386</v>
      </c>
      <c r="AC606" s="1175">
        <v>45386</v>
      </c>
      <c r="AD606" s="1376">
        <f>508+477</f>
        <v>985</v>
      </c>
      <c r="AE606" s="1227">
        <v>0.96950727376523205</v>
      </c>
      <c r="AF606" s="1231" t="s">
        <v>64</v>
      </c>
      <c r="AG606" s="1262">
        <v>1</v>
      </c>
      <c r="AH606" s="1368" t="s">
        <v>1328</v>
      </c>
      <c r="AI606" s="1266">
        <v>45399</v>
      </c>
      <c r="AJ606" s="1266">
        <v>45399</v>
      </c>
      <c r="AK606" s="1285">
        <f>7400+50884</f>
        <v>58284</v>
      </c>
      <c r="AL606" s="1227">
        <f t="shared" si="73"/>
        <v>0.97140000000000004</v>
      </c>
      <c r="AM606" s="1252" t="s">
        <v>62</v>
      </c>
      <c r="AN606" s="1367">
        <v>1</v>
      </c>
      <c r="AO606" s="1276"/>
      <c r="AP606" s="1277"/>
      <c r="AQ606" s="1276"/>
      <c r="AR606" s="1278"/>
      <c r="AS606" s="1278"/>
    </row>
    <row r="607" spans="1:45" ht="15.6">
      <c r="A607" s="1097" t="s">
        <v>53</v>
      </c>
      <c r="B607" s="1103" t="s">
        <v>1322</v>
      </c>
      <c r="C607" s="1098" t="s">
        <v>1323</v>
      </c>
      <c r="D607" s="1098" t="s">
        <v>1324</v>
      </c>
      <c r="E607" s="1473" t="s">
        <v>277</v>
      </c>
      <c r="F607" s="856">
        <v>2024</v>
      </c>
      <c r="G607" s="1099">
        <v>45379</v>
      </c>
      <c r="H607" s="1192">
        <v>200105459</v>
      </c>
      <c r="I607" s="1477" t="s">
        <v>1387</v>
      </c>
      <c r="J607" s="1144">
        <v>30</v>
      </c>
      <c r="K607" s="1174" t="s">
        <v>144</v>
      </c>
      <c r="L607" s="1174" t="s">
        <v>1360</v>
      </c>
      <c r="M607" s="1350">
        <v>548.6</v>
      </c>
      <c r="N607" s="785">
        <v>121.5</v>
      </c>
      <c r="O607" s="1313">
        <v>45384</v>
      </c>
      <c r="P607" s="1351">
        <v>45384</v>
      </c>
      <c r="Q607" s="1101"/>
      <c r="R607" s="786">
        <v>3.63</v>
      </c>
      <c r="S607" s="851" t="s">
        <v>62</v>
      </c>
      <c r="T607" s="856" t="s">
        <v>63</v>
      </c>
      <c r="U607" s="856" t="s">
        <v>63</v>
      </c>
      <c r="V607" s="1350">
        <v>559.74</v>
      </c>
      <c r="W607" s="1350">
        <v>494</v>
      </c>
      <c r="X607" s="1313">
        <v>45385</v>
      </c>
      <c r="Y607" s="1313">
        <v>45385</v>
      </c>
      <c r="Z607" s="856" t="s">
        <v>62</v>
      </c>
      <c r="AA607" s="1284" t="s">
        <v>1333</v>
      </c>
      <c r="AB607" s="1175">
        <v>45385</v>
      </c>
      <c r="AC607" s="1175">
        <v>45386</v>
      </c>
      <c r="AD607" s="1359">
        <f>142+726+109</f>
        <v>977</v>
      </c>
      <c r="AE607" s="1227">
        <v>0.96163310301383897</v>
      </c>
      <c r="AF607" s="1231" t="s">
        <v>64</v>
      </c>
      <c r="AG607" s="1262">
        <v>1</v>
      </c>
      <c r="AH607" s="1377" t="s">
        <v>1328</v>
      </c>
      <c r="AI607" s="1266">
        <v>45397</v>
      </c>
      <c r="AJ607" s="1266">
        <v>45398</v>
      </c>
      <c r="AK607" s="1379">
        <f>37300+20490</f>
        <v>57790</v>
      </c>
      <c r="AL607" s="1227">
        <f t="shared" si="73"/>
        <v>0.96316666666666662</v>
      </c>
      <c r="AM607" s="1252" t="s">
        <v>62</v>
      </c>
      <c r="AN607" s="1367">
        <v>1</v>
      </c>
      <c r="AO607" s="1276"/>
      <c r="AP607" s="1277"/>
      <c r="AQ607" s="1276"/>
      <c r="AR607" s="1278"/>
      <c r="AS607" s="1278"/>
    </row>
    <row r="608" spans="1:45" ht="15.6">
      <c r="A608" s="1097" t="s">
        <v>53</v>
      </c>
      <c r="B608" s="1103" t="s">
        <v>1322</v>
      </c>
      <c r="C608" s="1098" t="s">
        <v>1323</v>
      </c>
      <c r="D608" s="1098" t="s">
        <v>1324</v>
      </c>
      <c r="E608" s="1473" t="s">
        <v>277</v>
      </c>
      <c r="F608" s="856">
        <v>2024</v>
      </c>
      <c r="G608" s="1099">
        <v>45379</v>
      </c>
      <c r="H608" s="1192">
        <v>200105480</v>
      </c>
      <c r="I608" s="1477" t="s">
        <v>1388</v>
      </c>
      <c r="J608" s="1144">
        <v>31</v>
      </c>
      <c r="K608" s="1174" t="s">
        <v>144</v>
      </c>
      <c r="L608" s="1174" t="s">
        <v>1360</v>
      </c>
      <c r="M608" s="1350">
        <v>548.5</v>
      </c>
      <c r="N608" s="785">
        <v>121.79</v>
      </c>
      <c r="O608" s="1313">
        <v>45384</v>
      </c>
      <c r="P608" s="1351">
        <v>45384</v>
      </c>
      <c r="Q608" s="1101"/>
      <c r="R608" s="786">
        <v>3.41</v>
      </c>
      <c r="S608" s="851" t="s">
        <v>62</v>
      </c>
      <c r="T608" s="856" t="s">
        <v>63</v>
      </c>
      <c r="U608" s="856" t="s">
        <v>63</v>
      </c>
      <c r="V608" s="1350">
        <v>560.66</v>
      </c>
      <c r="W608" s="1350">
        <v>451.02</v>
      </c>
      <c r="X608" s="1313">
        <v>45385</v>
      </c>
      <c r="Y608" s="1313">
        <v>45385</v>
      </c>
      <c r="Z608" s="856" t="s">
        <v>62</v>
      </c>
      <c r="AA608" s="1284" t="s">
        <v>1333</v>
      </c>
      <c r="AB608" s="1175">
        <v>45386</v>
      </c>
      <c r="AC608" s="1175">
        <v>45386</v>
      </c>
      <c r="AD608" s="1359">
        <f>541+443</f>
        <v>984</v>
      </c>
      <c r="AE608" s="1227">
        <v>0.96852300242130795</v>
      </c>
      <c r="AF608" s="1231" t="s">
        <v>64</v>
      </c>
      <c r="AG608" s="1262">
        <v>1</v>
      </c>
      <c r="AH608" s="1365" t="s">
        <v>1344</v>
      </c>
      <c r="AI608" s="1266">
        <v>45399</v>
      </c>
      <c r="AJ608" s="1266">
        <v>45399</v>
      </c>
      <c r="AK608" s="1285">
        <f>53000+4451</f>
        <v>57451</v>
      </c>
      <c r="AL608" s="1227">
        <f t="shared" si="73"/>
        <v>0.95751666666666668</v>
      </c>
      <c r="AM608" s="1252" t="s">
        <v>62</v>
      </c>
      <c r="AN608" s="1367">
        <v>1</v>
      </c>
      <c r="AO608" s="1276"/>
      <c r="AP608" s="1277"/>
      <c r="AQ608" s="1276"/>
      <c r="AR608" s="1278"/>
      <c r="AS608" s="1278"/>
    </row>
    <row r="609" spans="1:45" ht="15.6">
      <c r="A609" s="1097" t="s">
        <v>53</v>
      </c>
      <c r="B609" s="1103" t="s">
        <v>1322</v>
      </c>
      <c r="C609" s="1098" t="s">
        <v>1323</v>
      </c>
      <c r="D609" s="1098" t="s">
        <v>1324</v>
      </c>
      <c r="E609" s="1473" t="s">
        <v>277</v>
      </c>
      <c r="F609" s="856">
        <v>2024</v>
      </c>
      <c r="G609" s="1099">
        <v>45379</v>
      </c>
      <c r="H609" s="1192">
        <v>200105481</v>
      </c>
      <c r="I609" s="1477" t="s">
        <v>1389</v>
      </c>
      <c r="J609" s="1144">
        <v>32</v>
      </c>
      <c r="K609" s="1174" t="s">
        <v>144</v>
      </c>
      <c r="L609" s="1174" t="s">
        <v>1360</v>
      </c>
      <c r="M609" s="1350">
        <v>552</v>
      </c>
      <c r="N609" s="785">
        <v>125.47</v>
      </c>
      <c r="O609" s="1313">
        <v>45384</v>
      </c>
      <c r="P609" s="1351">
        <v>45384</v>
      </c>
      <c r="Q609" s="1101"/>
      <c r="R609" s="786">
        <v>3.77</v>
      </c>
      <c r="S609" s="851" t="s">
        <v>62</v>
      </c>
      <c r="T609" s="856" t="s">
        <v>63</v>
      </c>
      <c r="U609" s="856" t="s">
        <v>63</v>
      </c>
      <c r="V609" s="1350">
        <v>463.18</v>
      </c>
      <c r="W609" s="1350">
        <v>455.02</v>
      </c>
      <c r="X609" s="1313">
        <v>45385</v>
      </c>
      <c r="Y609" s="1313">
        <v>45385</v>
      </c>
      <c r="Z609" s="856" t="s">
        <v>62</v>
      </c>
      <c r="AA609" s="1375" t="s">
        <v>1327</v>
      </c>
      <c r="AB609" s="1175">
        <v>45386</v>
      </c>
      <c r="AC609" s="1175">
        <v>45386</v>
      </c>
      <c r="AD609" s="1376">
        <f>204+785</f>
        <v>989</v>
      </c>
      <c r="AE609" s="1227">
        <v>0.97344435914092797</v>
      </c>
      <c r="AF609" s="1231" t="s">
        <v>64</v>
      </c>
      <c r="AG609" s="1262">
        <v>1</v>
      </c>
      <c r="AH609" s="1365" t="s">
        <v>1344</v>
      </c>
      <c r="AI609" s="1266">
        <v>45399</v>
      </c>
      <c r="AJ609" s="1266">
        <v>45399</v>
      </c>
      <c r="AK609" s="1285">
        <f>54000+4431</f>
        <v>58431</v>
      </c>
      <c r="AL609" s="1227">
        <f t="shared" si="73"/>
        <v>0.97384999999999999</v>
      </c>
      <c r="AM609" s="1252" t="s">
        <v>62</v>
      </c>
      <c r="AN609" s="1367">
        <v>1</v>
      </c>
      <c r="AO609" s="1276">
        <v>673</v>
      </c>
      <c r="AP609" s="1277">
        <v>45440</v>
      </c>
      <c r="AQ609" s="1276" t="s">
        <v>1344</v>
      </c>
      <c r="AR609" s="1278"/>
      <c r="AS609" s="1278"/>
    </row>
    <row r="610" spans="1:45" ht="15.6">
      <c r="A610" s="1097" t="s">
        <v>53</v>
      </c>
      <c r="B610" s="1103" t="s">
        <v>1322</v>
      </c>
      <c r="C610" s="1098" t="s">
        <v>1323</v>
      </c>
      <c r="D610" s="1098" t="s">
        <v>1324</v>
      </c>
      <c r="E610" s="1473" t="s">
        <v>277</v>
      </c>
      <c r="F610" s="856">
        <v>2024</v>
      </c>
      <c r="G610" s="1099">
        <v>45379</v>
      </c>
      <c r="H610" s="1192">
        <v>200105482</v>
      </c>
      <c r="I610" s="1477" t="s">
        <v>1390</v>
      </c>
      <c r="J610" s="1144">
        <v>33</v>
      </c>
      <c r="K610" s="1174" t="s">
        <v>144</v>
      </c>
      <c r="L610" s="1174" t="s">
        <v>1360</v>
      </c>
      <c r="M610" s="1350">
        <v>552.02</v>
      </c>
      <c r="N610" s="786">
        <v>122.6</v>
      </c>
      <c r="O610" s="1313">
        <v>45384</v>
      </c>
      <c r="P610" s="1351">
        <v>45384</v>
      </c>
      <c r="Q610" s="1101"/>
      <c r="R610" s="882">
        <v>3.75</v>
      </c>
      <c r="S610" s="851" t="s">
        <v>62</v>
      </c>
      <c r="T610" s="856" t="s">
        <v>63</v>
      </c>
      <c r="U610" s="856" t="s">
        <v>69</v>
      </c>
      <c r="V610" s="1350">
        <v>562.64</v>
      </c>
      <c r="W610" s="1350">
        <v>452.2</v>
      </c>
      <c r="X610" s="1313">
        <v>45386</v>
      </c>
      <c r="Y610" s="1313">
        <v>45386</v>
      </c>
      <c r="Z610" s="856" t="s">
        <v>62</v>
      </c>
      <c r="AA610" s="1284" t="s">
        <v>1333</v>
      </c>
      <c r="AB610" s="1175">
        <v>45386</v>
      </c>
      <c r="AC610" s="1175">
        <v>45387</v>
      </c>
      <c r="AD610" s="1359">
        <f>106+584+297</f>
        <v>987</v>
      </c>
      <c r="AE610" s="1227">
        <v>0.97147581645308001</v>
      </c>
      <c r="AF610" s="1231" t="s">
        <v>64</v>
      </c>
      <c r="AG610" s="1262">
        <v>1</v>
      </c>
      <c r="AH610" s="1365" t="s">
        <v>1344</v>
      </c>
      <c r="AI610" s="1266">
        <v>45399</v>
      </c>
      <c r="AJ610" s="1266">
        <v>45400</v>
      </c>
      <c r="AK610" s="1285">
        <f>53000+5285</f>
        <v>58285</v>
      </c>
      <c r="AL610" s="1227">
        <f t="shared" si="73"/>
        <v>0.97141666666666671</v>
      </c>
      <c r="AM610" s="1252" t="s">
        <v>62</v>
      </c>
      <c r="AN610" s="1367">
        <v>1</v>
      </c>
      <c r="AO610" s="1276"/>
      <c r="AP610" s="1277"/>
      <c r="AQ610" s="1276"/>
      <c r="AR610" s="1278"/>
      <c r="AS610" s="1278"/>
    </row>
    <row r="611" spans="1:45" ht="15.6">
      <c r="A611" s="1097" t="s">
        <v>53</v>
      </c>
      <c r="B611" s="1103" t="s">
        <v>1322</v>
      </c>
      <c r="C611" s="1098" t="s">
        <v>1323</v>
      </c>
      <c r="D611" s="1098" t="s">
        <v>1324</v>
      </c>
      <c r="E611" s="1473" t="s">
        <v>277</v>
      </c>
      <c r="F611" s="856">
        <v>2024</v>
      </c>
      <c r="G611" s="1099">
        <v>45379</v>
      </c>
      <c r="H611" s="1192">
        <v>200105483</v>
      </c>
      <c r="I611" s="1477" t="s">
        <v>1391</v>
      </c>
      <c r="J611" s="1144">
        <v>34</v>
      </c>
      <c r="K611" s="1174" t="s">
        <v>144</v>
      </c>
      <c r="L611" s="1174" t="s">
        <v>1360</v>
      </c>
      <c r="M611" s="1350">
        <v>551.74</v>
      </c>
      <c r="N611" s="786">
        <v>123.4</v>
      </c>
      <c r="O611" s="1313">
        <v>45386</v>
      </c>
      <c r="P611" s="1351">
        <v>45384</v>
      </c>
      <c r="Q611" s="1101"/>
      <c r="R611" s="882">
        <v>3.71</v>
      </c>
      <c r="S611" s="851" t="s">
        <v>62</v>
      </c>
      <c r="T611" s="856" t="s">
        <v>63</v>
      </c>
      <c r="U611" s="856" t="s">
        <v>69</v>
      </c>
      <c r="V611" s="1350">
        <v>562.79999999999995</v>
      </c>
      <c r="W611" s="1350">
        <v>452.99</v>
      </c>
      <c r="X611" s="1313">
        <v>45386</v>
      </c>
      <c r="Y611" s="1313">
        <v>45386</v>
      </c>
      <c r="Z611" s="856" t="s">
        <v>62</v>
      </c>
      <c r="AA611" s="1375" t="s">
        <v>1327</v>
      </c>
      <c r="AB611" s="1175">
        <v>45386</v>
      </c>
      <c r="AC611" s="1175">
        <v>45387</v>
      </c>
      <c r="AD611" s="1376">
        <f>46+630+312</f>
        <v>988</v>
      </c>
      <c r="AE611" s="1227">
        <v>0.97246008779700399</v>
      </c>
      <c r="AF611" s="1231" t="s">
        <v>64</v>
      </c>
      <c r="AG611" s="1262">
        <v>1</v>
      </c>
      <c r="AH611" s="1365" t="s">
        <v>1344</v>
      </c>
      <c r="AI611" s="1266">
        <v>45400</v>
      </c>
      <c r="AJ611" s="1266">
        <v>45400</v>
      </c>
      <c r="AK611" s="1285">
        <f>26000+32047</f>
        <v>58047</v>
      </c>
      <c r="AL611" s="1227">
        <f t="shared" si="73"/>
        <v>0.96745000000000003</v>
      </c>
      <c r="AM611" s="1252" t="s">
        <v>62</v>
      </c>
      <c r="AN611" s="1367">
        <v>1</v>
      </c>
      <c r="AO611" s="1276"/>
      <c r="AP611" s="1277"/>
      <c r="AQ611" s="1276"/>
      <c r="AR611" s="1278"/>
      <c r="AS611" s="1278"/>
    </row>
    <row r="612" spans="1:45" ht="15.6">
      <c r="A612" s="1097" t="s">
        <v>53</v>
      </c>
      <c r="B612" s="1103" t="s">
        <v>1322</v>
      </c>
      <c r="C612" s="1098" t="s">
        <v>1323</v>
      </c>
      <c r="D612" s="1098" t="s">
        <v>1324</v>
      </c>
      <c r="E612" s="1473" t="s">
        <v>277</v>
      </c>
      <c r="F612" s="856">
        <v>2024</v>
      </c>
      <c r="G612" s="1099">
        <v>45379</v>
      </c>
      <c r="H612" s="1192">
        <v>200105484</v>
      </c>
      <c r="I612" s="1477" t="s">
        <v>1392</v>
      </c>
      <c r="J612" s="1144">
        <v>35</v>
      </c>
      <c r="K612" s="1174" t="s">
        <v>144</v>
      </c>
      <c r="L612" s="1174" t="s">
        <v>1360</v>
      </c>
      <c r="M612" s="1350">
        <v>549.76</v>
      </c>
      <c r="N612" s="786">
        <v>123.96</v>
      </c>
      <c r="O612" s="1313">
        <v>45386</v>
      </c>
      <c r="P612" s="1351">
        <v>45384</v>
      </c>
      <c r="Q612" s="1101"/>
      <c r="R612" s="882">
        <v>3.72</v>
      </c>
      <c r="S612" s="851" t="s">
        <v>62</v>
      </c>
      <c r="T612" s="856" t="s">
        <v>75</v>
      </c>
      <c r="U612" s="856" t="s">
        <v>69</v>
      </c>
      <c r="V612" s="1350">
        <v>560.9</v>
      </c>
      <c r="W612" s="1350">
        <v>453.55</v>
      </c>
      <c r="X612" s="1313">
        <v>45387</v>
      </c>
      <c r="Y612" s="1313">
        <v>45386</v>
      </c>
      <c r="Z612" s="856" t="s">
        <v>62</v>
      </c>
      <c r="AA612" s="1375" t="s">
        <v>1333</v>
      </c>
      <c r="AB612" s="1175">
        <v>45387</v>
      </c>
      <c r="AC612" s="1175">
        <v>45387</v>
      </c>
      <c r="AD612" s="1376">
        <f>238+748</f>
        <v>986</v>
      </c>
      <c r="AE612" s="1227">
        <v>0.97049154510915603</v>
      </c>
      <c r="AF612" s="1231" t="s">
        <v>64</v>
      </c>
      <c r="AG612" s="1262">
        <v>1</v>
      </c>
      <c r="AH612" s="1368" t="s">
        <v>1328</v>
      </c>
      <c r="AI612" s="1266">
        <v>45400</v>
      </c>
      <c r="AJ612" s="1266">
        <v>45400</v>
      </c>
      <c r="AK612" s="1285">
        <f>17200+41150</f>
        <v>58350</v>
      </c>
      <c r="AL612" s="1227">
        <f t="shared" si="73"/>
        <v>0.97250000000000003</v>
      </c>
      <c r="AM612" s="1252" t="s">
        <v>62</v>
      </c>
      <c r="AN612" s="1367">
        <v>1</v>
      </c>
      <c r="AO612" s="1276"/>
      <c r="AP612" s="1277"/>
      <c r="AQ612" s="1276"/>
      <c r="AR612" s="1278"/>
      <c r="AS612" s="1278"/>
    </row>
    <row r="613" spans="1:45" ht="15.6">
      <c r="A613" s="1097" t="s">
        <v>53</v>
      </c>
      <c r="B613" s="1103" t="s">
        <v>1322</v>
      </c>
      <c r="C613" s="1098" t="s">
        <v>1323</v>
      </c>
      <c r="D613" s="1098" t="s">
        <v>1324</v>
      </c>
      <c r="E613" s="1473" t="s">
        <v>277</v>
      </c>
      <c r="F613" s="856">
        <v>2024</v>
      </c>
      <c r="G613" s="1099">
        <v>45383</v>
      </c>
      <c r="H613" s="3">
        <v>200105500</v>
      </c>
      <c r="I613" s="1448" t="s">
        <v>1393</v>
      </c>
      <c r="J613" s="1144">
        <v>36</v>
      </c>
      <c r="K613" s="1174" t="s">
        <v>144</v>
      </c>
      <c r="L613" s="1174" t="s">
        <v>1360</v>
      </c>
      <c r="M613" s="1350">
        <v>550.48</v>
      </c>
      <c r="N613" s="786">
        <v>125</v>
      </c>
      <c r="O613" s="1313">
        <v>45386</v>
      </c>
      <c r="P613" s="1351">
        <v>45384</v>
      </c>
      <c r="Q613" s="1101"/>
      <c r="R613" s="882">
        <v>3.6</v>
      </c>
      <c r="S613" s="851" t="s">
        <v>62</v>
      </c>
      <c r="T613" s="856" t="s">
        <v>75</v>
      </c>
      <c r="U613" s="856" t="s">
        <v>69</v>
      </c>
      <c r="V613" s="1350">
        <v>561.66</v>
      </c>
      <c r="W613" s="1350">
        <v>454.59</v>
      </c>
      <c r="X613" s="1313">
        <v>45387</v>
      </c>
      <c r="Y613" s="1313">
        <v>45386</v>
      </c>
      <c r="Z613" s="856" t="s">
        <v>62</v>
      </c>
      <c r="AA613" s="1375" t="s">
        <v>1327</v>
      </c>
      <c r="AB613" s="1175">
        <v>45387</v>
      </c>
      <c r="AC613" s="1175">
        <v>45387</v>
      </c>
      <c r="AD613" s="1376">
        <f>264+725</f>
        <v>989</v>
      </c>
      <c r="AE613" s="1227">
        <v>0.97344435914092797</v>
      </c>
      <c r="AF613" s="1231" t="s">
        <v>64</v>
      </c>
      <c r="AG613" s="1262">
        <v>1</v>
      </c>
      <c r="AH613" s="1365" t="s">
        <v>1344</v>
      </c>
      <c r="AI613" s="1266">
        <v>45400</v>
      </c>
      <c r="AJ613" s="1266">
        <v>45401</v>
      </c>
      <c r="AK613" s="1285">
        <f>20000+38000+392</f>
        <v>58392</v>
      </c>
      <c r="AL613" s="1227">
        <f t="shared" si="73"/>
        <v>0.97319999999999995</v>
      </c>
      <c r="AM613" s="1252" t="s">
        <v>62</v>
      </c>
      <c r="AN613" s="1367">
        <v>1</v>
      </c>
      <c r="AO613" s="1276"/>
      <c r="AP613" s="1277"/>
      <c r="AQ613" s="1276"/>
      <c r="AR613" s="1278"/>
      <c r="AS613" s="1278"/>
    </row>
    <row r="614" spans="1:45" ht="15.6">
      <c r="A614" s="1097" t="s">
        <v>53</v>
      </c>
      <c r="B614" s="1103" t="s">
        <v>1322</v>
      </c>
      <c r="C614" s="1098" t="s">
        <v>1323</v>
      </c>
      <c r="D614" s="1098" t="s">
        <v>1324</v>
      </c>
      <c r="E614" s="1473" t="s">
        <v>277</v>
      </c>
      <c r="F614" s="856">
        <v>2024</v>
      </c>
      <c r="G614" s="1099">
        <v>45384</v>
      </c>
      <c r="H614" s="3">
        <v>200105501</v>
      </c>
      <c r="I614" s="1438" t="s">
        <v>1394</v>
      </c>
      <c r="J614" s="1144">
        <v>37</v>
      </c>
      <c r="K614" s="1174" t="s">
        <v>144</v>
      </c>
      <c r="L614" s="1174" t="s">
        <v>1360</v>
      </c>
      <c r="M614" s="1350">
        <v>551.20000000000005</v>
      </c>
      <c r="N614" s="762">
        <v>120.76</v>
      </c>
      <c r="O614" s="1313">
        <v>45397</v>
      </c>
      <c r="P614" s="1351">
        <v>45397</v>
      </c>
      <c r="Q614" s="1101"/>
      <c r="R614" s="764">
        <v>3.59</v>
      </c>
      <c r="S614" s="851" t="s">
        <v>62</v>
      </c>
      <c r="T614" s="856" t="s">
        <v>63</v>
      </c>
      <c r="U614" s="856" t="s">
        <v>63</v>
      </c>
      <c r="V614" s="1350">
        <v>561.67999999999995</v>
      </c>
      <c r="W614" s="1350">
        <v>450.1</v>
      </c>
      <c r="X614" s="1313">
        <v>45397</v>
      </c>
      <c r="Y614" s="1313">
        <v>45397</v>
      </c>
      <c r="Z614" s="856" t="s">
        <v>62</v>
      </c>
      <c r="AA614" s="1375" t="s">
        <v>1327</v>
      </c>
      <c r="AB614" s="1175">
        <v>45397</v>
      </c>
      <c r="AC614" s="1175">
        <v>45398</v>
      </c>
      <c r="AD614" s="1376">
        <f>248+554+182</f>
        <v>984</v>
      </c>
      <c r="AE614" s="1227">
        <v>0.96852300242130795</v>
      </c>
      <c r="AF614" s="1231" t="s">
        <v>64</v>
      </c>
      <c r="AG614" s="1262">
        <v>1</v>
      </c>
      <c r="AH614" s="1368" t="s">
        <v>1328</v>
      </c>
      <c r="AI614" s="1266">
        <v>45400</v>
      </c>
      <c r="AJ614" s="1266">
        <v>45401</v>
      </c>
      <c r="AK614" s="1285">
        <f>25000+30000+3080</f>
        <v>58080</v>
      </c>
      <c r="AL614" s="1227">
        <f t="shared" si="73"/>
        <v>0.96799999999999997</v>
      </c>
      <c r="AM614" s="1252" t="s">
        <v>62</v>
      </c>
      <c r="AN614" s="1367">
        <v>1</v>
      </c>
      <c r="AO614" s="1276"/>
      <c r="AP614" s="1277"/>
      <c r="AQ614" s="1276"/>
      <c r="AR614" s="1278"/>
      <c r="AS614" s="1278"/>
    </row>
    <row r="615" spans="1:45" ht="15.6">
      <c r="A615" s="1097" t="s">
        <v>53</v>
      </c>
      <c r="B615" s="1103" t="s">
        <v>1322</v>
      </c>
      <c r="C615" s="1098" t="s">
        <v>1323</v>
      </c>
      <c r="D615" s="1098" t="s">
        <v>1324</v>
      </c>
      <c r="E615" s="1473" t="s">
        <v>277</v>
      </c>
      <c r="F615" s="856">
        <v>2024</v>
      </c>
      <c r="G615" s="1099">
        <v>45386</v>
      </c>
      <c r="H615" s="3">
        <v>200105477</v>
      </c>
      <c r="I615" s="1439" t="s">
        <v>1395</v>
      </c>
      <c r="J615" s="1144">
        <v>38</v>
      </c>
      <c r="K615" s="1174" t="s">
        <v>144</v>
      </c>
      <c r="L615" s="1174" t="s">
        <v>1360</v>
      </c>
      <c r="M615" s="1350">
        <v>550</v>
      </c>
      <c r="N615" s="762">
        <v>122.93</v>
      </c>
      <c r="O615" s="1313">
        <v>45397</v>
      </c>
      <c r="P615" s="1351">
        <v>45397</v>
      </c>
      <c r="Q615" s="1101"/>
      <c r="R615" s="764">
        <v>3.41</v>
      </c>
      <c r="S615" s="851" t="s">
        <v>62</v>
      </c>
      <c r="T615" s="856" t="s">
        <v>69</v>
      </c>
      <c r="U615" s="856" t="s">
        <v>63</v>
      </c>
      <c r="V615" s="1350">
        <v>561.07000000000005</v>
      </c>
      <c r="W615" s="1350">
        <v>452.42</v>
      </c>
      <c r="X615" s="1313">
        <v>45397</v>
      </c>
      <c r="Y615" s="1313">
        <v>45397</v>
      </c>
      <c r="Z615" s="856" t="s">
        <v>62</v>
      </c>
      <c r="AA615" s="1375" t="s">
        <v>1327</v>
      </c>
      <c r="AB615" s="1175">
        <v>45398</v>
      </c>
      <c r="AC615" s="1175">
        <v>45399</v>
      </c>
      <c r="AD615" s="1376">
        <f>30+234+198+520</f>
        <v>982</v>
      </c>
      <c r="AE615" s="1227">
        <v>0.96655445973345899</v>
      </c>
      <c r="AF615" s="1231" t="s">
        <v>64</v>
      </c>
      <c r="AG615" s="1262">
        <v>1</v>
      </c>
      <c r="AH615" s="1365" t="s">
        <v>1344</v>
      </c>
      <c r="AI615" s="1266">
        <v>45401</v>
      </c>
      <c r="AJ615" s="1266">
        <v>45436</v>
      </c>
      <c r="AK615" s="1285">
        <f>20000+34170+4070</f>
        <v>58240</v>
      </c>
      <c r="AL615" s="1227">
        <f t="shared" si="73"/>
        <v>0.97066666666666668</v>
      </c>
      <c r="AM615" s="1252" t="s">
        <v>62</v>
      </c>
      <c r="AN615" s="1367">
        <v>1</v>
      </c>
      <c r="AO615" s="1276"/>
      <c r="AP615" s="1277"/>
      <c r="AQ615" s="1276"/>
      <c r="AR615" s="1278"/>
      <c r="AS615" s="1278"/>
    </row>
    <row r="616" spans="1:45" ht="15.6">
      <c r="A616" s="1097" t="s">
        <v>53</v>
      </c>
      <c r="B616" s="1103" t="s">
        <v>1322</v>
      </c>
      <c r="C616" s="1098" t="s">
        <v>1323</v>
      </c>
      <c r="D616" s="1098" t="s">
        <v>1324</v>
      </c>
      <c r="E616" s="1473" t="s">
        <v>277</v>
      </c>
      <c r="F616" s="856">
        <v>2024</v>
      </c>
      <c r="G616" s="1099">
        <v>45386</v>
      </c>
      <c r="H616" s="3">
        <v>200105478</v>
      </c>
      <c r="I616" s="1439" t="s">
        <v>1396</v>
      </c>
      <c r="J616" s="1144">
        <v>39</v>
      </c>
      <c r="K616" s="1174" t="s">
        <v>144</v>
      </c>
      <c r="L616" s="1174" t="s">
        <v>1360</v>
      </c>
      <c r="M616" s="1350">
        <v>548</v>
      </c>
      <c r="N616" s="762">
        <v>124.37</v>
      </c>
      <c r="O616" s="1313">
        <v>45397</v>
      </c>
      <c r="P616" s="1351">
        <v>45397</v>
      </c>
      <c r="Q616" s="1101"/>
      <c r="R616" s="764">
        <v>3.79</v>
      </c>
      <c r="S616" s="851" t="s">
        <v>62</v>
      </c>
      <c r="T616" s="856" t="s">
        <v>69</v>
      </c>
      <c r="U616" s="856" t="s">
        <v>63</v>
      </c>
      <c r="V616" s="1350">
        <v>559.16</v>
      </c>
      <c r="W616" s="1350">
        <v>453.3</v>
      </c>
      <c r="X616" s="1313">
        <v>45397</v>
      </c>
      <c r="Y616" s="1313">
        <v>45397</v>
      </c>
      <c r="Z616" s="856" t="s">
        <v>62</v>
      </c>
      <c r="AA616" s="1375" t="s">
        <v>1327</v>
      </c>
      <c r="AB616" s="1175">
        <v>45399</v>
      </c>
      <c r="AC616" s="1175">
        <v>45400</v>
      </c>
      <c r="AD616" s="1376">
        <f>690+291</f>
        <v>981</v>
      </c>
      <c r="AE616" s="1227">
        <v>0.96557018838953501</v>
      </c>
      <c r="AF616" s="1231" t="s">
        <v>64</v>
      </c>
      <c r="AG616" s="1262">
        <v>1</v>
      </c>
      <c r="AH616" s="1368" t="s">
        <v>1328</v>
      </c>
      <c r="AI616" s="1266">
        <v>45401</v>
      </c>
      <c r="AJ616" s="1266">
        <v>45401</v>
      </c>
      <c r="AK616" s="1285">
        <f>11400+46667</f>
        <v>58067</v>
      </c>
      <c r="AL616" s="1227">
        <f t="shared" si="73"/>
        <v>0.96778333333333333</v>
      </c>
      <c r="AM616" s="1252" t="s">
        <v>62</v>
      </c>
      <c r="AN616" s="1367">
        <v>1</v>
      </c>
      <c r="AO616" s="1276"/>
      <c r="AP616" s="1277"/>
      <c r="AQ616" s="1276"/>
      <c r="AR616" s="1278"/>
      <c r="AS616" s="1278"/>
    </row>
    <row r="617" spans="1:45" ht="15.6">
      <c r="A617" s="1097" t="s">
        <v>53</v>
      </c>
      <c r="B617" s="1103" t="s">
        <v>1322</v>
      </c>
      <c r="C617" s="1098" t="s">
        <v>1323</v>
      </c>
      <c r="D617" s="1098" t="s">
        <v>1324</v>
      </c>
      <c r="E617" s="1473" t="s">
        <v>277</v>
      </c>
      <c r="F617" s="856">
        <v>2024</v>
      </c>
      <c r="G617" s="1099">
        <v>45386</v>
      </c>
      <c r="H617" s="3">
        <v>200105479</v>
      </c>
      <c r="I617" s="1439" t="s">
        <v>1397</v>
      </c>
      <c r="J617" s="1144">
        <v>40</v>
      </c>
      <c r="K617" s="1174" t="s">
        <v>144</v>
      </c>
      <c r="L617" s="1174" t="s">
        <v>1360</v>
      </c>
      <c r="M617" s="1350">
        <v>550</v>
      </c>
      <c r="N617" s="762">
        <v>123.75</v>
      </c>
      <c r="O617" s="1313">
        <v>45397</v>
      </c>
      <c r="P617" s="1351">
        <v>45397</v>
      </c>
      <c r="Q617" s="1101"/>
      <c r="R617" s="764">
        <v>3.4</v>
      </c>
      <c r="S617" s="851" t="s">
        <v>62</v>
      </c>
      <c r="T617" s="856" t="s">
        <v>69</v>
      </c>
      <c r="U617" s="856" t="s">
        <v>63</v>
      </c>
      <c r="V617" s="1350">
        <v>561.15</v>
      </c>
      <c r="W617" s="1350">
        <v>453.28</v>
      </c>
      <c r="X617" s="1313">
        <v>45397</v>
      </c>
      <c r="Y617" s="1313">
        <v>45397</v>
      </c>
      <c r="Z617" s="856" t="s">
        <v>62</v>
      </c>
      <c r="AA617" s="1375" t="s">
        <v>1327</v>
      </c>
      <c r="AB617" s="1175">
        <v>45400</v>
      </c>
      <c r="AC617" s="1175">
        <v>45400</v>
      </c>
      <c r="AD617" s="1376">
        <f>264+719</f>
        <v>983</v>
      </c>
      <c r="AE617" s="1227">
        <v>0.96753873107738297</v>
      </c>
      <c r="AF617" s="1231" t="s">
        <v>64</v>
      </c>
      <c r="AG617" s="1262">
        <v>1</v>
      </c>
      <c r="AH617" s="1365" t="s">
        <v>1344</v>
      </c>
      <c r="AI617" s="1266">
        <v>45404</v>
      </c>
      <c r="AJ617" s="1266">
        <v>45405</v>
      </c>
      <c r="AK617" s="1285">
        <f>38219+19891</f>
        <v>58110</v>
      </c>
      <c r="AL617" s="1227">
        <f t="shared" si="73"/>
        <v>0.96850000000000003</v>
      </c>
      <c r="AM617" s="1252" t="s">
        <v>62</v>
      </c>
      <c r="AN617" s="1367">
        <v>1</v>
      </c>
      <c r="AO617" s="1276"/>
      <c r="AP617" s="1277"/>
      <c r="AQ617" s="1276"/>
      <c r="AR617" s="1278"/>
      <c r="AS617" s="1278"/>
    </row>
    <row r="618" spans="1:45" ht="15.6">
      <c r="A618" s="1097" t="s">
        <v>53</v>
      </c>
      <c r="B618" s="1103" t="s">
        <v>1322</v>
      </c>
      <c r="C618" s="1098" t="s">
        <v>1323</v>
      </c>
      <c r="D618" s="1098" t="s">
        <v>1324</v>
      </c>
      <c r="E618" s="1473" t="s">
        <v>277</v>
      </c>
      <c r="F618" s="856">
        <v>2024</v>
      </c>
      <c r="G618" s="1099">
        <v>45386</v>
      </c>
      <c r="H618" s="3">
        <v>200105560</v>
      </c>
      <c r="I618" s="1439" t="s">
        <v>1398</v>
      </c>
      <c r="J618" s="1144">
        <v>41</v>
      </c>
      <c r="K618" s="1174" t="s">
        <v>144</v>
      </c>
      <c r="L618" s="1174" t="s">
        <v>1360</v>
      </c>
      <c r="M618" s="1350">
        <v>550</v>
      </c>
      <c r="N618" s="3">
        <v>124.41</v>
      </c>
      <c r="O618" s="1313">
        <v>45397</v>
      </c>
      <c r="P618" s="1351">
        <v>45397</v>
      </c>
      <c r="Q618" s="1101"/>
      <c r="R618" s="3">
        <v>3.42</v>
      </c>
      <c r="S618" s="851" t="s">
        <v>62</v>
      </c>
      <c r="T618" s="856" t="s">
        <v>69</v>
      </c>
      <c r="U618" s="856" t="s">
        <v>63</v>
      </c>
      <c r="V618" s="1350">
        <v>561.17999999999995</v>
      </c>
      <c r="W618" s="1350">
        <v>454</v>
      </c>
      <c r="X618" s="1313">
        <v>45397</v>
      </c>
      <c r="Y618" s="1313">
        <v>45397</v>
      </c>
      <c r="Z618" s="856" t="s">
        <v>62</v>
      </c>
      <c r="AA618" s="1375" t="s">
        <v>1327</v>
      </c>
      <c r="AB618" s="1175">
        <v>45400</v>
      </c>
      <c r="AC618" s="1175">
        <v>45401</v>
      </c>
      <c r="AD618" s="1376">
        <f>264+528+192</f>
        <v>984</v>
      </c>
      <c r="AE618" s="1227">
        <v>0.96852300242130795</v>
      </c>
      <c r="AF618" s="1231" t="s">
        <v>64</v>
      </c>
      <c r="AG618" s="1262">
        <v>1</v>
      </c>
      <c r="AH618" s="1368" t="s">
        <v>1328</v>
      </c>
      <c r="AI618" s="1266">
        <v>45404</v>
      </c>
      <c r="AJ618" s="1266">
        <v>45404</v>
      </c>
      <c r="AK618" s="1285">
        <f>58252</f>
        <v>58252</v>
      </c>
      <c r="AL618" s="1227">
        <f t="shared" si="73"/>
        <v>0.97086666666666666</v>
      </c>
      <c r="AM618" s="1252" t="s">
        <v>62</v>
      </c>
      <c r="AN618" s="1367">
        <v>1</v>
      </c>
      <c r="AO618" s="1276"/>
      <c r="AP618" s="1277"/>
      <c r="AQ618" s="1276"/>
      <c r="AR618" s="1278"/>
      <c r="AS618" s="1278"/>
    </row>
    <row r="619" spans="1:45" ht="15.6">
      <c r="A619" s="1097" t="s">
        <v>53</v>
      </c>
      <c r="B619" s="1103" t="s">
        <v>1322</v>
      </c>
      <c r="C619" s="1098" t="s">
        <v>1323</v>
      </c>
      <c r="D619" s="1098" t="s">
        <v>1324</v>
      </c>
      <c r="E619" s="1473" t="s">
        <v>277</v>
      </c>
      <c r="F619" s="856">
        <v>2024</v>
      </c>
      <c r="G619" s="1099">
        <v>45386</v>
      </c>
      <c r="H619" s="3">
        <v>200105561</v>
      </c>
      <c r="I619" s="1439" t="s">
        <v>1399</v>
      </c>
      <c r="J619" s="1144">
        <v>42</v>
      </c>
      <c r="K619" s="1174" t="s">
        <v>144</v>
      </c>
      <c r="L619" s="1174" t="s">
        <v>1360</v>
      </c>
      <c r="M619" s="1350">
        <v>547</v>
      </c>
      <c r="N619" s="3">
        <v>122.54</v>
      </c>
      <c r="O619" s="1313">
        <v>45397</v>
      </c>
      <c r="P619" s="1351">
        <v>45397</v>
      </c>
      <c r="Q619" s="1101"/>
      <c r="R619" s="3">
        <v>3.52</v>
      </c>
      <c r="S619" s="851" t="s">
        <v>62</v>
      </c>
      <c r="T619" s="856" t="s">
        <v>69</v>
      </c>
      <c r="U619" s="856" t="s">
        <v>69</v>
      </c>
      <c r="V619" s="1350">
        <v>557.69000000000005</v>
      </c>
      <c r="W619" s="1350">
        <v>451.72</v>
      </c>
      <c r="X619" s="1313">
        <v>45398</v>
      </c>
      <c r="Y619" s="1313">
        <v>45398</v>
      </c>
      <c r="Z619" s="856" t="s">
        <v>62</v>
      </c>
      <c r="AA619" s="1375" t="s">
        <v>1327</v>
      </c>
      <c r="AB619" s="1175">
        <v>45401</v>
      </c>
      <c r="AC619" s="1175">
        <v>45401</v>
      </c>
      <c r="AD619" s="1376">
        <f>482+498</f>
        <v>980</v>
      </c>
      <c r="AE619" s="1227">
        <v>0.96458591704561103</v>
      </c>
      <c r="AF619" s="1231" t="s">
        <v>64</v>
      </c>
      <c r="AG619" s="1262">
        <v>1</v>
      </c>
      <c r="AH619" s="1365" t="s">
        <v>1344</v>
      </c>
      <c r="AI619" s="1266">
        <v>45405</v>
      </c>
      <c r="AJ619" s="1266">
        <v>45406</v>
      </c>
      <c r="AK619" s="1285">
        <f>43525+14445</f>
        <v>57970</v>
      </c>
      <c r="AL619" s="1227">
        <f t="shared" si="73"/>
        <v>0.96616666666666662</v>
      </c>
      <c r="AM619" s="1252" t="s">
        <v>62</v>
      </c>
      <c r="AN619" s="1367">
        <v>1</v>
      </c>
      <c r="AO619" s="1276"/>
      <c r="AP619" s="1277"/>
      <c r="AQ619" s="1276"/>
      <c r="AR619" s="1278"/>
      <c r="AS619" s="1278"/>
    </row>
    <row r="620" spans="1:45" ht="15.6">
      <c r="A620" s="1097" t="s">
        <v>53</v>
      </c>
      <c r="B620" s="1103" t="s">
        <v>1322</v>
      </c>
      <c r="C620" s="1098" t="s">
        <v>1323</v>
      </c>
      <c r="D620" s="1098" t="s">
        <v>1324</v>
      </c>
      <c r="E620" s="1473" t="s">
        <v>277</v>
      </c>
      <c r="F620" s="856">
        <v>2024</v>
      </c>
      <c r="G620" s="1099">
        <v>45386</v>
      </c>
      <c r="H620" s="3">
        <v>200105562</v>
      </c>
      <c r="I620" s="1439" t="s">
        <v>1400</v>
      </c>
      <c r="J620" s="1144">
        <v>43</v>
      </c>
      <c r="K620" s="1174" t="s">
        <v>144</v>
      </c>
      <c r="L620" s="1174" t="s">
        <v>1360</v>
      </c>
      <c r="M620" s="1350">
        <v>548.74</v>
      </c>
      <c r="N620" s="3">
        <v>124.25</v>
      </c>
      <c r="O620" s="1313">
        <v>45397</v>
      </c>
      <c r="P620" s="1351">
        <v>45397</v>
      </c>
      <c r="Q620" s="1101"/>
      <c r="R620" s="3">
        <v>3.69</v>
      </c>
      <c r="S620" s="851" t="s">
        <v>62</v>
      </c>
      <c r="T620" s="856" t="s">
        <v>69</v>
      </c>
      <c r="U620" s="856" t="s">
        <v>69</v>
      </c>
      <c r="V620" s="1350">
        <v>559.61</v>
      </c>
      <c r="W620" s="1350">
        <v>453.59</v>
      </c>
      <c r="X620" s="1313">
        <v>45398</v>
      </c>
      <c r="Y620" s="1313">
        <v>45398</v>
      </c>
      <c r="Z620" s="856" t="s">
        <v>62</v>
      </c>
      <c r="AA620" s="1375" t="s">
        <v>1327</v>
      </c>
      <c r="AB620" s="1175">
        <v>45401</v>
      </c>
      <c r="AC620" s="1175">
        <v>45402</v>
      </c>
      <c r="AD620" s="1376">
        <f>168+594+220</f>
        <v>982</v>
      </c>
      <c r="AE620" s="1227">
        <v>0.96655445973345899</v>
      </c>
      <c r="AF620" s="1231" t="s">
        <v>64</v>
      </c>
      <c r="AG620" s="1262">
        <v>1</v>
      </c>
      <c r="AH620" s="1368" t="s">
        <v>1328</v>
      </c>
      <c r="AI620" s="1266">
        <v>45405</v>
      </c>
      <c r="AJ620" s="1266">
        <v>45406</v>
      </c>
      <c r="AK620" s="1285">
        <f>9200+39891+9544</f>
        <v>58635</v>
      </c>
      <c r="AL620" s="1227">
        <f t="shared" si="73"/>
        <v>0.97724999999999995</v>
      </c>
      <c r="AM620" s="1252" t="s">
        <v>62</v>
      </c>
      <c r="AN620" s="1367">
        <v>1</v>
      </c>
      <c r="AO620" s="1276"/>
      <c r="AP620" s="1277"/>
      <c r="AQ620" s="1276"/>
      <c r="AR620" s="1278"/>
      <c r="AS620" s="1278"/>
    </row>
    <row r="621" spans="1:45" ht="15.6">
      <c r="A621" s="1097" t="s">
        <v>53</v>
      </c>
      <c r="B621" s="1103" t="s">
        <v>1322</v>
      </c>
      <c r="C621" s="1098" t="s">
        <v>1323</v>
      </c>
      <c r="D621" s="1098" t="s">
        <v>1324</v>
      </c>
      <c r="E621" s="1473" t="s">
        <v>277</v>
      </c>
      <c r="F621" s="856">
        <v>2024</v>
      </c>
      <c r="G621" s="1099">
        <v>45386</v>
      </c>
      <c r="H621" s="3">
        <v>200105563</v>
      </c>
      <c r="I621" s="1439" t="s">
        <v>1401</v>
      </c>
      <c r="J621" s="1144">
        <v>44</v>
      </c>
      <c r="K621" s="1174" t="s">
        <v>144</v>
      </c>
      <c r="L621" s="1174" t="s">
        <v>1360</v>
      </c>
      <c r="M621" s="1350">
        <v>547.84</v>
      </c>
      <c r="N621" s="13">
        <v>125.68</v>
      </c>
      <c r="O621" s="1313">
        <v>45397</v>
      </c>
      <c r="P621" s="1351">
        <v>45397</v>
      </c>
      <c r="Q621" s="1101"/>
      <c r="R621" s="13">
        <v>3.73</v>
      </c>
      <c r="S621" s="851" t="s">
        <v>62</v>
      </c>
      <c r="T621" s="856" t="s">
        <v>69</v>
      </c>
      <c r="U621" s="856" t="s">
        <v>69</v>
      </c>
      <c r="V621" s="1350">
        <v>558.36</v>
      </c>
      <c r="W621" s="1350">
        <v>455.05</v>
      </c>
      <c r="X621" s="1313">
        <v>45398</v>
      </c>
      <c r="Y621" s="1313">
        <v>45398</v>
      </c>
      <c r="Z621" s="856" t="s">
        <v>62</v>
      </c>
      <c r="AA621" s="1375" t="s">
        <v>1327</v>
      </c>
      <c r="AB621" s="1175">
        <v>45402</v>
      </c>
      <c r="AC621" s="1175">
        <v>45402</v>
      </c>
      <c r="AD621" s="1376">
        <f>508+474</f>
        <v>982</v>
      </c>
      <c r="AE621" s="1227">
        <v>0.96655445973345899</v>
      </c>
      <c r="AF621" s="1231" t="s">
        <v>64</v>
      </c>
      <c r="AG621" s="1262">
        <v>1</v>
      </c>
      <c r="AH621" s="1365" t="s">
        <v>1344</v>
      </c>
      <c r="AI621" s="1266">
        <v>45406</v>
      </c>
      <c r="AJ621" s="1266">
        <v>45406</v>
      </c>
      <c r="AK621" s="1285">
        <f>58067</f>
        <v>58067</v>
      </c>
      <c r="AL621" s="1227">
        <f t="shared" si="73"/>
        <v>0.96778333333333333</v>
      </c>
      <c r="AM621" s="1252" t="s">
        <v>62</v>
      </c>
      <c r="AN621" s="1367">
        <v>1</v>
      </c>
      <c r="AO621" s="1276"/>
      <c r="AP621" s="1277"/>
      <c r="AQ621" s="1276"/>
      <c r="AR621" s="1278"/>
      <c r="AS621" s="1278"/>
    </row>
    <row r="622" spans="1:45" ht="15.6">
      <c r="A622" s="1097" t="s">
        <v>53</v>
      </c>
      <c r="B622" s="1103" t="s">
        <v>1322</v>
      </c>
      <c r="C622" s="1098" t="s">
        <v>1323</v>
      </c>
      <c r="D622" s="1098" t="s">
        <v>1324</v>
      </c>
      <c r="E622" s="1473" t="s">
        <v>277</v>
      </c>
      <c r="F622" s="856">
        <v>2024</v>
      </c>
      <c r="G622" s="1099">
        <v>45386</v>
      </c>
      <c r="H622" s="3">
        <v>200105564</v>
      </c>
      <c r="I622" s="1439" t="s">
        <v>1402</v>
      </c>
      <c r="J622" s="1144">
        <v>45</v>
      </c>
      <c r="K622" s="1174" t="s">
        <v>144</v>
      </c>
      <c r="L622" s="1174" t="s">
        <v>1360</v>
      </c>
      <c r="M622" s="1350">
        <v>548</v>
      </c>
      <c r="N622" s="3">
        <v>124.93</v>
      </c>
      <c r="O622" s="1313" t="s">
        <v>1403</v>
      </c>
      <c r="P622" s="1351">
        <v>45397</v>
      </c>
      <c r="Q622" s="1101"/>
      <c r="R622" s="3">
        <v>3.59</v>
      </c>
      <c r="S622" s="851" t="s">
        <v>62</v>
      </c>
      <c r="T622" s="856" t="s">
        <v>63</v>
      </c>
      <c r="U622" s="856" t="s">
        <v>75</v>
      </c>
      <c r="V622" s="1350">
        <v>559.04</v>
      </c>
      <c r="W622" s="1350">
        <v>454.4</v>
      </c>
      <c r="X622" s="1313">
        <v>45399</v>
      </c>
      <c r="Y622" s="1313">
        <v>45399</v>
      </c>
      <c r="Z622" s="856" t="s">
        <v>62</v>
      </c>
      <c r="AA622" s="1375" t="s">
        <v>1327</v>
      </c>
      <c r="AB622" s="1175">
        <v>45402</v>
      </c>
      <c r="AC622" s="1175">
        <v>45439</v>
      </c>
      <c r="AD622" s="1376">
        <f>195+231+558</f>
        <v>984</v>
      </c>
      <c r="AE622" s="1227">
        <v>0.96852300242130795</v>
      </c>
      <c r="AF622" s="1231" t="s">
        <v>64</v>
      </c>
      <c r="AG622" s="1262">
        <v>1</v>
      </c>
      <c r="AH622" s="1365" t="s">
        <v>1344</v>
      </c>
      <c r="AI622" s="1380">
        <v>45443</v>
      </c>
      <c r="AJ622" s="1380"/>
      <c r="AK622" s="1381">
        <f>12000+34460</f>
        <v>46460</v>
      </c>
      <c r="AL622" s="1227">
        <f t="shared" si="73"/>
        <v>0.77433333333333332</v>
      </c>
      <c r="AM622" s="1250" t="s">
        <v>1404</v>
      </c>
      <c r="AN622" s="1367">
        <f>AL622/1</f>
        <v>0.77433333333333332</v>
      </c>
      <c r="AO622" s="1276"/>
      <c r="AP622" s="1277"/>
      <c r="AQ622" s="1276"/>
      <c r="AR622" s="1278"/>
      <c r="AS622" s="1278"/>
    </row>
    <row r="623" spans="1:45" ht="15.6">
      <c r="A623" s="1097" t="s">
        <v>53</v>
      </c>
      <c r="B623" s="1103" t="s">
        <v>1322</v>
      </c>
      <c r="C623" s="1098" t="s">
        <v>1323</v>
      </c>
      <c r="D623" s="1098" t="s">
        <v>1324</v>
      </c>
      <c r="E623" s="1473" t="s">
        <v>277</v>
      </c>
      <c r="F623" s="856">
        <v>2024</v>
      </c>
      <c r="G623" s="1099">
        <v>45386</v>
      </c>
      <c r="H623" s="3">
        <v>200105565</v>
      </c>
      <c r="I623" s="1439" t="s">
        <v>1405</v>
      </c>
      <c r="J623" s="1144">
        <v>46</v>
      </c>
      <c r="K623" s="1174" t="s">
        <v>144</v>
      </c>
      <c r="L623" s="1174" t="s">
        <v>1360</v>
      </c>
      <c r="M623" s="1350">
        <v>550</v>
      </c>
      <c r="N623" s="786">
        <v>122.62</v>
      </c>
      <c r="O623" s="1313">
        <v>45399</v>
      </c>
      <c r="P623" s="1351">
        <v>45398</v>
      </c>
      <c r="Q623" s="1101"/>
      <c r="R623" s="882">
        <v>3.8</v>
      </c>
      <c r="S623" s="851" t="s">
        <v>62</v>
      </c>
      <c r="T623" s="856" t="s">
        <v>63</v>
      </c>
      <c r="U623" s="856" t="s">
        <v>75</v>
      </c>
      <c r="V623" s="1350">
        <v>561.70000000000005</v>
      </c>
      <c r="W623" s="1350">
        <v>452.06</v>
      </c>
      <c r="X623" s="1313">
        <v>45399</v>
      </c>
      <c r="Y623" s="1313">
        <v>45399</v>
      </c>
      <c r="Z623" s="856" t="s">
        <v>62</v>
      </c>
      <c r="AA623" s="1284" t="s">
        <v>1333</v>
      </c>
      <c r="AB623" s="1175">
        <v>45404</v>
      </c>
      <c r="AC623" s="1175">
        <v>45404</v>
      </c>
      <c r="AD623" s="1376">
        <f>132+660+194</f>
        <v>986</v>
      </c>
      <c r="AE623" s="1227">
        <v>0.97049154510915603</v>
      </c>
      <c r="AF623" s="1231" t="s">
        <v>64</v>
      </c>
      <c r="AG623" s="1262">
        <v>1</v>
      </c>
      <c r="AH623" s="1368" t="s">
        <v>1328</v>
      </c>
      <c r="AI623" s="1266">
        <v>45406</v>
      </c>
      <c r="AJ623" s="1266">
        <v>45406</v>
      </c>
      <c r="AK623" s="1285">
        <f>28000+29952</f>
        <v>57952</v>
      </c>
      <c r="AL623" s="1227">
        <f t="shared" si="73"/>
        <v>0.96586666666666665</v>
      </c>
      <c r="AM623" s="1252" t="s">
        <v>62</v>
      </c>
      <c r="AN623" s="1367">
        <v>1</v>
      </c>
      <c r="AO623" s="1276"/>
      <c r="AP623" s="1277"/>
      <c r="AQ623" s="1276"/>
      <c r="AR623" s="1278"/>
      <c r="AS623" s="1278"/>
    </row>
    <row r="624" spans="1:45" ht="15.6">
      <c r="A624" s="1097" t="s">
        <v>53</v>
      </c>
      <c r="B624" s="1103" t="s">
        <v>1322</v>
      </c>
      <c r="C624" s="1098" t="s">
        <v>1323</v>
      </c>
      <c r="D624" s="1098" t="s">
        <v>1324</v>
      </c>
      <c r="E624" s="1473" t="s">
        <v>277</v>
      </c>
      <c r="F624" s="856">
        <v>2024</v>
      </c>
      <c r="G624" s="1099">
        <v>45386</v>
      </c>
      <c r="H624" s="3">
        <v>200105566</v>
      </c>
      <c r="I624" s="1439" t="s">
        <v>1406</v>
      </c>
      <c r="J624" s="1144">
        <v>47</v>
      </c>
      <c r="K624" s="1174" t="s">
        <v>144</v>
      </c>
      <c r="L624" s="1174" t="s">
        <v>1360</v>
      </c>
      <c r="M624" s="1350">
        <v>548.5</v>
      </c>
      <c r="N624" s="786">
        <v>123.05</v>
      </c>
      <c r="O624" s="1313">
        <v>45399</v>
      </c>
      <c r="P624" s="1351">
        <v>45398</v>
      </c>
      <c r="Q624" s="1101"/>
      <c r="R624" s="882">
        <v>3.51</v>
      </c>
      <c r="S624" s="851" t="s">
        <v>62</v>
      </c>
      <c r="T624" s="856" t="s">
        <v>63</v>
      </c>
      <c r="U624" s="856" t="s">
        <v>75</v>
      </c>
      <c r="V624" s="1350">
        <v>559</v>
      </c>
      <c r="W624" s="1350">
        <v>452.58</v>
      </c>
      <c r="X624" s="1313">
        <v>45399</v>
      </c>
      <c r="Y624" s="1313">
        <v>45399</v>
      </c>
      <c r="Z624" s="856" t="s">
        <v>62</v>
      </c>
      <c r="AA624" s="1284" t="s">
        <v>1327</v>
      </c>
      <c r="AB624" s="1175">
        <v>45404</v>
      </c>
      <c r="AC624" s="1175">
        <v>45404</v>
      </c>
      <c r="AD624" s="1376">
        <f>218+472+291</f>
        <v>981</v>
      </c>
      <c r="AE624" s="1227">
        <v>0.96557018838953501</v>
      </c>
      <c r="AF624" s="1231" t="s">
        <v>64</v>
      </c>
      <c r="AG624" s="1262">
        <v>1</v>
      </c>
      <c r="AH624" s="1368" t="s">
        <v>1328</v>
      </c>
      <c r="AI624" s="1266">
        <v>45406</v>
      </c>
      <c r="AJ624" s="1266">
        <v>45407</v>
      </c>
      <c r="AK624" s="1285">
        <f>11600+37400+9051</f>
        <v>58051</v>
      </c>
      <c r="AL624" s="1227">
        <f t="shared" si="73"/>
        <v>0.96751666666666669</v>
      </c>
      <c r="AM624" s="1252" t="s">
        <v>62</v>
      </c>
      <c r="AN624" s="1367">
        <v>1</v>
      </c>
      <c r="AO624" s="1276"/>
      <c r="AP624" s="1277"/>
      <c r="AQ624" s="1276"/>
      <c r="AR624" s="1278"/>
      <c r="AS624" s="1278"/>
    </row>
    <row r="625" spans="1:45" ht="15.6">
      <c r="A625" s="1097" t="s">
        <v>53</v>
      </c>
      <c r="B625" s="1103" t="s">
        <v>1322</v>
      </c>
      <c r="C625" s="1098" t="s">
        <v>1323</v>
      </c>
      <c r="D625" s="1098" t="s">
        <v>1324</v>
      </c>
      <c r="E625" s="1473" t="s">
        <v>277</v>
      </c>
      <c r="F625" s="856">
        <v>2024</v>
      </c>
      <c r="G625" s="1099">
        <v>45386</v>
      </c>
      <c r="H625" s="3">
        <v>200105567</v>
      </c>
      <c r="I625" s="1439" t="s">
        <v>1407</v>
      </c>
      <c r="J625" s="1144">
        <v>48</v>
      </c>
      <c r="K625" s="1174" t="s">
        <v>144</v>
      </c>
      <c r="L625" s="1174" t="s">
        <v>1360</v>
      </c>
      <c r="M625" s="1350">
        <v>553.70000000000005</v>
      </c>
      <c r="N625" s="786">
        <v>121.29</v>
      </c>
      <c r="O625" s="1313">
        <v>45399</v>
      </c>
      <c r="P625" s="1351">
        <v>45398</v>
      </c>
      <c r="Q625" s="1101"/>
      <c r="R625" s="882">
        <v>3.74</v>
      </c>
      <c r="S625" s="851" t="s">
        <v>62</v>
      </c>
      <c r="T625" s="856" t="s">
        <v>63</v>
      </c>
      <c r="U625" s="856" t="s">
        <v>75</v>
      </c>
      <c r="V625" s="1350">
        <v>564.86</v>
      </c>
      <c r="W625" s="1350">
        <v>450.8</v>
      </c>
      <c r="X625" s="1313">
        <v>45399</v>
      </c>
      <c r="Y625" s="1313">
        <v>45399</v>
      </c>
      <c r="Z625" s="856" t="s">
        <v>62</v>
      </c>
      <c r="AA625" s="1284" t="s">
        <v>1333</v>
      </c>
      <c r="AB625" s="1175">
        <v>45404</v>
      </c>
      <c r="AC625" s="1175">
        <v>45405</v>
      </c>
      <c r="AD625" s="1376">
        <f>274+172+538</f>
        <v>984</v>
      </c>
      <c r="AE625" s="1227">
        <v>0.96852300242130795</v>
      </c>
      <c r="AF625" s="1231" t="s">
        <v>64</v>
      </c>
      <c r="AG625" s="1262">
        <v>1</v>
      </c>
      <c r="AH625" s="1365" t="s">
        <v>1344</v>
      </c>
      <c r="AI625" s="1266">
        <v>45407</v>
      </c>
      <c r="AJ625" s="1266">
        <v>45408</v>
      </c>
      <c r="AK625" s="1285">
        <f>30660+27520</f>
        <v>58180</v>
      </c>
      <c r="AL625" s="1227">
        <f t="shared" si="73"/>
        <v>0.96966666666666668</v>
      </c>
      <c r="AM625" s="1252" t="s">
        <v>62</v>
      </c>
      <c r="AN625" s="1367">
        <v>1</v>
      </c>
      <c r="AO625" s="1276"/>
      <c r="AP625" s="1277"/>
      <c r="AQ625" s="1276"/>
      <c r="AR625" s="1278"/>
      <c r="AS625" s="1278"/>
    </row>
    <row r="626" spans="1:45" ht="15.6">
      <c r="A626" s="1097" t="s">
        <v>53</v>
      </c>
      <c r="B626" s="1103"/>
      <c r="C626" s="1098"/>
      <c r="D626" s="1098"/>
      <c r="E626" s="1098"/>
      <c r="F626" s="1098"/>
      <c r="G626" s="1099"/>
      <c r="H626" s="1192"/>
      <c r="I626" s="1192"/>
      <c r="J626" s="1144"/>
      <c r="K626" s="1174"/>
      <c r="L626" s="1174"/>
      <c r="M626" s="1350"/>
      <c r="N626" s="1174"/>
      <c r="O626" s="1179"/>
      <c r="P626" s="1179"/>
      <c r="Q626" s="1099"/>
      <c r="R626" s="1099"/>
      <c r="S626" s="851"/>
      <c r="T626" s="856"/>
      <c r="U626" s="856"/>
      <c r="V626" s="1350"/>
      <c r="W626" s="1350"/>
      <c r="X626" s="1179"/>
      <c r="Y626" s="1179"/>
      <c r="Z626" s="856" t="s">
        <v>62</v>
      </c>
      <c r="AA626" s="1284"/>
      <c r="AB626" s="1099"/>
      <c r="AC626" s="1099"/>
      <c r="AD626" s="1359"/>
      <c r="AE626" s="1227"/>
      <c r="AF626" s="1231"/>
      <c r="AG626" s="1262"/>
      <c r="AH626" s="1365"/>
      <c r="AI626" s="1099"/>
      <c r="AJ626" s="1099"/>
      <c r="AK626" s="1263"/>
      <c r="AL626" s="1227"/>
      <c r="AM626" s="1366"/>
      <c r="AN626" s="1367"/>
      <c r="AO626" s="1276"/>
      <c r="AP626" s="1277"/>
      <c r="AQ626" s="1276"/>
      <c r="AR626" s="1278"/>
      <c r="AS626" s="1278"/>
    </row>
    <row r="627" spans="1:45" ht="15.6">
      <c r="A627" s="1097" t="s">
        <v>53</v>
      </c>
      <c r="B627" s="1103" t="s">
        <v>1322</v>
      </c>
      <c r="C627" s="1098" t="s">
        <v>1323</v>
      </c>
      <c r="D627" s="1098" t="s">
        <v>1324</v>
      </c>
      <c r="E627" s="1473" t="s">
        <v>57</v>
      </c>
      <c r="F627" s="856">
        <v>2024</v>
      </c>
      <c r="G627" s="1099">
        <v>45387</v>
      </c>
      <c r="H627" s="3">
        <v>200105626</v>
      </c>
      <c r="I627" s="1457" t="s">
        <v>1408</v>
      </c>
      <c r="J627" s="1144">
        <v>1</v>
      </c>
      <c r="K627" s="1174" t="s">
        <v>144</v>
      </c>
      <c r="L627" s="8" t="s">
        <v>60</v>
      </c>
      <c r="M627" s="1350">
        <v>547</v>
      </c>
      <c r="N627" s="786">
        <v>125.86</v>
      </c>
      <c r="O627" s="1313" t="s">
        <v>1409</v>
      </c>
      <c r="P627" s="1043">
        <v>45398</v>
      </c>
      <c r="Q627" s="1101"/>
      <c r="R627" s="882">
        <v>3.54</v>
      </c>
      <c r="S627" s="851" t="s">
        <v>62</v>
      </c>
      <c r="T627" s="856" t="s">
        <v>63</v>
      </c>
      <c r="U627" s="856" t="s">
        <v>75</v>
      </c>
      <c r="V627" s="1350">
        <v>558</v>
      </c>
      <c r="W627" s="1350">
        <v>455.42</v>
      </c>
      <c r="X627" s="1313">
        <v>45400</v>
      </c>
      <c r="Y627" s="1313">
        <v>45399</v>
      </c>
      <c r="Z627" s="856" t="s">
        <v>62</v>
      </c>
      <c r="AA627" s="1284" t="s">
        <v>1327</v>
      </c>
      <c r="AB627" s="1175">
        <v>45404</v>
      </c>
      <c r="AC627" s="1175">
        <v>45405</v>
      </c>
      <c r="AD627" s="1376">
        <f>396+587</f>
        <v>983</v>
      </c>
      <c r="AE627" s="1227">
        <v>0.96753873107738297</v>
      </c>
      <c r="AF627" s="1231" t="s">
        <v>64</v>
      </c>
      <c r="AG627" s="1262">
        <v>1</v>
      </c>
      <c r="AH627" s="1365" t="s">
        <v>1344</v>
      </c>
      <c r="AI627" s="1266">
        <v>45406</v>
      </c>
      <c r="AJ627" s="1266">
        <v>45407</v>
      </c>
      <c r="AK627" s="1285">
        <f>42000+16070</f>
        <v>58070</v>
      </c>
      <c r="AL627" s="1227">
        <f t="shared" ref="AL627:AL664" si="74">AK627/60000</f>
        <v>0.96783333333333332</v>
      </c>
      <c r="AM627" s="1252" t="s">
        <v>62</v>
      </c>
      <c r="AN627" s="1367">
        <v>1</v>
      </c>
      <c r="AO627" s="1276"/>
      <c r="AP627" s="1277"/>
      <c r="AQ627" s="1276"/>
      <c r="AR627" s="1278"/>
      <c r="AS627" s="1278"/>
    </row>
    <row r="628" spans="1:45" ht="15.6">
      <c r="A628" s="1097" t="s">
        <v>53</v>
      </c>
      <c r="B628" s="1103" t="s">
        <v>1322</v>
      </c>
      <c r="C628" s="1098" t="s">
        <v>1323</v>
      </c>
      <c r="D628" s="1098" t="s">
        <v>1324</v>
      </c>
      <c r="E628" s="1473" t="s">
        <v>57</v>
      </c>
      <c r="F628" s="856">
        <v>2024</v>
      </c>
      <c r="G628" s="1099">
        <v>45387</v>
      </c>
      <c r="H628" s="3">
        <v>200105627</v>
      </c>
      <c r="I628" s="1457" t="s">
        <v>1410</v>
      </c>
      <c r="J628" s="1144">
        <v>2</v>
      </c>
      <c r="K628" s="1174" t="s">
        <v>144</v>
      </c>
      <c r="L628" s="8" t="s">
        <v>60</v>
      </c>
      <c r="M628" s="1350">
        <v>549.08000000000004</v>
      </c>
      <c r="N628" s="762">
        <v>124.69</v>
      </c>
      <c r="O628" s="1313">
        <v>45400</v>
      </c>
      <c r="P628" s="1043">
        <v>45398</v>
      </c>
      <c r="Q628" s="1101"/>
      <c r="R628" s="764">
        <v>3.73</v>
      </c>
      <c r="S628" s="851" t="s">
        <v>62</v>
      </c>
      <c r="T628" s="856" t="s">
        <v>63</v>
      </c>
      <c r="U628" s="856" t="s">
        <v>75</v>
      </c>
      <c r="V628" s="1350">
        <v>560.32000000000005</v>
      </c>
      <c r="W628" s="1350">
        <v>454.26</v>
      </c>
      <c r="X628" s="1313">
        <v>45400</v>
      </c>
      <c r="Y628" s="1313">
        <v>45400</v>
      </c>
      <c r="Z628" s="856" t="s">
        <v>62</v>
      </c>
      <c r="AA628" s="1284" t="s">
        <v>1327</v>
      </c>
      <c r="AB628" s="1175">
        <v>45405</v>
      </c>
      <c r="AC628" s="1175">
        <v>45405</v>
      </c>
      <c r="AD628" s="1376">
        <f>122+726+137</f>
        <v>985</v>
      </c>
      <c r="AE628" s="1227">
        <v>0.96950727376523205</v>
      </c>
      <c r="AF628" s="1231" t="s">
        <v>64</v>
      </c>
      <c r="AG628" s="1262">
        <v>1</v>
      </c>
      <c r="AH628" s="1365" t="s">
        <v>1344</v>
      </c>
      <c r="AI628" s="1266">
        <v>45408</v>
      </c>
      <c r="AJ628" s="1266">
        <v>45408</v>
      </c>
      <c r="AK628" s="1285">
        <f>9000+28497+20777</f>
        <v>58274</v>
      </c>
      <c r="AL628" s="1227">
        <f t="shared" si="74"/>
        <v>0.97123333333333328</v>
      </c>
      <c r="AM628" s="1252" t="s">
        <v>62</v>
      </c>
      <c r="AN628" s="1367">
        <v>1</v>
      </c>
      <c r="AO628" s="1276"/>
      <c r="AP628" s="1277"/>
      <c r="AQ628" s="1276"/>
      <c r="AR628" s="1278"/>
      <c r="AS628" s="1278"/>
    </row>
    <row r="629" spans="1:45" ht="15.6">
      <c r="A629" s="1097" t="s">
        <v>53</v>
      </c>
      <c r="B629" s="1103" t="s">
        <v>1322</v>
      </c>
      <c r="C629" s="1098" t="s">
        <v>1323</v>
      </c>
      <c r="D629" s="1098" t="s">
        <v>1324</v>
      </c>
      <c r="E629" s="1473" t="s">
        <v>57</v>
      </c>
      <c r="F629" s="856">
        <v>2024</v>
      </c>
      <c r="G629" s="1099">
        <v>45387</v>
      </c>
      <c r="H629" s="3">
        <v>200105628</v>
      </c>
      <c r="I629" s="1457" t="s">
        <v>1411</v>
      </c>
      <c r="J629" s="1144">
        <v>3</v>
      </c>
      <c r="K629" s="1174" t="s">
        <v>144</v>
      </c>
      <c r="L629" s="8" t="s">
        <v>60</v>
      </c>
      <c r="M629" s="1350">
        <v>550.29999999999995</v>
      </c>
      <c r="N629" s="3">
        <v>123.06</v>
      </c>
      <c r="O629" s="1313">
        <v>45400</v>
      </c>
      <c r="P629" s="1043">
        <v>45399</v>
      </c>
      <c r="Q629" s="1101"/>
      <c r="R629" s="762">
        <v>3.72</v>
      </c>
      <c r="S629" s="851" t="s">
        <v>62</v>
      </c>
      <c r="T629" s="856" t="s">
        <v>63</v>
      </c>
      <c r="U629" s="856" t="s">
        <v>75</v>
      </c>
      <c r="V629" s="1350">
        <v>561.46</v>
      </c>
      <c r="W629" s="1350">
        <v>452.7</v>
      </c>
      <c r="X629" s="1313">
        <v>45400</v>
      </c>
      <c r="Y629" s="1313">
        <v>45400</v>
      </c>
      <c r="Z629" s="856" t="s">
        <v>62</v>
      </c>
      <c r="AA629" s="1284" t="s">
        <v>1333</v>
      </c>
      <c r="AB629" s="1175">
        <v>45405</v>
      </c>
      <c r="AC629" s="1175">
        <v>45406</v>
      </c>
      <c r="AD629" s="1376">
        <f>102+766+117</f>
        <v>985</v>
      </c>
      <c r="AE629" s="1227">
        <v>0.96950727376523205</v>
      </c>
      <c r="AF629" s="1231" t="s">
        <v>64</v>
      </c>
      <c r="AG629" s="1262">
        <v>1</v>
      </c>
      <c r="AH629" s="1365" t="s">
        <v>1344</v>
      </c>
      <c r="AI629" s="1266">
        <v>45407</v>
      </c>
      <c r="AJ629" s="1266">
        <v>45407</v>
      </c>
      <c r="AK629" s="1285">
        <f>42000+16210</f>
        <v>58210</v>
      </c>
      <c r="AL629" s="1227">
        <f t="shared" si="74"/>
        <v>0.97016666666666662</v>
      </c>
      <c r="AM629" s="1252" t="s">
        <v>62</v>
      </c>
      <c r="AN629" s="1367">
        <v>1</v>
      </c>
      <c r="AO629" s="1276"/>
      <c r="AP629" s="1277"/>
      <c r="AQ629" s="1276"/>
      <c r="AR629" s="1278"/>
      <c r="AS629" s="1278"/>
    </row>
    <row r="630" spans="1:45" ht="15.6">
      <c r="A630" s="1097" t="s">
        <v>53</v>
      </c>
      <c r="B630" s="1103" t="s">
        <v>1322</v>
      </c>
      <c r="C630" s="1098" t="s">
        <v>1323</v>
      </c>
      <c r="D630" s="1098" t="s">
        <v>1324</v>
      </c>
      <c r="E630" s="1473" t="s">
        <v>57</v>
      </c>
      <c r="F630" s="856">
        <v>2024</v>
      </c>
      <c r="G630" s="1099">
        <v>45387</v>
      </c>
      <c r="H630" s="3">
        <v>200105629</v>
      </c>
      <c r="I630" s="1457" t="s">
        <v>1412</v>
      </c>
      <c r="J630" s="1144">
        <v>4</v>
      </c>
      <c r="K630" s="1174" t="s">
        <v>144</v>
      </c>
      <c r="L630" s="8" t="s">
        <v>60</v>
      </c>
      <c r="M630" s="1350">
        <v>549.26</v>
      </c>
      <c r="N630" s="3">
        <v>122.47</v>
      </c>
      <c r="O630" s="1313">
        <v>45400</v>
      </c>
      <c r="P630" s="1043">
        <v>45399</v>
      </c>
      <c r="Q630" s="1101"/>
      <c r="R630" s="762">
        <v>3.7</v>
      </c>
      <c r="S630" s="851" t="s">
        <v>62</v>
      </c>
      <c r="T630" s="856" t="s">
        <v>63</v>
      </c>
      <c r="U630" s="856" t="s">
        <v>75</v>
      </c>
      <c r="V630" s="1350">
        <v>561.41999999999996</v>
      </c>
      <c r="W630" s="1350">
        <v>452.04</v>
      </c>
      <c r="X630" s="1313">
        <v>45400</v>
      </c>
      <c r="Y630" s="1313">
        <v>45400</v>
      </c>
      <c r="Z630" s="856" t="s">
        <v>62</v>
      </c>
      <c r="AA630" s="1284" t="s">
        <v>1327</v>
      </c>
      <c r="AB630" s="1175">
        <v>45405</v>
      </c>
      <c r="AC630" s="1175">
        <v>45406</v>
      </c>
      <c r="AD630" s="1376">
        <f>462+521</f>
        <v>983</v>
      </c>
      <c r="AE630" s="1227">
        <v>0.96753873107738297</v>
      </c>
      <c r="AF630" s="1231" t="s">
        <v>64</v>
      </c>
      <c r="AG630" s="1262">
        <v>1</v>
      </c>
      <c r="AH630" s="1368" t="s">
        <v>1328</v>
      </c>
      <c r="AI630" s="1266">
        <v>45407</v>
      </c>
      <c r="AJ630" s="1266">
        <v>45408</v>
      </c>
      <c r="AK630" s="1285">
        <f>36700+21407</f>
        <v>58107</v>
      </c>
      <c r="AL630" s="1227">
        <f t="shared" si="74"/>
        <v>0.96845000000000003</v>
      </c>
      <c r="AM630" s="1252" t="s">
        <v>62</v>
      </c>
      <c r="AN630" s="1367">
        <v>1</v>
      </c>
      <c r="AO630" s="1276"/>
      <c r="AP630" s="1277"/>
      <c r="AQ630" s="1276"/>
      <c r="AR630" s="1278"/>
      <c r="AS630" s="1278"/>
    </row>
    <row r="631" spans="1:45" ht="15.6">
      <c r="A631" s="1097" t="s">
        <v>53</v>
      </c>
      <c r="B631" s="1103" t="s">
        <v>1322</v>
      </c>
      <c r="C631" s="1098" t="s">
        <v>1323</v>
      </c>
      <c r="D631" s="1098" t="s">
        <v>1324</v>
      </c>
      <c r="E631" s="1473" t="s">
        <v>57</v>
      </c>
      <c r="F631" s="856">
        <v>2024</v>
      </c>
      <c r="G631" s="1099">
        <v>45387</v>
      </c>
      <c r="H631" s="3">
        <v>200105630</v>
      </c>
      <c r="I631" s="1457" t="s">
        <v>1413</v>
      </c>
      <c r="J631" s="1144">
        <v>5</v>
      </c>
      <c r="K631" s="1174" t="s">
        <v>144</v>
      </c>
      <c r="L631" s="8" t="s">
        <v>60</v>
      </c>
      <c r="M631" s="1350">
        <v>550.46</v>
      </c>
      <c r="N631" s="3">
        <v>123.03</v>
      </c>
      <c r="O631" s="1313">
        <v>45400</v>
      </c>
      <c r="P631" s="1043">
        <v>45399</v>
      </c>
      <c r="Q631" s="1101"/>
      <c r="R631" s="762">
        <v>3.55</v>
      </c>
      <c r="S631" s="851" t="s">
        <v>62</v>
      </c>
      <c r="T631" s="856" t="s">
        <v>69</v>
      </c>
      <c r="U631" s="856" t="s">
        <v>75</v>
      </c>
      <c r="V631" s="1350">
        <v>561.4</v>
      </c>
      <c r="W631" s="1350">
        <v>452.5</v>
      </c>
      <c r="X631" s="1313">
        <v>45401</v>
      </c>
      <c r="Y631" s="1313">
        <v>45400</v>
      </c>
      <c r="Z631" s="856" t="s">
        <v>62</v>
      </c>
      <c r="AA631" s="1284" t="s">
        <v>1327</v>
      </c>
      <c r="AB631" s="1175">
        <v>45406</v>
      </c>
      <c r="AC631" s="1175">
        <v>45406</v>
      </c>
      <c r="AD631" s="1376">
        <f>188+640+157</f>
        <v>985</v>
      </c>
      <c r="AE631" s="1227">
        <v>0.96950727376523205</v>
      </c>
      <c r="AF631" s="1231" t="s">
        <v>64</v>
      </c>
      <c r="AG631" s="1262">
        <v>1</v>
      </c>
      <c r="AH631" s="1368" t="s">
        <v>1328</v>
      </c>
      <c r="AI631" s="1266">
        <v>45408</v>
      </c>
      <c r="AJ631" s="1266">
        <v>45408</v>
      </c>
      <c r="AK631" s="1285">
        <f>21200+37058</f>
        <v>58258</v>
      </c>
      <c r="AL631" s="1227">
        <f t="shared" si="74"/>
        <v>0.97096666666666664</v>
      </c>
      <c r="AM631" s="1252" t="s">
        <v>62</v>
      </c>
      <c r="AN631" s="1367">
        <v>1</v>
      </c>
      <c r="AO631" s="1276"/>
      <c r="AP631" s="1277"/>
      <c r="AQ631" s="1276"/>
      <c r="AR631" s="1278"/>
      <c r="AS631" s="1278"/>
    </row>
    <row r="632" spans="1:45" ht="15.6">
      <c r="A632" s="1097" t="s">
        <v>53</v>
      </c>
      <c r="B632" s="1103" t="s">
        <v>1322</v>
      </c>
      <c r="C632" s="1098" t="s">
        <v>1323</v>
      </c>
      <c r="D632" s="1098" t="s">
        <v>1324</v>
      </c>
      <c r="E632" s="1473" t="s">
        <v>57</v>
      </c>
      <c r="F632" s="856">
        <v>2024</v>
      </c>
      <c r="G632" s="1099">
        <v>45387</v>
      </c>
      <c r="H632" s="3">
        <v>200105631</v>
      </c>
      <c r="I632" s="1457" t="s">
        <v>1414</v>
      </c>
      <c r="J632" s="1144">
        <v>6</v>
      </c>
      <c r="K632" s="1174" t="s">
        <v>144</v>
      </c>
      <c r="L632" s="8" t="s">
        <v>60</v>
      </c>
      <c r="M632" s="1350">
        <v>547</v>
      </c>
      <c r="N632" s="3">
        <v>123.42</v>
      </c>
      <c r="O632" s="1313" t="s">
        <v>1415</v>
      </c>
      <c r="P632" s="1043">
        <v>45399</v>
      </c>
      <c r="Q632" s="1101"/>
      <c r="R632" s="762">
        <v>3.4</v>
      </c>
      <c r="S632" s="851" t="s">
        <v>62</v>
      </c>
      <c r="T632" s="856" t="s">
        <v>69</v>
      </c>
      <c r="U632" s="856" t="s">
        <v>75</v>
      </c>
      <c r="V632" s="1350">
        <v>558.14</v>
      </c>
      <c r="W632" s="1350">
        <v>453</v>
      </c>
      <c r="X632" s="1313">
        <v>45401</v>
      </c>
      <c r="Y632" s="1313">
        <v>45400</v>
      </c>
      <c r="Z632" s="856" t="s">
        <v>62</v>
      </c>
      <c r="AA632" s="1284" t="s">
        <v>1333</v>
      </c>
      <c r="AB632" s="1175">
        <v>45406</v>
      </c>
      <c r="AC632" s="1175">
        <v>45406</v>
      </c>
      <c r="AD632" s="1376">
        <f>528+452</f>
        <v>980</v>
      </c>
      <c r="AE632" s="1227">
        <v>0.96458591704561103</v>
      </c>
      <c r="AF632" s="1231" t="s">
        <v>64</v>
      </c>
      <c r="AG632" s="1262">
        <v>1</v>
      </c>
      <c r="AH632" s="1365" t="s">
        <v>1344</v>
      </c>
      <c r="AI632" s="1266">
        <v>45411</v>
      </c>
      <c r="AJ632" s="1266">
        <v>45412</v>
      </c>
      <c r="AK632" s="1285">
        <f>30000+7500+14055+6472</f>
        <v>58027</v>
      </c>
      <c r="AL632" s="1227">
        <f t="shared" si="74"/>
        <v>0.96711666666666662</v>
      </c>
      <c r="AM632" s="1252" t="s">
        <v>62</v>
      </c>
      <c r="AN632" s="1367">
        <v>1</v>
      </c>
      <c r="AO632" s="1276"/>
      <c r="AP632" s="1277"/>
      <c r="AQ632" s="1276"/>
      <c r="AR632" s="1278"/>
      <c r="AS632" s="1278"/>
    </row>
    <row r="633" spans="1:45" ht="15.6">
      <c r="A633" s="1097" t="s">
        <v>53</v>
      </c>
      <c r="B633" s="1103" t="s">
        <v>1322</v>
      </c>
      <c r="C633" s="1098" t="s">
        <v>1323</v>
      </c>
      <c r="D633" s="1098" t="s">
        <v>1324</v>
      </c>
      <c r="E633" s="1473" t="s">
        <v>57</v>
      </c>
      <c r="F633" s="856">
        <v>2024</v>
      </c>
      <c r="G633" s="1099">
        <v>45387</v>
      </c>
      <c r="H633" s="3">
        <v>200105632</v>
      </c>
      <c r="I633" s="1457" t="s">
        <v>1416</v>
      </c>
      <c r="J633" s="1144">
        <v>7</v>
      </c>
      <c r="K633" s="1174" t="s">
        <v>144</v>
      </c>
      <c r="L633" s="8" t="s">
        <v>60</v>
      </c>
      <c r="M633" s="1350">
        <v>551.70000000000005</v>
      </c>
      <c r="N633" s="786">
        <v>122.8</v>
      </c>
      <c r="O633" s="1313">
        <v>45401</v>
      </c>
      <c r="P633" s="1043">
        <v>45401</v>
      </c>
      <c r="Q633" s="1101"/>
      <c r="R633" s="882">
        <v>3.77</v>
      </c>
      <c r="S633" s="851" t="s">
        <v>62</v>
      </c>
      <c r="T633" s="856" t="s">
        <v>63</v>
      </c>
      <c r="U633" s="856" t="s">
        <v>69</v>
      </c>
      <c r="V633" s="1350">
        <v>562.70000000000005</v>
      </c>
      <c r="W633" s="1350">
        <v>452.15</v>
      </c>
      <c r="X633" s="1313">
        <v>45404</v>
      </c>
      <c r="Y633" s="1313">
        <v>45404</v>
      </c>
      <c r="Z633" s="856" t="s">
        <v>62</v>
      </c>
      <c r="AA633" s="1284" t="s">
        <v>1333</v>
      </c>
      <c r="AB633" s="1175">
        <v>45406</v>
      </c>
      <c r="AC633" s="1175">
        <v>45407</v>
      </c>
      <c r="AD633" s="1376">
        <f>198+633+152</f>
        <v>983</v>
      </c>
      <c r="AE633" s="1227">
        <v>0.96753873107738297</v>
      </c>
      <c r="AF633" s="1231" t="s">
        <v>64</v>
      </c>
      <c r="AG633" s="1262">
        <v>1</v>
      </c>
      <c r="AH633" s="1368" t="s">
        <v>1328</v>
      </c>
      <c r="AI633" s="1266">
        <v>45408</v>
      </c>
      <c r="AJ633" s="1266">
        <v>45408</v>
      </c>
      <c r="AK633" s="1285">
        <f>15600+42536</f>
        <v>58136</v>
      </c>
      <c r="AL633" s="1227">
        <f t="shared" si="74"/>
        <v>0.96893333333333331</v>
      </c>
      <c r="AM633" s="1252" t="s">
        <v>62</v>
      </c>
      <c r="AN633" s="1367">
        <v>1</v>
      </c>
      <c r="AO633" s="1276"/>
      <c r="AP633" s="1277"/>
      <c r="AQ633" s="1276"/>
      <c r="AR633" s="1278"/>
      <c r="AS633" s="1278"/>
    </row>
    <row r="634" spans="1:45" ht="15.6">
      <c r="A634" s="1097" t="s">
        <v>53</v>
      </c>
      <c r="B634" s="1103" t="s">
        <v>1322</v>
      </c>
      <c r="C634" s="1098" t="s">
        <v>1323</v>
      </c>
      <c r="D634" s="1098" t="s">
        <v>1324</v>
      </c>
      <c r="E634" s="1473" t="s">
        <v>57</v>
      </c>
      <c r="F634" s="856">
        <v>2024</v>
      </c>
      <c r="G634" s="1099">
        <v>45387</v>
      </c>
      <c r="H634" s="3">
        <v>200105633</v>
      </c>
      <c r="I634" s="1457" t="s">
        <v>1417</v>
      </c>
      <c r="J634" s="1144">
        <v>8</v>
      </c>
      <c r="K634" s="1174" t="s">
        <v>144</v>
      </c>
      <c r="L634" s="8" t="s">
        <v>60</v>
      </c>
      <c r="M634" s="1350">
        <v>547.58000000000004</v>
      </c>
      <c r="N634" s="786">
        <v>122.37</v>
      </c>
      <c r="O634" s="1313">
        <v>45401</v>
      </c>
      <c r="P634" s="1043">
        <v>45401</v>
      </c>
      <c r="Q634" s="1101"/>
      <c r="R634" s="882">
        <v>3.54</v>
      </c>
      <c r="S634" s="851" t="s">
        <v>62</v>
      </c>
      <c r="T634" s="856" t="s">
        <v>63</v>
      </c>
      <c r="U634" s="856" t="s">
        <v>69</v>
      </c>
      <c r="V634" s="1350">
        <v>558.29999999999995</v>
      </c>
      <c r="W634" s="1350">
        <v>451.09</v>
      </c>
      <c r="X634" s="1313">
        <v>45404</v>
      </c>
      <c r="Y634" s="1313">
        <v>45404</v>
      </c>
      <c r="Z634" s="856" t="s">
        <v>62</v>
      </c>
      <c r="AA634" s="1284" t="s">
        <v>1327</v>
      </c>
      <c r="AB634" s="1175">
        <v>45406</v>
      </c>
      <c r="AC634" s="1175">
        <v>45407</v>
      </c>
      <c r="AD634" s="1376">
        <f>132+568+282</f>
        <v>982</v>
      </c>
      <c r="AE634" s="1227">
        <v>0.96655445973345899</v>
      </c>
      <c r="AF634" s="1231" t="s">
        <v>64</v>
      </c>
      <c r="AG634" s="1262">
        <v>1</v>
      </c>
      <c r="AH634" s="1368" t="s">
        <v>1328</v>
      </c>
      <c r="AI634" s="1266">
        <v>45411</v>
      </c>
      <c r="AJ634" s="1266">
        <v>45411</v>
      </c>
      <c r="AK634" s="1285">
        <f>18400+39668</f>
        <v>58068</v>
      </c>
      <c r="AL634" s="1227">
        <f t="shared" si="74"/>
        <v>0.96779999999999999</v>
      </c>
      <c r="AM634" s="1252" t="s">
        <v>62</v>
      </c>
      <c r="AN634" s="1367">
        <v>1</v>
      </c>
      <c r="AO634" s="1276"/>
      <c r="AP634" s="1277"/>
      <c r="AQ634" s="1276"/>
      <c r="AR634" s="1278"/>
      <c r="AS634" s="1278"/>
    </row>
    <row r="635" spans="1:45" ht="15.6">
      <c r="A635" s="1097" t="s">
        <v>53</v>
      </c>
      <c r="B635" s="1103" t="s">
        <v>1322</v>
      </c>
      <c r="C635" s="1098" t="s">
        <v>1323</v>
      </c>
      <c r="D635" s="1098" t="s">
        <v>1324</v>
      </c>
      <c r="E635" s="1473" t="s">
        <v>57</v>
      </c>
      <c r="F635" s="856">
        <v>2024</v>
      </c>
      <c r="G635" s="1099">
        <v>45387</v>
      </c>
      <c r="H635" s="3">
        <v>200105634</v>
      </c>
      <c r="I635" s="1457" t="s">
        <v>1418</v>
      </c>
      <c r="J635" s="1144">
        <v>9</v>
      </c>
      <c r="K635" s="1174" t="s">
        <v>144</v>
      </c>
      <c r="L635" s="8" t="s">
        <v>60</v>
      </c>
      <c r="M635" s="1350">
        <v>546.5</v>
      </c>
      <c r="N635" s="786">
        <v>124.09</v>
      </c>
      <c r="O635" s="1313">
        <v>45405</v>
      </c>
      <c r="P635" s="1043">
        <v>45401</v>
      </c>
      <c r="Q635" s="1101"/>
      <c r="R635" s="882">
        <v>3.72</v>
      </c>
      <c r="S635" s="851" t="s">
        <v>62</v>
      </c>
      <c r="T635" s="856" t="s">
        <v>63</v>
      </c>
      <c r="U635" s="856" t="s">
        <v>69</v>
      </c>
      <c r="V635" s="1350">
        <v>557.62</v>
      </c>
      <c r="W635" s="1350">
        <v>453.51</v>
      </c>
      <c r="X635" s="1313">
        <v>45405</v>
      </c>
      <c r="Y635" s="1313">
        <v>45404</v>
      </c>
      <c r="Z635" s="856" t="s">
        <v>62</v>
      </c>
      <c r="AA635" s="1284" t="s">
        <v>1333</v>
      </c>
      <c r="AB635" s="1175">
        <v>45407</v>
      </c>
      <c r="AC635" s="1175">
        <v>45407</v>
      </c>
      <c r="AD635" s="1376">
        <f>492+488</f>
        <v>980</v>
      </c>
      <c r="AE635" s="1227">
        <v>0.96458591704561103</v>
      </c>
      <c r="AF635" s="1231" t="s">
        <v>64</v>
      </c>
      <c r="AG635" s="1262">
        <v>1</v>
      </c>
      <c r="AH635" s="1368" t="s">
        <v>1328</v>
      </c>
      <c r="AI635" s="1266">
        <v>45411</v>
      </c>
      <c r="AJ635" s="1266">
        <v>45411</v>
      </c>
      <c r="AK635" s="1285">
        <f>22000+35987</f>
        <v>57987</v>
      </c>
      <c r="AL635" s="1227">
        <f t="shared" si="74"/>
        <v>0.96645000000000003</v>
      </c>
      <c r="AM635" s="1252" t="s">
        <v>62</v>
      </c>
      <c r="AN635" s="1367">
        <v>1</v>
      </c>
      <c r="AO635" s="1276"/>
      <c r="AP635" s="1277"/>
      <c r="AQ635" s="1276"/>
      <c r="AR635" s="1278"/>
      <c r="AS635" s="1278"/>
    </row>
    <row r="636" spans="1:45" ht="15.6">
      <c r="A636" s="1097" t="s">
        <v>53</v>
      </c>
      <c r="B636" s="1103" t="s">
        <v>1322</v>
      </c>
      <c r="C636" s="1098" t="s">
        <v>1323</v>
      </c>
      <c r="D636" s="1098" t="s">
        <v>1324</v>
      </c>
      <c r="E636" s="1473" t="s">
        <v>57</v>
      </c>
      <c r="F636" s="856">
        <v>2024</v>
      </c>
      <c r="G636" s="1099">
        <v>45387</v>
      </c>
      <c r="H636" s="3">
        <v>200105635</v>
      </c>
      <c r="I636" s="1457" t="s">
        <v>1419</v>
      </c>
      <c r="J636" s="1144">
        <v>10</v>
      </c>
      <c r="K636" s="1174" t="s">
        <v>144</v>
      </c>
      <c r="L636" s="8" t="s">
        <v>60</v>
      </c>
      <c r="M636" s="1350">
        <v>547.02</v>
      </c>
      <c r="N636" s="762">
        <v>125.16</v>
      </c>
      <c r="O636" s="1313">
        <v>45405</v>
      </c>
      <c r="P636" s="1043">
        <v>45401</v>
      </c>
      <c r="Q636" s="1101"/>
      <c r="R636" s="764">
        <v>3.65</v>
      </c>
      <c r="S636" s="851" t="s">
        <v>62</v>
      </c>
      <c r="T636" s="856" t="s">
        <v>63</v>
      </c>
      <c r="U636" s="856" t="s">
        <v>69</v>
      </c>
      <c r="V636" s="1350">
        <v>558.08000000000004</v>
      </c>
      <c r="W636" s="1350">
        <v>454.66</v>
      </c>
      <c r="X636" s="1313">
        <v>45405</v>
      </c>
      <c r="Y636" s="1313">
        <v>45405</v>
      </c>
      <c r="Z636" s="856" t="s">
        <v>62</v>
      </c>
      <c r="AA636" s="1284" t="s">
        <v>1327</v>
      </c>
      <c r="AB636" s="1175">
        <v>45407</v>
      </c>
      <c r="AC636" s="1175">
        <v>45407</v>
      </c>
      <c r="AD636" s="1376">
        <f>366+618</f>
        <v>984</v>
      </c>
      <c r="AE636" s="1227">
        <v>0.96852300242130795</v>
      </c>
      <c r="AF636" s="1231" t="s">
        <v>64</v>
      </c>
      <c r="AG636" s="1262">
        <v>1</v>
      </c>
      <c r="AH636" s="1365" t="s">
        <v>1344</v>
      </c>
      <c r="AI636" s="1266">
        <v>45412</v>
      </c>
      <c r="AJ636" s="1266">
        <v>45412</v>
      </c>
      <c r="AK636" s="1285">
        <f>50000+8179</f>
        <v>58179</v>
      </c>
      <c r="AL636" s="1227">
        <f t="shared" si="74"/>
        <v>0.96965000000000001</v>
      </c>
      <c r="AM636" s="1252" t="s">
        <v>62</v>
      </c>
      <c r="AN636" s="1367">
        <v>1</v>
      </c>
      <c r="AO636" s="1276"/>
      <c r="AP636" s="1277"/>
      <c r="AQ636" s="1276"/>
      <c r="AR636" s="1278"/>
      <c r="AS636" s="1278"/>
    </row>
    <row r="637" spans="1:45" ht="15.6">
      <c r="A637" s="1097" t="s">
        <v>53</v>
      </c>
      <c r="B637" s="1103" t="s">
        <v>1322</v>
      </c>
      <c r="C637" s="1098" t="s">
        <v>1323</v>
      </c>
      <c r="D637" s="1098" t="s">
        <v>1324</v>
      </c>
      <c r="E637" s="1473" t="s">
        <v>57</v>
      </c>
      <c r="F637" s="856">
        <v>2024</v>
      </c>
      <c r="G637" s="1099">
        <v>45387</v>
      </c>
      <c r="H637" s="3">
        <v>200105636</v>
      </c>
      <c r="I637" s="1457" t="s">
        <v>1420</v>
      </c>
      <c r="J637" s="1144">
        <v>11</v>
      </c>
      <c r="K637" s="1174" t="s">
        <v>144</v>
      </c>
      <c r="L637" s="1174" t="s">
        <v>1360</v>
      </c>
      <c r="M637" s="1350">
        <v>550</v>
      </c>
      <c r="N637" s="1174" t="s">
        <v>1360</v>
      </c>
      <c r="O637" s="1313">
        <v>45405</v>
      </c>
      <c r="P637" s="1211" t="s">
        <v>1360</v>
      </c>
      <c r="Q637" s="1174"/>
      <c r="R637" s="1174"/>
      <c r="S637" s="851"/>
      <c r="T637" s="856" t="s">
        <v>63</v>
      </c>
      <c r="U637" s="856" t="s">
        <v>69</v>
      </c>
      <c r="V637" s="1350">
        <v>560.98</v>
      </c>
      <c r="W637" s="1350">
        <v>455.08</v>
      </c>
      <c r="X637" s="1313">
        <v>45405</v>
      </c>
      <c r="Y637" s="1313">
        <v>45405</v>
      </c>
      <c r="Z637" s="856" t="s">
        <v>62</v>
      </c>
      <c r="AA637" s="1284" t="s">
        <v>1333</v>
      </c>
      <c r="AB637" s="1175">
        <v>45407</v>
      </c>
      <c r="AC637" s="1175">
        <v>45408</v>
      </c>
      <c r="AD637" s="1376">
        <f>168+756+64</f>
        <v>988</v>
      </c>
      <c r="AE637" s="1227">
        <v>0.97246008779700399</v>
      </c>
      <c r="AF637" s="1231" t="s">
        <v>64</v>
      </c>
      <c r="AG637" s="1262">
        <v>1</v>
      </c>
      <c r="AH637" s="1368" t="s">
        <v>1328</v>
      </c>
      <c r="AI637" s="1266">
        <v>45411</v>
      </c>
      <c r="AJ637" s="1266">
        <v>45412</v>
      </c>
      <c r="AK637" s="1285">
        <f>28500+29974</f>
        <v>58474</v>
      </c>
      <c r="AL637" s="1227">
        <f t="shared" si="74"/>
        <v>0.97456666666666669</v>
      </c>
      <c r="AM637" s="1252" t="s">
        <v>62</v>
      </c>
      <c r="AN637" s="1367">
        <v>1</v>
      </c>
      <c r="AO637" s="1276"/>
      <c r="AP637" s="1277"/>
      <c r="AQ637" s="1276"/>
      <c r="AR637" s="1278"/>
      <c r="AS637" s="1278"/>
    </row>
    <row r="638" spans="1:45" ht="15.6">
      <c r="A638" s="1097" t="s">
        <v>53</v>
      </c>
      <c r="B638" s="1103" t="s">
        <v>1322</v>
      </c>
      <c r="C638" s="1098" t="s">
        <v>1323</v>
      </c>
      <c r="D638" s="1098" t="s">
        <v>1324</v>
      </c>
      <c r="E638" s="1473" t="s">
        <v>57</v>
      </c>
      <c r="F638" s="856">
        <v>2024</v>
      </c>
      <c r="G638" s="1099">
        <v>45418</v>
      </c>
      <c r="H638" s="3">
        <v>200105924</v>
      </c>
      <c r="I638" s="1474" t="s">
        <v>1421</v>
      </c>
      <c r="J638" s="1144">
        <v>45</v>
      </c>
      <c r="K638" s="1174" t="s">
        <v>144</v>
      </c>
      <c r="L638" s="8" t="s">
        <v>60</v>
      </c>
      <c r="M638" s="1350">
        <v>550.89</v>
      </c>
      <c r="N638" s="785">
        <v>122.85</v>
      </c>
      <c r="O638" s="1179">
        <v>45420</v>
      </c>
      <c r="P638" s="1043">
        <v>45420</v>
      </c>
      <c r="Q638" s="953"/>
      <c r="R638" s="3" t="s">
        <v>1422</v>
      </c>
      <c r="S638" s="851" t="s">
        <v>62</v>
      </c>
      <c r="T638" s="1174" t="s">
        <v>75</v>
      </c>
      <c r="U638" s="856" t="s">
        <v>69</v>
      </c>
      <c r="V638" s="1350">
        <v>562.04</v>
      </c>
      <c r="W638" s="1350">
        <v>452.01</v>
      </c>
      <c r="X638" s="1313">
        <v>45420</v>
      </c>
      <c r="Y638" s="1313">
        <v>45420</v>
      </c>
      <c r="Z638" s="856" t="s">
        <v>62</v>
      </c>
      <c r="AA638" s="1284" t="s">
        <v>1333</v>
      </c>
      <c r="AB638" s="1175">
        <v>45420</v>
      </c>
      <c r="AC638" s="1175">
        <v>45422</v>
      </c>
      <c r="AD638" s="1376">
        <f>264+538+178</f>
        <v>980</v>
      </c>
      <c r="AE638" s="1227">
        <v>0.96458591704561103</v>
      </c>
      <c r="AF638" s="1231" t="s">
        <v>64</v>
      </c>
      <c r="AG638" s="1262">
        <v>1</v>
      </c>
      <c r="AH638" s="1365" t="s">
        <v>1344</v>
      </c>
      <c r="AI638" s="1266">
        <v>45428</v>
      </c>
      <c r="AJ638" s="1266">
        <v>45428</v>
      </c>
      <c r="AK638" s="1263">
        <f>45000+12930</f>
        <v>57930</v>
      </c>
      <c r="AL638" s="1227">
        <f t="shared" si="74"/>
        <v>0.96550000000000002</v>
      </c>
      <c r="AM638" s="1382" t="s">
        <v>62</v>
      </c>
      <c r="AN638" s="1367">
        <v>1</v>
      </c>
      <c r="AO638" s="1276"/>
      <c r="AP638" s="1277"/>
      <c r="AQ638" s="1276"/>
      <c r="AR638" s="1278"/>
      <c r="AS638" s="1278"/>
    </row>
    <row r="639" spans="1:45" ht="15.6">
      <c r="A639" s="1097" t="s">
        <v>53</v>
      </c>
      <c r="B639" s="1103" t="s">
        <v>1322</v>
      </c>
      <c r="C639" s="1098" t="s">
        <v>1323</v>
      </c>
      <c r="D639" s="1098" t="s">
        <v>1324</v>
      </c>
      <c r="E639" s="1473" t="s">
        <v>57</v>
      </c>
      <c r="F639" s="856">
        <v>2024</v>
      </c>
      <c r="G639" s="1099">
        <v>45418</v>
      </c>
      <c r="H639" s="3">
        <v>200105853</v>
      </c>
      <c r="I639" s="1474" t="s">
        <v>1423</v>
      </c>
      <c r="J639" s="1144">
        <v>46</v>
      </c>
      <c r="K639" s="1174" t="s">
        <v>144</v>
      </c>
      <c r="L639" s="8" t="s">
        <v>60</v>
      </c>
      <c r="M639" s="1350">
        <v>549</v>
      </c>
      <c r="N639" s="3">
        <v>122.5</v>
      </c>
      <c r="O639" s="1179">
        <v>45422</v>
      </c>
      <c r="P639" s="1043">
        <v>45420</v>
      </c>
      <c r="Q639" s="953"/>
      <c r="R639" s="3" t="s">
        <v>1424</v>
      </c>
      <c r="S639" s="851" t="s">
        <v>62</v>
      </c>
      <c r="T639" s="856" t="s">
        <v>69</v>
      </c>
      <c r="U639" s="856" t="s">
        <v>69</v>
      </c>
      <c r="V639" s="1350">
        <v>560.19000000000005</v>
      </c>
      <c r="W639" s="1350">
        <v>562.05999999999995</v>
      </c>
      <c r="X639" s="1313">
        <v>45422</v>
      </c>
      <c r="Y639" s="1313">
        <v>45420</v>
      </c>
      <c r="Z639" s="856" t="s">
        <v>62</v>
      </c>
      <c r="AA639" s="1284" t="s">
        <v>1327</v>
      </c>
      <c r="AB639" s="1175">
        <v>45425</v>
      </c>
      <c r="AC639" s="1175">
        <v>45426</v>
      </c>
      <c r="AD639" s="1376">
        <f>446+534</f>
        <v>980</v>
      </c>
      <c r="AE639" s="1227">
        <v>0.96458591704561103</v>
      </c>
      <c r="AF639" s="1231" t="s">
        <v>64</v>
      </c>
      <c r="AG639" s="1262">
        <v>1</v>
      </c>
      <c r="AH639" s="1365" t="s">
        <v>1344</v>
      </c>
      <c r="AI639" s="1266">
        <v>45429</v>
      </c>
      <c r="AJ639" s="1266">
        <v>45429</v>
      </c>
      <c r="AK639" s="1263">
        <f>50000+7970</f>
        <v>57970</v>
      </c>
      <c r="AL639" s="1227">
        <f t="shared" si="74"/>
        <v>0.96616666666666662</v>
      </c>
      <c r="AM639" s="1382" t="s">
        <v>62</v>
      </c>
      <c r="AN639" s="1367">
        <v>1</v>
      </c>
      <c r="AO639" s="1276"/>
      <c r="AP639" s="1277"/>
      <c r="AQ639" s="1276"/>
      <c r="AR639" s="1278"/>
      <c r="AS639" s="1278"/>
    </row>
    <row r="640" spans="1:45" ht="15.6">
      <c r="A640" s="1097" t="s">
        <v>53</v>
      </c>
      <c r="B640" s="1103" t="s">
        <v>1322</v>
      </c>
      <c r="C640" s="1098" t="s">
        <v>1323</v>
      </c>
      <c r="D640" s="1098" t="s">
        <v>1324</v>
      </c>
      <c r="E640" s="1473" t="s">
        <v>57</v>
      </c>
      <c r="F640" s="856">
        <v>2024</v>
      </c>
      <c r="G640" s="1099">
        <v>45418</v>
      </c>
      <c r="H640" s="3">
        <v>200105854</v>
      </c>
      <c r="I640" s="1474" t="s">
        <v>1425</v>
      </c>
      <c r="J640" s="1144">
        <v>47</v>
      </c>
      <c r="K640" s="1174" t="s">
        <v>144</v>
      </c>
      <c r="L640" s="8" t="s">
        <v>60</v>
      </c>
      <c r="M640" s="1350">
        <v>550</v>
      </c>
      <c r="N640" s="785">
        <v>124.6</v>
      </c>
      <c r="O640" s="1179">
        <v>45422</v>
      </c>
      <c r="P640" s="1043">
        <v>45420</v>
      </c>
      <c r="Q640" s="953"/>
      <c r="R640" s="3" t="s">
        <v>1426</v>
      </c>
      <c r="S640" s="851" t="s">
        <v>62</v>
      </c>
      <c r="T640" s="856" t="s">
        <v>69</v>
      </c>
      <c r="U640" s="856" t="s">
        <v>69</v>
      </c>
      <c r="V640" s="1350">
        <v>561.16999999999996</v>
      </c>
      <c r="W640" s="1350">
        <v>454.16</v>
      </c>
      <c r="X640" s="1313">
        <v>45422</v>
      </c>
      <c r="Y640" s="1313">
        <v>45420</v>
      </c>
      <c r="Z640" s="856" t="s">
        <v>62</v>
      </c>
      <c r="AA640" s="1284" t="s">
        <v>1327</v>
      </c>
      <c r="AB640" s="1175">
        <v>45426</v>
      </c>
      <c r="AC640" s="1175">
        <v>45426</v>
      </c>
      <c r="AD640" s="1359">
        <f>660+324</f>
        <v>984</v>
      </c>
      <c r="AE640" s="1227">
        <v>0.96852300242130795</v>
      </c>
      <c r="AF640" s="1231" t="s">
        <v>64</v>
      </c>
      <c r="AG640" s="1262">
        <v>1</v>
      </c>
      <c r="AH640" s="1144" t="s">
        <v>1344</v>
      </c>
      <c r="AI640" s="1248">
        <v>45428</v>
      </c>
      <c r="AJ640" s="1266">
        <v>45429</v>
      </c>
      <c r="AK640" s="1263">
        <f>14000+42500+1657</f>
        <v>58157</v>
      </c>
      <c r="AL640" s="1227">
        <f t="shared" si="74"/>
        <v>0.96928333333333339</v>
      </c>
      <c r="AM640" s="1382" t="s">
        <v>62</v>
      </c>
      <c r="AN640" s="1367">
        <v>1</v>
      </c>
      <c r="AO640" s="1276"/>
      <c r="AP640" s="1277"/>
      <c r="AQ640" s="1276"/>
      <c r="AR640" s="1278"/>
      <c r="AS640" s="1278"/>
    </row>
    <row r="641" spans="1:45" ht="15.6">
      <c r="A641" s="1097" t="s">
        <v>53</v>
      </c>
      <c r="B641" s="1103" t="s">
        <v>1322</v>
      </c>
      <c r="C641" s="1098" t="s">
        <v>1323</v>
      </c>
      <c r="D641" s="1098" t="s">
        <v>1324</v>
      </c>
      <c r="E641" s="1473" t="s">
        <v>57</v>
      </c>
      <c r="F641" s="856">
        <v>2024</v>
      </c>
      <c r="G641" s="1099">
        <v>45418</v>
      </c>
      <c r="H641" s="3">
        <v>200105855</v>
      </c>
      <c r="I641" s="1474" t="s">
        <v>1427</v>
      </c>
      <c r="J641" s="1144">
        <v>48</v>
      </c>
      <c r="K641" s="1174" t="s">
        <v>144</v>
      </c>
      <c r="L641" s="8" t="s">
        <v>60</v>
      </c>
      <c r="M641" s="1350">
        <v>550.62</v>
      </c>
      <c r="N641" s="786">
        <v>122.07</v>
      </c>
      <c r="O641" s="1179">
        <v>45422</v>
      </c>
      <c r="P641" s="1043">
        <v>45422</v>
      </c>
      <c r="Q641" s="953"/>
      <c r="R641" s="882">
        <v>3.42</v>
      </c>
      <c r="S641" s="851" t="s">
        <v>62</v>
      </c>
      <c r="T641" s="856" t="s">
        <v>69</v>
      </c>
      <c r="U641" s="856" t="s">
        <v>63</v>
      </c>
      <c r="V641" s="1350">
        <v>561.67999999999995</v>
      </c>
      <c r="W641" s="1350">
        <v>451.54</v>
      </c>
      <c r="X641" s="1313">
        <v>45422</v>
      </c>
      <c r="Y641" s="1313">
        <v>45422</v>
      </c>
      <c r="Z641" s="856" t="s">
        <v>62</v>
      </c>
      <c r="AA641" s="1284" t="s">
        <v>1327</v>
      </c>
      <c r="AB641" s="1175">
        <v>45426</v>
      </c>
      <c r="AC641" s="1175">
        <v>45427</v>
      </c>
      <c r="AD641" s="1359">
        <f>248+570+164</f>
        <v>982</v>
      </c>
      <c r="AE641" s="1227">
        <v>0.96655445973345899</v>
      </c>
      <c r="AF641" s="1231" t="s">
        <v>64</v>
      </c>
      <c r="AG641" s="1262">
        <v>1</v>
      </c>
      <c r="AH641" s="1365" t="s">
        <v>1328</v>
      </c>
      <c r="AI641" s="1266">
        <v>45429</v>
      </c>
      <c r="AJ641" s="1266">
        <v>45432</v>
      </c>
      <c r="AK641" s="1263">
        <f>20200+16000+21870</f>
        <v>58070</v>
      </c>
      <c r="AL641" s="1227">
        <f t="shared" si="74"/>
        <v>0.96783333333333332</v>
      </c>
      <c r="AM641" s="1382" t="s">
        <v>62</v>
      </c>
      <c r="AN641" s="1367">
        <v>1</v>
      </c>
      <c r="AO641" s="1276"/>
      <c r="AP641" s="1277"/>
      <c r="AQ641" s="1276"/>
      <c r="AR641" s="1278"/>
      <c r="AS641" s="1278"/>
    </row>
    <row r="642" spans="1:45" ht="15.6">
      <c r="A642" s="1097" t="s">
        <v>53</v>
      </c>
      <c r="B642" s="1103" t="s">
        <v>1322</v>
      </c>
      <c r="C642" s="1098" t="s">
        <v>1323</v>
      </c>
      <c r="D642" s="1098" t="s">
        <v>1324</v>
      </c>
      <c r="E642" s="1473" t="s">
        <v>57</v>
      </c>
      <c r="F642" s="856">
        <v>2024</v>
      </c>
      <c r="G642" s="1099">
        <v>45419</v>
      </c>
      <c r="H642" s="3">
        <v>200105996</v>
      </c>
      <c r="I642" s="1449" t="s">
        <v>1428</v>
      </c>
      <c r="J642" s="1144">
        <v>49</v>
      </c>
      <c r="K642" s="1174" t="s">
        <v>144</v>
      </c>
      <c r="L642" s="8" t="s">
        <v>60</v>
      </c>
      <c r="M642" s="1350">
        <v>550.46</v>
      </c>
      <c r="N642" s="786">
        <v>121.56</v>
      </c>
      <c r="O642" s="1179">
        <v>45422</v>
      </c>
      <c r="P642" s="1043">
        <v>45422</v>
      </c>
      <c r="Q642" s="953"/>
      <c r="R642" s="882">
        <v>3.67</v>
      </c>
      <c r="S642" s="851" t="s">
        <v>62</v>
      </c>
      <c r="T642" s="856" t="s">
        <v>69</v>
      </c>
      <c r="U642" s="856" t="s">
        <v>63</v>
      </c>
      <c r="V642" s="1350">
        <v>561.57000000000005</v>
      </c>
      <c r="W642" s="1350">
        <v>451.1</v>
      </c>
      <c r="X642" s="1313">
        <v>45422</v>
      </c>
      <c r="Y642" s="1313">
        <v>45422</v>
      </c>
      <c r="Z642" s="856" t="s">
        <v>62</v>
      </c>
      <c r="AA642" s="1284" t="s">
        <v>1327</v>
      </c>
      <c r="AB642" s="1175">
        <v>45427</v>
      </c>
      <c r="AC642" s="1175">
        <v>45427</v>
      </c>
      <c r="AD642" s="1359">
        <f>396+587</f>
        <v>983</v>
      </c>
      <c r="AE642" s="1227">
        <v>0.96753873107738297</v>
      </c>
      <c r="AF642" s="1231" t="s">
        <v>64</v>
      </c>
      <c r="AG642" s="1262">
        <v>1</v>
      </c>
      <c r="AH642" s="1365" t="s">
        <v>1344</v>
      </c>
      <c r="AI642" s="1266">
        <v>45429</v>
      </c>
      <c r="AJ642" s="1266">
        <v>45432</v>
      </c>
      <c r="AK642" s="1263">
        <f>50200+7870</f>
        <v>58070</v>
      </c>
      <c r="AL642" s="1227">
        <f t="shared" si="74"/>
        <v>0.96783333333333332</v>
      </c>
      <c r="AM642" s="1382" t="s">
        <v>62</v>
      </c>
      <c r="AN642" s="1367">
        <v>1</v>
      </c>
      <c r="AO642" s="1276"/>
      <c r="AP642" s="1277"/>
      <c r="AQ642" s="1276"/>
      <c r="AR642" s="1278"/>
      <c r="AS642" s="1278"/>
    </row>
    <row r="643" spans="1:45" ht="15.6">
      <c r="A643" s="1097" t="s">
        <v>53</v>
      </c>
      <c r="B643" s="1103" t="s">
        <v>1322</v>
      </c>
      <c r="C643" s="1098" t="s">
        <v>1323</v>
      </c>
      <c r="D643" s="1098" t="s">
        <v>1324</v>
      </c>
      <c r="E643" s="1473" t="s">
        <v>57</v>
      </c>
      <c r="F643" s="856">
        <v>2024</v>
      </c>
      <c r="G643" s="1099">
        <v>45419</v>
      </c>
      <c r="H643" s="3">
        <v>200106030</v>
      </c>
      <c r="I643" s="1449" t="s">
        <v>1429</v>
      </c>
      <c r="J643" s="1144">
        <v>50</v>
      </c>
      <c r="K643" s="1174" t="s">
        <v>144</v>
      </c>
      <c r="L643" s="8" t="s">
        <v>60</v>
      </c>
      <c r="M643" s="1350">
        <v>550.54</v>
      </c>
      <c r="N643" s="786">
        <v>125.43</v>
      </c>
      <c r="O643" s="1179">
        <v>45425</v>
      </c>
      <c r="P643" s="1043">
        <v>45422</v>
      </c>
      <c r="Q643" s="953"/>
      <c r="R643" s="882">
        <v>3.67</v>
      </c>
      <c r="S643" s="851" t="s">
        <v>62</v>
      </c>
      <c r="T643" s="856" t="s">
        <v>69</v>
      </c>
      <c r="U643" s="856" t="s">
        <v>63</v>
      </c>
      <c r="V643" s="1350">
        <v>561.54999999999995</v>
      </c>
      <c r="W643" s="1350">
        <v>454.92</v>
      </c>
      <c r="X643" s="1313">
        <v>45425</v>
      </c>
      <c r="Y643" s="1313">
        <v>45422</v>
      </c>
      <c r="Z643" s="856" t="s">
        <v>62</v>
      </c>
      <c r="AA643" s="1284" t="s">
        <v>1327</v>
      </c>
      <c r="AB643" s="1175">
        <v>45427</v>
      </c>
      <c r="AC643" s="1175">
        <v>45428</v>
      </c>
      <c r="AD643" s="1359">
        <f>20+752+214</f>
        <v>986</v>
      </c>
      <c r="AE643" s="1227">
        <v>0.97049154510915603</v>
      </c>
      <c r="AF643" s="1231" t="s">
        <v>64</v>
      </c>
      <c r="AG643" s="1262">
        <v>1</v>
      </c>
      <c r="AH643" s="1365" t="s">
        <v>1328</v>
      </c>
      <c r="AI643" s="1266">
        <v>45432</v>
      </c>
      <c r="AJ643" s="1266">
        <v>45432</v>
      </c>
      <c r="AK643" s="1263">
        <f>58277</f>
        <v>58277</v>
      </c>
      <c r="AL643" s="1227">
        <f t="shared" si="74"/>
        <v>0.97128333333333339</v>
      </c>
      <c r="AM643" s="1382" t="s">
        <v>62</v>
      </c>
      <c r="AN643" s="1367">
        <v>1</v>
      </c>
      <c r="AO643" s="1276"/>
      <c r="AP643" s="1277"/>
      <c r="AQ643" s="1276"/>
      <c r="AR643" s="1278"/>
      <c r="AS643" s="1278"/>
    </row>
    <row r="644" spans="1:45" ht="15.6">
      <c r="A644" s="1097" t="s">
        <v>53</v>
      </c>
      <c r="B644" s="1103" t="s">
        <v>1322</v>
      </c>
      <c r="C644" s="1098" t="s">
        <v>1323</v>
      </c>
      <c r="D644" s="1098" t="s">
        <v>1324</v>
      </c>
      <c r="E644" s="1473" t="s">
        <v>57</v>
      </c>
      <c r="F644" s="856">
        <v>2024</v>
      </c>
      <c r="G644" s="1099">
        <v>45419</v>
      </c>
      <c r="H644" s="3">
        <v>200106031</v>
      </c>
      <c r="I644" s="1449" t="s">
        <v>1430</v>
      </c>
      <c r="J644" s="1144">
        <v>51</v>
      </c>
      <c r="K644" s="1174" t="s">
        <v>144</v>
      </c>
      <c r="L644" s="8" t="s">
        <v>60</v>
      </c>
      <c r="M644" s="1350">
        <v>548</v>
      </c>
      <c r="N644" s="786">
        <v>124.09</v>
      </c>
      <c r="O644" s="1179">
        <v>45425</v>
      </c>
      <c r="P644" s="1043">
        <v>45422</v>
      </c>
      <c r="Q644" s="953"/>
      <c r="R644" s="882">
        <v>3.59</v>
      </c>
      <c r="S644" s="851" t="s">
        <v>62</v>
      </c>
      <c r="T644" s="856" t="s">
        <v>69</v>
      </c>
      <c r="U644" s="856" t="s">
        <v>75</v>
      </c>
      <c r="V644" s="1350">
        <v>559.19000000000005</v>
      </c>
      <c r="W644" s="1350">
        <v>452.56</v>
      </c>
      <c r="X644" s="1313">
        <v>45425</v>
      </c>
      <c r="Y644" s="1313">
        <v>45425</v>
      </c>
      <c r="Z644" s="856" t="s">
        <v>62</v>
      </c>
      <c r="AA644" s="1284" t="s">
        <v>1327</v>
      </c>
      <c r="AB644" s="1175">
        <v>45428</v>
      </c>
      <c r="AC644" s="1175">
        <v>45428</v>
      </c>
      <c r="AD644" s="1359">
        <f>462+520</f>
        <v>982</v>
      </c>
      <c r="AE644" s="1227">
        <v>0.96655445973345899</v>
      </c>
      <c r="AF644" s="1231" t="s">
        <v>64</v>
      </c>
      <c r="AG644" s="1262">
        <v>1</v>
      </c>
      <c r="AH644" s="1365" t="s">
        <v>1328</v>
      </c>
      <c r="AI644" s="1266">
        <v>45433</v>
      </c>
      <c r="AJ644" s="1266">
        <v>45433</v>
      </c>
      <c r="AK644" s="1263">
        <f>58060</f>
        <v>58060</v>
      </c>
      <c r="AL644" s="1227">
        <f t="shared" si="74"/>
        <v>0.96766666666666667</v>
      </c>
      <c r="AM644" s="1382" t="s">
        <v>62</v>
      </c>
      <c r="AN644" s="1367">
        <v>1</v>
      </c>
      <c r="AO644" s="1276"/>
      <c r="AP644" s="1277"/>
      <c r="AQ644" s="1276"/>
      <c r="AR644" s="1278"/>
      <c r="AS644" s="1278"/>
    </row>
    <row r="645" spans="1:45" ht="15.6">
      <c r="A645" s="1097" t="s">
        <v>53</v>
      </c>
      <c r="B645" s="1103" t="s">
        <v>1322</v>
      </c>
      <c r="C645" s="1098" t="s">
        <v>1323</v>
      </c>
      <c r="D645" s="1098" t="s">
        <v>1324</v>
      </c>
      <c r="E645" s="1473" t="s">
        <v>57</v>
      </c>
      <c r="F645" s="856">
        <v>2024</v>
      </c>
      <c r="G645" s="1099">
        <v>45419</v>
      </c>
      <c r="H645" s="3">
        <v>200106032</v>
      </c>
      <c r="I645" s="1449" t="s">
        <v>1431</v>
      </c>
      <c r="J645" s="1144">
        <v>52</v>
      </c>
      <c r="K645" s="1174" t="s">
        <v>144</v>
      </c>
      <c r="L645" s="8" t="s">
        <v>60</v>
      </c>
      <c r="M645" s="1350">
        <v>610.66</v>
      </c>
      <c r="N645" s="785">
        <v>126.21</v>
      </c>
      <c r="O645" s="1179">
        <v>45425</v>
      </c>
      <c r="P645" s="1043">
        <v>45422</v>
      </c>
      <c r="Q645" s="953"/>
      <c r="R645" s="3">
        <v>3.57</v>
      </c>
      <c r="S645" s="851" t="s">
        <v>62</v>
      </c>
      <c r="T645" s="856" t="s">
        <v>69</v>
      </c>
      <c r="U645" s="856" t="s">
        <v>75</v>
      </c>
      <c r="V645" s="1350">
        <v>558.29</v>
      </c>
      <c r="W645" s="1350">
        <v>455.74</v>
      </c>
      <c r="X645" s="1313">
        <v>45425</v>
      </c>
      <c r="Y645" s="1313">
        <v>45425</v>
      </c>
      <c r="Z645" s="856" t="s">
        <v>62</v>
      </c>
      <c r="AA645" s="1284" t="s">
        <v>1327</v>
      </c>
      <c r="AB645" s="1175">
        <v>45428</v>
      </c>
      <c r="AC645" s="1175">
        <v>45429</v>
      </c>
      <c r="AD645" s="1359">
        <f>211+611+163</f>
        <v>985</v>
      </c>
      <c r="AE645" s="1227">
        <v>0.96950727376523205</v>
      </c>
      <c r="AF645" s="1231" t="s">
        <v>64</v>
      </c>
      <c r="AG645" s="1262">
        <v>1</v>
      </c>
      <c r="AH645" s="1365" t="s">
        <v>1328</v>
      </c>
      <c r="AI645" s="1266">
        <v>45433</v>
      </c>
      <c r="AJ645" s="1266">
        <v>45433</v>
      </c>
      <c r="AK645" s="1263">
        <f>10000+24500</f>
        <v>34500</v>
      </c>
      <c r="AL645" s="1227">
        <f t="shared" si="74"/>
        <v>0.57499999999999996</v>
      </c>
      <c r="AM645" s="1382" t="s">
        <v>62</v>
      </c>
      <c r="AN645" s="1367">
        <v>1</v>
      </c>
      <c r="AO645" s="1276"/>
      <c r="AP645" s="1277"/>
      <c r="AQ645" s="1276"/>
      <c r="AR645" s="1278"/>
      <c r="AS645" s="1278"/>
    </row>
    <row r="646" spans="1:45" ht="15.6">
      <c r="A646" s="1097" t="s">
        <v>53</v>
      </c>
      <c r="B646" s="1103" t="s">
        <v>1322</v>
      </c>
      <c r="C646" s="1098" t="s">
        <v>1323</v>
      </c>
      <c r="D646" s="1098" t="s">
        <v>1324</v>
      </c>
      <c r="E646" s="1473" t="s">
        <v>57</v>
      </c>
      <c r="F646" s="856">
        <v>2024</v>
      </c>
      <c r="G646" s="1099">
        <v>45427</v>
      </c>
      <c r="H646" s="3">
        <v>200106098</v>
      </c>
      <c r="I646" s="1454" t="s">
        <v>1432</v>
      </c>
      <c r="J646" s="1144">
        <v>63</v>
      </c>
      <c r="K646" s="1174" t="s">
        <v>144</v>
      </c>
      <c r="L646" s="8" t="s">
        <v>60</v>
      </c>
      <c r="M646" s="1350">
        <v>549</v>
      </c>
      <c r="N646" s="785">
        <v>121.76</v>
      </c>
      <c r="O646" s="1179">
        <v>45439</v>
      </c>
      <c r="P646" s="1043">
        <v>45439</v>
      </c>
      <c r="Q646" s="953"/>
      <c r="R646" s="785">
        <v>3.79</v>
      </c>
      <c r="S646" s="851" t="s">
        <v>62</v>
      </c>
      <c r="T646" s="856" t="s">
        <v>63</v>
      </c>
      <c r="U646" s="856" t="s">
        <v>69</v>
      </c>
      <c r="V646" s="1350">
        <v>560.04</v>
      </c>
      <c r="W646" s="1350">
        <v>451.01</v>
      </c>
      <c r="X646" s="1313">
        <v>45441</v>
      </c>
      <c r="Y646" s="1313">
        <v>45440</v>
      </c>
      <c r="Z646" s="856" t="s">
        <v>62</v>
      </c>
      <c r="AA646" s="1284" t="s">
        <v>1327</v>
      </c>
      <c r="AB646" s="1175">
        <v>45443</v>
      </c>
      <c r="AC646" s="1175">
        <v>45443</v>
      </c>
      <c r="AD646" s="1359">
        <f>40+554+386</f>
        <v>980</v>
      </c>
      <c r="AE646" s="1227">
        <v>0.96458591704561103</v>
      </c>
      <c r="AF646" s="1231" t="s">
        <v>64</v>
      </c>
      <c r="AG646" s="1262">
        <v>1</v>
      </c>
      <c r="AH646" s="1365" t="s">
        <v>1328</v>
      </c>
      <c r="AI646" s="1380">
        <v>45446</v>
      </c>
      <c r="AJ646" s="1380">
        <v>45447</v>
      </c>
      <c r="AK646" s="1381">
        <f>25000+32985</f>
        <v>57985</v>
      </c>
      <c r="AL646" s="1227">
        <f t="shared" si="74"/>
        <v>0.9664166666666667</v>
      </c>
      <c r="AM646" s="1382" t="s">
        <v>62</v>
      </c>
      <c r="AN646" s="1367">
        <v>1</v>
      </c>
      <c r="AO646" s="1276"/>
      <c r="AP646" s="1277"/>
      <c r="AQ646" s="1276"/>
      <c r="AR646" s="1278"/>
      <c r="AS646" s="1278"/>
    </row>
    <row r="647" spans="1:45" ht="15.6">
      <c r="A647" s="1097" t="s">
        <v>53</v>
      </c>
      <c r="B647" s="1103" t="s">
        <v>1322</v>
      </c>
      <c r="C647" s="1098" t="s">
        <v>1323</v>
      </c>
      <c r="D647" s="1098" t="s">
        <v>1324</v>
      </c>
      <c r="E647" s="1473" t="s">
        <v>57</v>
      </c>
      <c r="F647" s="856">
        <v>2024</v>
      </c>
      <c r="G647" s="1099">
        <v>45427</v>
      </c>
      <c r="H647" s="3">
        <v>200106099</v>
      </c>
      <c r="I647" s="1454" t="s">
        <v>1433</v>
      </c>
      <c r="J647" s="1144">
        <v>64</v>
      </c>
      <c r="K647" s="1174" t="s">
        <v>144</v>
      </c>
      <c r="L647" s="8" t="s">
        <v>60</v>
      </c>
      <c r="M647" s="1350">
        <v>549.5</v>
      </c>
      <c r="N647" s="785">
        <v>123.87</v>
      </c>
      <c r="O647" s="1179">
        <v>45440</v>
      </c>
      <c r="P647" s="1043">
        <v>45439</v>
      </c>
      <c r="Q647" s="953"/>
      <c r="R647" s="785">
        <v>3.8</v>
      </c>
      <c r="S647" s="851" t="s">
        <v>62</v>
      </c>
      <c r="T647" s="856" t="s">
        <v>63</v>
      </c>
      <c r="U647" s="856" t="s">
        <v>69</v>
      </c>
      <c r="V647" s="1350">
        <v>560.54</v>
      </c>
      <c r="W647" s="1350">
        <v>453.43</v>
      </c>
      <c r="X647" s="1313">
        <v>45441</v>
      </c>
      <c r="Y647" s="1313">
        <v>45440</v>
      </c>
      <c r="Z647" s="856" t="s">
        <v>62</v>
      </c>
      <c r="AA647" s="1284" t="s">
        <v>1327</v>
      </c>
      <c r="AB647" s="1175">
        <v>45443</v>
      </c>
      <c r="AC647" s="1175">
        <v>45446</v>
      </c>
      <c r="AD647" s="1359">
        <f>314+316+354</f>
        <v>984</v>
      </c>
      <c r="AE647" s="1227">
        <v>0.96852300242130795</v>
      </c>
      <c r="AF647" s="1231" t="s">
        <v>64</v>
      </c>
      <c r="AG647" s="1262">
        <v>1</v>
      </c>
      <c r="AH647" s="1365" t="s">
        <v>1328</v>
      </c>
      <c r="AI647" s="1380">
        <v>45447</v>
      </c>
      <c r="AJ647" s="1380">
        <v>45447</v>
      </c>
      <c r="AK647" s="1381">
        <f>17000+41155</f>
        <v>58155</v>
      </c>
      <c r="AL647" s="1227">
        <f t="shared" si="74"/>
        <v>0.96924999999999994</v>
      </c>
      <c r="AM647" s="1382" t="s">
        <v>62</v>
      </c>
      <c r="AN647" s="1367">
        <v>1</v>
      </c>
      <c r="AO647" s="1276"/>
      <c r="AP647" s="1277"/>
      <c r="AQ647" s="1276"/>
      <c r="AR647" s="1278"/>
      <c r="AS647" s="1278"/>
    </row>
    <row r="648" spans="1:45" ht="15.6">
      <c r="A648" s="1097" t="s">
        <v>53</v>
      </c>
      <c r="B648" s="1103" t="s">
        <v>1322</v>
      </c>
      <c r="C648" s="1098" t="s">
        <v>1323</v>
      </c>
      <c r="D648" s="1098" t="s">
        <v>1324</v>
      </c>
      <c r="E648" s="1473" t="s">
        <v>57</v>
      </c>
      <c r="F648" s="856">
        <v>2024</v>
      </c>
      <c r="G648" s="1099">
        <v>45427</v>
      </c>
      <c r="H648" s="3">
        <v>200106140</v>
      </c>
      <c r="I648" s="1454" t="s">
        <v>1434</v>
      </c>
      <c r="J648" s="1144">
        <v>65</v>
      </c>
      <c r="K648" s="1174" t="s">
        <v>144</v>
      </c>
      <c r="L648" s="8" t="s">
        <v>60</v>
      </c>
      <c r="M648" s="1350">
        <v>559.17999999999995</v>
      </c>
      <c r="N648" s="785">
        <v>122.72</v>
      </c>
      <c r="O648" s="1179">
        <v>45440</v>
      </c>
      <c r="P648" s="1043">
        <v>45439</v>
      </c>
      <c r="Q648" s="953"/>
      <c r="R648" s="785">
        <v>3.52</v>
      </c>
      <c r="S648" s="851" t="s">
        <v>62</v>
      </c>
      <c r="T648" s="856" t="s">
        <v>63</v>
      </c>
      <c r="U648" s="784" t="s">
        <v>75</v>
      </c>
      <c r="V648" s="1350">
        <v>570.24</v>
      </c>
      <c r="W648" s="1350">
        <v>452.28</v>
      </c>
      <c r="X648" s="1313">
        <v>45441</v>
      </c>
      <c r="Y648" s="1313">
        <v>45442</v>
      </c>
      <c r="Z648" s="856" t="s">
        <v>62</v>
      </c>
      <c r="AA648" s="1284" t="s">
        <v>1333</v>
      </c>
      <c r="AB648" s="1175">
        <v>45446</v>
      </c>
      <c r="AC648" s="1175">
        <v>45447</v>
      </c>
      <c r="AD648" s="1359">
        <f>594+398</f>
        <v>992</v>
      </c>
      <c r="AE648" s="1227">
        <v>0.97639717317270003</v>
      </c>
      <c r="AF648" s="1231" t="s">
        <v>64</v>
      </c>
      <c r="AG648" s="1262">
        <v>1</v>
      </c>
      <c r="AH648" s="1365" t="s">
        <v>1328</v>
      </c>
      <c r="AI648" s="1380">
        <v>45448</v>
      </c>
      <c r="AJ648" s="1380">
        <v>45449</v>
      </c>
      <c r="AK648" s="1381">
        <f>37700+20911</f>
        <v>58611</v>
      </c>
      <c r="AL648" s="1227">
        <f t="shared" si="74"/>
        <v>0.97685</v>
      </c>
      <c r="AM648" s="1382" t="s">
        <v>62</v>
      </c>
      <c r="AN648" s="1367">
        <v>1</v>
      </c>
      <c r="AO648" s="1276"/>
      <c r="AP648" s="1277"/>
      <c r="AQ648" s="1276"/>
      <c r="AR648" s="1278"/>
      <c r="AS648" s="1278"/>
    </row>
    <row r="649" spans="1:45" ht="15.6">
      <c r="A649" s="1097" t="s">
        <v>53</v>
      </c>
      <c r="B649" s="1103" t="s">
        <v>1322</v>
      </c>
      <c r="C649" s="1098" t="s">
        <v>1323</v>
      </c>
      <c r="D649" s="1098" t="s">
        <v>1324</v>
      </c>
      <c r="E649" s="1473" t="s">
        <v>57</v>
      </c>
      <c r="F649" s="856">
        <v>2024</v>
      </c>
      <c r="G649" s="1099">
        <v>45427</v>
      </c>
      <c r="H649" s="3">
        <v>200106141</v>
      </c>
      <c r="I649" s="1454" t="s">
        <v>1435</v>
      </c>
      <c r="J649" s="1144">
        <v>66</v>
      </c>
      <c r="K649" s="1174" t="s">
        <v>144</v>
      </c>
      <c r="L649" s="8" t="s">
        <v>60</v>
      </c>
      <c r="M649" s="1350">
        <v>549</v>
      </c>
      <c r="N649" s="785">
        <v>122.25</v>
      </c>
      <c r="O649" s="1179">
        <v>45441</v>
      </c>
      <c r="P649" s="1043">
        <v>45440</v>
      </c>
      <c r="Q649" s="953"/>
      <c r="R649" s="785">
        <v>3.44</v>
      </c>
      <c r="S649" s="851" t="s">
        <v>62</v>
      </c>
      <c r="T649" s="1383" t="s">
        <v>75</v>
      </c>
      <c r="U649" s="784" t="s">
        <v>75</v>
      </c>
      <c r="V649" s="1350">
        <v>560.02</v>
      </c>
      <c r="W649" s="1350">
        <v>451.48</v>
      </c>
      <c r="X649" s="1313">
        <v>45443</v>
      </c>
      <c r="Y649" s="1313">
        <v>45442</v>
      </c>
      <c r="Z649" s="856" t="s">
        <v>62</v>
      </c>
      <c r="AA649" s="1284" t="s">
        <v>1327</v>
      </c>
      <c r="AB649" s="1175">
        <v>45446</v>
      </c>
      <c r="AC649" s="1175">
        <v>45446</v>
      </c>
      <c r="AD649" s="1359">
        <f>304+677</f>
        <v>981</v>
      </c>
      <c r="AE649" s="1227">
        <v>0.96557018838953501</v>
      </c>
      <c r="AF649" s="1231" t="s">
        <v>64</v>
      </c>
      <c r="AG649" s="1262">
        <v>1</v>
      </c>
      <c r="AH649" s="1365" t="s">
        <v>1328</v>
      </c>
      <c r="AI649" s="1380">
        <v>45447</v>
      </c>
      <c r="AJ649" s="1380">
        <v>45448</v>
      </c>
      <c r="AK649" s="1381">
        <f>14900+43094</f>
        <v>57994</v>
      </c>
      <c r="AL649" s="1227">
        <f t="shared" si="74"/>
        <v>0.96656666666666669</v>
      </c>
      <c r="AM649" s="1382" t="s">
        <v>62</v>
      </c>
      <c r="AN649" s="1367">
        <v>1</v>
      </c>
      <c r="AO649" s="1276"/>
      <c r="AP649" s="1277"/>
      <c r="AQ649" s="1276"/>
      <c r="AR649" s="1278"/>
      <c r="AS649" s="1278"/>
    </row>
    <row r="650" spans="1:45" ht="15.6">
      <c r="A650" s="1097" t="s">
        <v>53</v>
      </c>
      <c r="B650" s="1103" t="s">
        <v>1322</v>
      </c>
      <c r="C650" s="1098" t="s">
        <v>1323</v>
      </c>
      <c r="D650" s="1098" t="s">
        <v>1324</v>
      </c>
      <c r="E650" s="1473" t="s">
        <v>57</v>
      </c>
      <c r="F650" s="856">
        <v>2024</v>
      </c>
      <c r="G650" s="1099">
        <v>45427</v>
      </c>
      <c r="H650" s="3">
        <v>200106142</v>
      </c>
      <c r="I650" s="1454" t="s">
        <v>1436</v>
      </c>
      <c r="J650" s="1144">
        <v>67</v>
      </c>
      <c r="K650" s="1174" t="s">
        <v>144</v>
      </c>
      <c r="L650" s="8" t="s">
        <v>60</v>
      </c>
      <c r="M650" s="1350">
        <v>549.5</v>
      </c>
      <c r="N650" s="865">
        <v>122.39</v>
      </c>
      <c r="O650" s="1179">
        <v>45441</v>
      </c>
      <c r="P650" s="1043">
        <v>45441</v>
      </c>
      <c r="Q650" s="953"/>
      <c r="R650" s="1044">
        <v>3.59</v>
      </c>
      <c r="S650" s="851" t="s">
        <v>62</v>
      </c>
      <c r="T650" s="1383" t="s">
        <v>75</v>
      </c>
      <c r="U650" s="784" t="s">
        <v>75</v>
      </c>
      <c r="V650" s="1350">
        <v>560.08000000000004</v>
      </c>
      <c r="W650" s="1350">
        <v>451.56</v>
      </c>
      <c r="X650" s="1313">
        <v>45443</v>
      </c>
      <c r="Y650" s="1313">
        <v>45442</v>
      </c>
      <c r="Z650" s="856" t="s">
        <v>62</v>
      </c>
      <c r="AA650" s="1284" t="s">
        <v>1327</v>
      </c>
      <c r="AB650" s="1175">
        <v>45447</v>
      </c>
      <c r="AC650" s="1175">
        <v>45447</v>
      </c>
      <c r="AD650" s="1359">
        <f>710+273</f>
        <v>983</v>
      </c>
      <c r="AE650" s="1227">
        <v>0.96753873107738297</v>
      </c>
      <c r="AF650" s="1231" t="s">
        <v>64</v>
      </c>
      <c r="AG650" s="1262">
        <v>1</v>
      </c>
      <c r="AH650" s="1365" t="s">
        <v>1328</v>
      </c>
      <c r="AI650" s="1380">
        <v>45448</v>
      </c>
      <c r="AJ650" s="1380">
        <v>45448</v>
      </c>
      <c r="AK650" s="1381">
        <f>1400+40600+16167</f>
        <v>58167</v>
      </c>
      <c r="AL650" s="1227">
        <f t="shared" si="74"/>
        <v>0.96945000000000003</v>
      </c>
      <c r="AM650" s="1382" t="s">
        <v>62</v>
      </c>
      <c r="AN650" s="1367">
        <v>1</v>
      </c>
      <c r="AO650" s="1276"/>
      <c r="AP650" s="1277"/>
      <c r="AQ650" s="1276"/>
      <c r="AR650" s="1278"/>
      <c r="AS650" s="1278"/>
    </row>
    <row r="651" spans="1:45" ht="15.6">
      <c r="A651" s="1097" t="s">
        <v>53</v>
      </c>
      <c r="B651" s="1103" t="s">
        <v>1322</v>
      </c>
      <c r="C651" s="1098" t="s">
        <v>1323</v>
      </c>
      <c r="D651" s="1098" t="s">
        <v>1324</v>
      </c>
      <c r="E651" s="1473" t="s">
        <v>57</v>
      </c>
      <c r="F651" s="856">
        <v>2024</v>
      </c>
      <c r="G651" s="1099">
        <v>45427</v>
      </c>
      <c r="H651" s="3">
        <v>200105951</v>
      </c>
      <c r="I651" s="1454" t="s">
        <v>1437</v>
      </c>
      <c r="J651" s="1144">
        <v>68</v>
      </c>
      <c r="K651" s="1174" t="s">
        <v>144</v>
      </c>
      <c r="L651" s="8" t="s">
        <v>60</v>
      </c>
      <c r="M651" s="1350">
        <v>546</v>
      </c>
      <c r="N651" s="865">
        <v>122.47</v>
      </c>
      <c r="O651" s="1179">
        <v>45441</v>
      </c>
      <c r="P651" s="1043">
        <v>45441</v>
      </c>
      <c r="Q651" s="953"/>
      <c r="R651" s="1044">
        <v>3.46</v>
      </c>
      <c r="S651" s="851" t="s">
        <v>62</v>
      </c>
      <c r="T651" s="1383" t="s">
        <v>75</v>
      </c>
      <c r="U651" s="784" t="s">
        <v>75</v>
      </c>
      <c r="V651" s="1350">
        <v>557</v>
      </c>
      <c r="W651" s="1350">
        <v>451.84</v>
      </c>
      <c r="X651" s="1313">
        <v>45443</v>
      </c>
      <c r="Y651" s="1313">
        <v>45442</v>
      </c>
      <c r="Z651" s="856" t="s">
        <v>62</v>
      </c>
      <c r="AA651" s="1284" t="s">
        <v>1333</v>
      </c>
      <c r="AB651" s="1175">
        <v>45447</v>
      </c>
      <c r="AC651" s="1175">
        <v>45447</v>
      </c>
      <c r="AD651" s="1359">
        <f>330+650</f>
        <v>980</v>
      </c>
      <c r="AE651" s="1227">
        <v>0.96458591704561103</v>
      </c>
      <c r="AF651" s="1231" t="s">
        <v>64</v>
      </c>
      <c r="AG651" s="1262">
        <v>1</v>
      </c>
      <c r="AH651" s="1365" t="s">
        <v>1328</v>
      </c>
      <c r="AI651" s="1380">
        <v>45449</v>
      </c>
      <c r="AJ651" s="1380">
        <v>45449</v>
      </c>
      <c r="AK651" s="1381">
        <f>39500+18425</f>
        <v>57925</v>
      </c>
      <c r="AL651" s="1227">
        <f t="shared" si="74"/>
        <v>0.9654166666666667</v>
      </c>
      <c r="AM651" s="1382" t="s">
        <v>62</v>
      </c>
      <c r="AN651" s="1367">
        <v>1</v>
      </c>
      <c r="AO651" s="1276"/>
      <c r="AP651" s="1277"/>
      <c r="AQ651" s="1276"/>
      <c r="AR651" s="1278"/>
      <c r="AS651" s="1278"/>
    </row>
    <row r="652" spans="1:45" ht="15.6">
      <c r="A652" s="1097" t="s">
        <v>53</v>
      </c>
      <c r="B652" s="1103" t="s">
        <v>1322</v>
      </c>
      <c r="C652" s="1098" t="s">
        <v>1323</v>
      </c>
      <c r="D652" s="1098" t="s">
        <v>1324</v>
      </c>
      <c r="E652" s="1473" t="s">
        <v>57</v>
      </c>
      <c r="F652" s="856">
        <v>2024</v>
      </c>
      <c r="G652" s="1099">
        <v>45427</v>
      </c>
      <c r="H652" s="3">
        <v>200105952</v>
      </c>
      <c r="I652" s="1454" t="s">
        <v>1438</v>
      </c>
      <c r="J652" s="1144">
        <v>69</v>
      </c>
      <c r="K652" s="1174" t="s">
        <v>144</v>
      </c>
      <c r="L652" s="8" t="s">
        <v>60</v>
      </c>
      <c r="M652" s="1350">
        <v>558.04</v>
      </c>
      <c r="N652" s="865">
        <v>122.56</v>
      </c>
      <c r="O652" s="1179">
        <v>45441</v>
      </c>
      <c r="P652" s="1043">
        <v>45441</v>
      </c>
      <c r="Q652" s="953"/>
      <c r="R652" s="1044">
        <v>3.64</v>
      </c>
      <c r="S652" s="851" t="s">
        <v>62</v>
      </c>
      <c r="T652" s="1383" t="s">
        <v>75</v>
      </c>
      <c r="U652" s="784" t="s">
        <v>75</v>
      </c>
      <c r="V652" s="1350">
        <v>569.12</v>
      </c>
      <c r="W652" s="1350">
        <v>452</v>
      </c>
      <c r="X652" s="1313">
        <v>45443</v>
      </c>
      <c r="Y652" s="1313">
        <v>45442</v>
      </c>
      <c r="Z652" s="856" t="s">
        <v>62</v>
      </c>
      <c r="AA652" s="1284" t="s">
        <v>1327</v>
      </c>
      <c r="AB652" s="1175">
        <v>45447</v>
      </c>
      <c r="AC652" s="1175">
        <v>45447</v>
      </c>
      <c r="AD652" s="1359">
        <f>396+595</f>
        <v>991</v>
      </c>
      <c r="AE652" s="1227">
        <v>0.97541290182877605</v>
      </c>
      <c r="AF652" s="1231" t="s">
        <v>64</v>
      </c>
      <c r="AG652" s="1262">
        <v>1</v>
      </c>
      <c r="AH652" s="1365" t="s">
        <v>1328</v>
      </c>
      <c r="AI652" s="1380">
        <v>45449</v>
      </c>
      <c r="AJ652" s="1380">
        <v>45449</v>
      </c>
      <c r="AK652" s="1381">
        <f>43100+15516</f>
        <v>58616</v>
      </c>
      <c r="AL652" s="1227">
        <f t="shared" si="74"/>
        <v>0.97693333333333332</v>
      </c>
      <c r="AM652" s="1382" t="s">
        <v>62</v>
      </c>
      <c r="AN652" s="1367">
        <v>1</v>
      </c>
      <c r="AO652" s="1276"/>
      <c r="AP652" s="1277"/>
      <c r="AQ652" s="1276"/>
      <c r="AR652" s="1278"/>
      <c r="AS652" s="1278"/>
    </row>
    <row r="653" spans="1:45" ht="15.6">
      <c r="A653" s="1097" t="s">
        <v>53</v>
      </c>
      <c r="B653" s="1103" t="s">
        <v>1322</v>
      </c>
      <c r="C653" s="1098" t="s">
        <v>1323</v>
      </c>
      <c r="D653" s="1098" t="s">
        <v>1324</v>
      </c>
      <c r="E653" s="1473" t="s">
        <v>57</v>
      </c>
      <c r="F653" s="856">
        <v>2024</v>
      </c>
      <c r="G653" s="1099">
        <v>45427</v>
      </c>
      <c r="H653" s="3">
        <v>200105953</v>
      </c>
      <c r="I653" s="1454" t="s">
        <v>1439</v>
      </c>
      <c r="J653" s="1144">
        <v>70</v>
      </c>
      <c r="K653" s="1174" t="s">
        <v>144</v>
      </c>
      <c r="L653" s="8" t="s">
        <v>60</v>
      </c>
      <c r="M653" s="1350">
        <v>549</v>
      </c>
      <c r="N653" s="865">
        <v>125.44</v>
      </c>
      <c r="O653" s="1179" t="s">
        <v>1440</v>
      </c>
      <c r="P653" s="1043">
        <v>45441</v>
      </c>
      <c r="Q653" s="953"/>
      <c r="R653" s="1044">
        <v>3.61</v>
      </c>
      <c r="S653" s="851" t="s">
        <v>62</v>
      </c>
      <c r="T653" s="1383" t="s">
        <v>75</v>
      </c>
      <c r="U653" s="784" t="s">
        <v>75</v>
      </c>
      <c r="V653" s="1350">
        <v>560.52</v>
      </c>
      <c r="W653" s="1350">
        <v>454.52</v>
      </c>
      <c r="X653" s="1313">
        <v>45443</v>
      </c>
      <c r="Y653" s="1313">
        <v>45443</v>
      </c>
      <c r="Z653" s="856" t="s">
        <v>62</v>
      </c>
      <c r="AA653" s="1284" t="s">
        <v>1333</v>
      </c>
      <c r="AB653" s="1175">
        <v>45447</v>
      </c>
      <c r="AC653" s="1175">
        <v>45448</v>
      </c>
      <c r="AD653" s="1359">
        <f>756+236</f>
        <v>992</v>
      </c>
      <c r="AE653" s="1227">
        <v>0.97639717317270003</v>
      </c>
      <c r="AF653" s="1231" t="s">
        <v>64</v>
      </c>
      <c r="AG653" s="1262">
        <v>1</v>
      </c>
      <c r="AH653" s="1365" t="s">
        <v>1328</v>
      </c>
      <c r="AI653" s="1380">
        <v>45449</v>
      </c>
      <c r="AJ653" s="1380">
        <v>45450</v>
      </c>
      <c r="AK653" s="1381">
        <f>45500+13178</f>
        <v>58678</v>
      </c>
      <c r="AL653" s="1227">
        <f t="shared" si="74"/>
        <v>0.97796666666666665</v>
      </c>
      <c r="AM653" s="1382" t="s">
        <v>62</v>
      </c>
      <c r="AN653" s="1367">
        <v>1</v>
      </c>
      <c r="AO653" s="1276"/>
      <c r="AP653" s="1277"/>
      <c r="AQ653" s="1276"/>
      <c r="AR653" s="1278"/>
      <c r="AS653" s="1278"/>
    </row>
    <row r="654" spans="1:45" ht="15.6">
      <c r="A654" s="1097" t="s">
        <v>53</v>
      </c>
      <c r="B654" s="1103" t="s">
        <v>1322</v>
      </c>
      <c r="C654" s="1098" t="s">
        <v>1323</v>
      </c>
      <c r="D654" s="1098" t="s">
        <v>1324</v>
      </c>
      <c r="E654" s="1473" t="s">
        <v>57</v>
      </c>
      <c r="F654" s="856">
        <v>2024</v>
      </c>
      <c r="G654" s="1099">
        <v>45427</v>
      </c>
      <c r="H654" s="3">
        <v>200105954</v>
      </c>
      <c r="I654" s="1454" t="s">
        <v>1441</v>
      </c>
      <c r="J654" s="1144">
        <v>71</v>
      </c>
      <c r="K654" s="1174" t="s">
        <v>144</v>
      </c>
      <c r="L654" s="8" t="s">
        <v>60</v>
      </c>
      <c r="M654" s="1350">
        <v>549.5</v>
      </c>
      <c r="N654" s="858">
        <v>125.36</v>
      </c>
      <c r="O654" s="1179">
        <v>45442</v>
      </c>
      <c r="P654" s="1043">
        <v>45441</v>
      </c>
      <c r="Q654" s="953"/>
      <c r="R654" s="1044">
        <v>3.74</v>
      </c>
      <c r="S654" s="851" t="s">
        <v>62</v>
      </c>
      <c r="T654" s="856" t="s">
        <v>63</v>
      </c>
      <c r="U654" s="784" t="s">
        <v>75</v>
      </c>
      <c r="V654" s="1350">
        <v>560.70000000000005</v>
      </c>
      <c r="W654" s="1350">
        <v>454.86</v>
      </c>
      <c r="X654" s="1313">
        <v>45446</v>
      </c>
      <c r="Y654" s="1313">
        <v>45443</v>
      </c>
      <c r="Z654" s="856" t="s">
        <v>62</v>
      </c>
      <c r="AA654" s="1284" t="s">
        <v>1327</v>
      </c>
      <c r="AB654" s="1175">
        <v>45447</v>
      </c>
      <c r="AC654" s="1175">
        <v>45448</v>
      </c>
      <c r="AD654" s="1359">
        <f>112+650+226</f>
        <v>988</v>
      </c>
      <c r="AE654" s="1227">
        <v>0.97246008779700399</v>
      </c>
      <c r="AF654" s="1231" t="s">
        <v>64</v>
      </c>
      <c r="AG654" s="1262">
        <v>1</v>
      </c>
      <c r="AH654" s="1365" t="s">
        <v>1328</v>
      </c>
      <c r="AI654" s="1380">
        <v>45450</v>
      </c>
      <c r="AJ654" s="1380">
        <v>45450</v>
      </c>
      <c r="AK654" s="1381">
        <f>10500+38500+9419</f>
        <v>58419</v>
      </c>
      <c r="AL654" s="1227">
        <f t="shared" si="74"/>
        <v>0.97365000000000002</v>
      </c>
      <c r="AM654" s="1382" t="s">
        <v>62</v>
      </c>
      <c r="AN654" s="1367">
        <v>1</v>
      </c>
      <c r="AO654" s="1276"/>
      <c r="AP654" s="1277"/>
      <c r="AQ654" s="1276"/>
      <c r="AR654" s="1278"/>
      <c r="AS654" s="1278"/>
    </row>
    <row r="655" spans="1:45" ht="15.6">
      <c r="A655" s="1097" t="s">
        <v>53</v>
      </c>
      <c r="B655" s="1103" t="s">
        <v>1322</v>
      </c>
      <c r="C655" s="1098" t="s">
        <v>1323</v>
      </c>
      <c r="D655" s="1098" t="s">
        <v>1324</v>
      </c>
      <c r="E655" s="1473" t="s">
        <v>57</v>
      </c>
      <c r="F655" s="856">
        <v>2024</v>
      </c>
      <c r="G655" s="1099">
        <v>45427</v>
      </c>
      <c r="H655" s="3">
        <v>200105955</v>
      </c>
      <c r="I655" s="1454" t="s">
        <v>1442</v>
      </c>
      <c r="J655" s="1144">
        <v>72</v>
      </c>
      <c r="K655" s="1174" t="s">
        <v>144</v>
      </c>
      <c r="L655" s="8" t="s">
        <v>60</v>
      </c>
      <c r="M655" s="1350">
        <v>548</v>
      </c>
      <c r="N655" s="858">
        <v>122.4</v>
      </c>
      <c r="O655" s="1179">
        <v>45442</v>
      </c>
      <c r="P655" s="1043">
        <v>45443</v>
      </c>
      <c r="Q655" s="953"/>
      <c r="R655" s="1044">
        <v>3.7</v>
      </c>
      <c r="S655" s="851" t="s">
        <v>62</v>
      </c>
      <c r="T655" s="856" t="s">
        <v>63</v>
      </c>
      <c r="U655" s="784" t="s">
        <v>75</v>
      </c>
      <c r="V655" s="1350">
        <v>559.19000000000005</v>
      </c>
      <c r="W655" s="1350">
        <v>452.8</v>
      </c>
      <c r="X655" s="1313">
        <v>45446</v>
      </c>
      <c r="Y655" s="1313">
        <v>45443</v>
      </c>
      <c r="Z655" s="856" t="s">
        <v>62</v>
      </c>
      <c r="AA655" s="1284" t="s">
        <v>1333</v>
      </c>
      <c r="AB655" s="1175">
        <v>45448</v>
      </c>
      <c r="AC655" s="1175">
        <v>45448</v>
      </c>
      <c r="AD655" s="1359">
        <f>538+447</f>
        <v>985</v>
      </c>
      <c r="AE655" s="1227">
        <v>0.96950727376523205</v>
      </c>
      <c r="AF655" s="1231" t="s">
        <v>64</v>
      </c>
      <c r="AG655" s="1262">
        <v>1</v>
      </c>
      <c r="AH655" s="1365" t="s">
        <v>1344</v>
      </c>
      <c r="AI655" s="1380">
        <v>45450</v>
      </c>
      <c r="AJ655" s="1380"/>
      <c r="AK655" s="1381">
        <f>24200+29810+1582</f>
        <v>55592</v>
      </c>
      <c r="AL655" s="1227">
        <f t="shared" si="74"/>
        <v>0.92653333333333332</v>
      </c>
      <c r="AM655" s="1250" t="s">
        <v>1443</v>
      </c>
      <c r="AN655" s="1367">
        <f>AL655/1</f>
        <v>0.92653333333333332</v>
      </c>
      <c r="AO655" s="1276"/>
      <c r="AP655" s="1277"/>
      <c r="AQ655" s="1276"/>
      <c r="AR655" s="1278"/>
      <c r="AS655" s="1278"/>
    </row>
    <row r="656" spans="1:45" ht="15.6">
      <c r="A656" s="1097" t="s">
        <v>53</v>
      </c>
      <c r="B656" s="1103" t="s">
        <v>1322</v>
      </c>
      <c r="C656" s="1098" t="s">
        <v>1323</v>
      </c>
      <c r="D656" s="1098" t="s">
        <v>1324</v>
      </c>
      <c r="E656" s="1473" t="s">
        <v>57</v>
      </c>
      <c r="F656" s="856">
        <v>2024</v>
      </c>
      <c r="G656" s="1099">
        <v>45427</v>
      </c>
      <c r="H656" s="3">
        <v>200106138</v>
      </c>
      <c r="I656" s="1454" t="s">
        <v>1444</v>
      </c>
      <c r="J656" s="1144">
        <v>73</v>
      </c>
      <c r="K656" s="1174" t="s">
        <v>144</v>
      </c>
      <c r="L656" s="8" t="s">
        <v>60</v>
      </c>
      <c r="M656" s="1350">
        <f>368.5+189.5</f>
        <v>558</v>
      </c>
      <c r="N656" s="858">
        <v>122.39</v>
      </c>
      <c r="O656" s="1179">
        <v>45442</v>
      </c>
      <c r="P656" s="1043">
        <v>45443</v>
      </c>
      <c r="Q656" s="953"/>
      <c r="R656" s="1044">
        <v>3.67</v>
      </c>
      <c r="S656" s="851" t="s">
        <v>62</v>
      </c>
      <c r="T656" s="856" t="s">
        <v>63</v>
      </c>
      <c r="U656" s="784" t="s">
        <v>75</v>
      </c>
      <c r="V656" s="1350">
        <v>569.05999999999995</v>
      </c>
      <c r="W656" s="1350">
        <v>451.94</v>
      </c>
      <c r="X656" s="1313">
        <v>45446</v>
      </c>
      <c r="Y656" s="1313">
        <v>45443</v>
      </c>
      <c r="Z656" s="856" t="s">
        <v>62</v>
      </c>
      <c r="AA656" s="1284" t="s">
        <v>1327</v>
      </c>
      <c r="AB656" s="1175">
        <v>45448</v>
      </c>
      <c r="AC656" s="1175">
        <v>45448</v>
      </c>
      <c r="AD656" s="1359">
        <f>452+540</f>
        <v>992</v>
      </c>
      <c r="AE656" s="1227">
        <v>0.97639717317270003</v>
      </c>
      <c r="AF656" s="1231" t="s">
        <v>64</v>
      </c>
      <c r="AG656" s="1262">
        <v>1</v>
      </c>
      <c r="AH656" s="1365" t="s">
        <v>1328</v>
      </c>
      <c r="AI656" s="1380">
        <v>45450</v>
      </c>
      <c r="AJ656" s="1380">
        <v>45452</v>
      </c>
      <c r="AK656" s="1381">
        <f>26000+32010</f>
        <v>58010</v>
      </c>
      <c r="AL656" s="1227">
        <f t="shared" si="74"/>
        <v>0.96683333333333332</v>
      </c>
      <c r="AM656" s="1382" t="s">
        <v>62</v>
      </c>
      <c r="AN656" s="1367">
        <v>1</v>
      </c>
      <c r="AO656" s="1276"/>
      <c r="AP656" s="1277"/>
      <c r="AQ656" s="1276"/>
      <c r="AR656" s="1278"/>
      <c r="AS656" s="1278"/>
    </row>
    <row r="657" spans="1:45" ht="15.6">
      <c r="A657" s="1097" t="s">
        <v>53</v>
      </c>
      <c r="B657" s="1103" t="s">
        <v>1322</v>
      </c>
      <c r="C657" s="1098" t="s">
        <v>1323</v>
      </c>
      <c r="D657" s="1098" t="s">
        <v>1324</v>
      </c>
      <c r="E657" s="1473" t="s">
        <v>57</v>
      </c>
      <c r="F657" s="856">
        <v>2024</v>
      </c>
      <c r="G657" s="1099">
        <v>45427</v>
      </c>
      <c r="H657" s="3">
        <v>200106139</v>
      </c>
      <c r="I657" s="1454" t="s">
        <v>1445</v>
      </c>
      <c r="J657" s="1144">
        <v>74</v>
      </c>
      <c r="K657" s="1174" t="s">
        <v>144</v>
      </c>
      <c r="L657" s="8" t="s">
        <v>60</v>
      </c>
      <c r="M657" s="1350">
        <v>548.5</v>
      </c>
      <c r="N657" s="858">
        <v>122.4</v>
      </c>
      <c r="O657" s="1179">
        <v>45443</v>
      </c>
      <c r="P657" s="1043">
        <v>45443</v>
      </c>
      <c r="Q657" s="953"/>
      <c r="R657" s="1044">
        <v>3.54</v>
      </c>
      <c r="S657" s="851" t="s">
        <v>62</v>
      </c>
      <c r="T657" s="856" t="s">
        <v>63</v>
      </c>
      <c r="U657" s="856" t="s">
        <v>69</v>
      </c>
      <c r="V657" s="1350">
        <v>569.46</v>
      </c>
      <c r="W657" s="1350">
        <v>452.02</v>
      </c>
      <c r="X657" s="1313">
        <v>45446</v>
      </c>
      <c r="Y657" s="1313">
        <v>45446</v>
      </c>
      <c r="Z657" s="856" t="s">
        <v>62</v>
      </c>
      <c r="AA657" s="1284" t="s">
        <v>1333</v>
      </c>
      <c r="AB657" s="1175">
        <v>45448</v>
      </c>
      <c r="AC657" s="1175">
        <v>45448</v>
      </c>
      <c r="AD657" s="1359">
        <f>294+692</f>
        <v>986</v>
      </c>
      <c r="AE657" s="1227">
        <v>0.97049154510915603</v>
      </c>
      <c r="AF657" s="1231" t="s">
        <v>64</v>
      </c>
      <c r="AG657" s="1262">
        <v>1</v>
      </c>
      <c r="AH657" s="1365" t="s">
        <v>1328</v>
      </c>
      <c r="AI657" s="1380">
        <v>45452</v>
      </c>
      <c r="AJ657" s="1380">
        <v>45453</v>
      </c>
      <c r="AK657" s="1381">
        <f>39055+19171</f>
        <v>58226</v>
      </c>
      <c r="AL657" s="1227">
        <f t="shared" si="74"/>
        <v>0.97043333333333337</v>
      </c>
      <c r="AM657" s="1382" t="s">
        <v>62</v>
      </c>
      <c r="AN657" s="1367">
        <v>1</v>
      </c>
      <c r="AO657" s="1276"/>
      <c r="AP657" s="1277"/>
      <c r="AQ657" s="1276"/>
      <c r="AR657" s="1278"/>
      <c r="AS657" s="1278"/>
    </row>
    <row r="658" spans="1:45" ht="15.6">
      <c r="A658" s="1097" t="s">
        <v>53</v>
      </c>
      <c r="B658" s="1103" t="s">
        <v>1322</v>
      </c>
      <c r="C658" s="1098" t="s">
        <v>1323</v>
      </c>
      <c r="D658" s="1098" t="s">
        <v>1324</v>
      </c>
      <c r="E658" s="1473" t="s">
        <v>57</v>
      </c>
      <c r="F658" s="856">
        <v>2024</v>
      </c>
      <c r="G658" s="1099">
        <v>45427</v>
      </c>
      <c r="H658" s="3">
        <v>200106180</v>
      </c>
      <c r="I658" s="1454" t="s">
        <v>1446</v>
      </c>
      <c r="J658" s="1144">
        <v>75</v>
      </c>
      <c r="K658" s="1174" t="s">
        <v>144</v>
      </c>
      <c r="L658" s="8" t="s">
        <v>60</v>
      </c>
      <c r="M658" s="1350">
        <v>548</v>
      </c>
      <c r="N658" s="858">
        <v>124</v>
      </c>
      <c r="O658" s="1179">
        <v>45443</v>
      </c>
      <c r="P658" s="1043">
        <v>45443</v>
      </c>
      <c r="Q658" s="953"/>
      <c r="R658" s="1044">
        <v>3.52</v>
      </c>
      <c r="S658" s="851" t="s">
        <v>62</v>
      </c>
      <c r="T658" s="856" t="s">
        <v>63</v>
      </c>
      <c r="U658" s="856" t="s">
        <v>69</v>
      </c>
      <c r="V658" s="1350">
        <v>560.17999999999995</v>
      </c>
      <c r="W658" s="1350">
        <v>453.52</v>
      </c>
      <c r="X658" s="1313">
        <v>45446</v>
      </c>
      <c r="Y658" s="1313">
        <v>45446</v>
      </c>
      <c r="Z658" s="856" t="s">
        <v>62</v>
      </c>
      <c r="AA658" s="1284" t="s">
        <v>1327</v>
      </c>
      <c r="AB658" s="1175">
        <v>45448</v>
      </c>
      <c r="AC658" s="1175">
        <v>45449</v>
      </c>
      <c r="AD658" s="1359">
        <f>187+737+63</f>
        <v>987</v>
      </c>
      <c r="AE658" s="1227">
        <v>0.97147581645308001</v>
      </c>
      <c r="AF658" s="1231" t="s">
        <v>64</v>
      </c>
      <c r="AG658" s="1262">
        <v>1</v>
      </c>
      <c r="AH658" s="1365" t="s">
        <v>1344</v>
      </c>
      <c r="AI658" s="1380">
        <v>45453</v>
      </c>
      <c r="AJ658" s="1380">
        <v>45454</v>
      </c>
      <c r="AK658" s="1381">
        <f>31000+16719+10608</f>
        <v>58327</v>
      </c>
      <c r="AL658" s="1227">
        <f t="shared" si="74"/>
        <v>0.97211666666666663</v>
      </c>
      <c r="AM658" s="1382" t="s">
        <v>62</v>
      </c>
      <c r="AN658" s="1367">
        <v>1</v>
      </c>
      <c r="AO658" s="1276"/>
      <c r="AP658" s="1277"/>
      <c r="AQ658" s="1276"/>
      <c r="AR658" s="1278"/>
      <c r="AS658" s="1278"/>
    </row>
    <row r="659" spans="1:45" ht="15.6">
      <c r="A659" s="1097" t="s">
        <v>53</v>
      </c>
      <c r="B659" s="1103" t="s">
        <v>1322</v>
      </c>
      <c r="C659" s="1098" t="s">
        <v>1323</v>
      </c>
      <c r="D659" s="1098" t="s">
        <v>1324</v>
      </c>
      <c r="E659" s="1473" t="s">
        <v>57</v>
      </c>
      <c r="F659" s="856">
        <v>2024</v>
      </c>
      <c r="G659" s="1099">
        <v>45427</v>
      </c>
      <c r="H659" s="3">
        <v>200106181</v>
      </c>
      <c r="I659" s="1454" t="s">
        <v>1447</v>
      </c>
      <c r="J659" s="1144">
        <v>76</v>
      </c>
      <c r="K659" s="1174" t="s">
        <v>144</v>
      </c>
      <c r="L659" s="8" t="s">
        <v>60</v>
      </c>
      <c r="M659" s="1350">
        <v>558</v>
      </c>
      <c r="N659" s="858">
        <v>126.24</v>
      </c>
      <c r="O659" s="1179">
        <v>45443</v>
      </c>
      <c r="P659" s="1043">
        <v>45443</v>
      </c>
      <c r="Q659" s="953"/>
      <c r="R659" s="1044">
        <v>3.68</v>
      </c>
      <c r="S659" s="851" t="s">
        <v>62</v>
      </c>
      <c r="T659" s="856" t="s">
        <v>63</v>
      </c>
      <c r="U659" s="856" t="s">
        <v>69</v>
      </c>
      <c r="V659" s="1350">
        <v>568.74</v>
      </c>
      <c r="W659" s="1350">
        <v>455.83</v>
      </c>
      <c r="X659" s="1313">
        <v>45446</v>
      </c>
      <c r="Y659" s="1313">
        <v>45446</v>
      </c>
      <c r="Z659" s="856" t="s">
        <v>62</v>
      </c>
      <c r="AA659" s="1284" t="s">
        <v>1333</v>
      </c>
      <c r="AB659" s="1175">
        <v>45448</v>
      </c>
      <c r="AC659" s="1175">
        <v>45449</v>
      </c>
      <c r="AD659" s="1359">
        <f>116+808+76</f>
        <v>1000</v>
      </c>
      <c r="AE659" s="1227">
        <v>0.98427134392409299</v>
      </c>
      <c r="AF659" s="1231" t="s">
        <v>64</v>
      </c>
      <c r="AG659" s="1262">
        <v>1</v>
      </c>
      <c r="AH659" s="1365" t="s">
        <v>1328</v>
      </c>
      <c r="AI659" s="1380">
        <v>45453</v>
      </c>
      <c r="AJ659" s="1380">
        <v>45453</v>
      </c>
      <c r="AK659" s="1381">
        <f>39000+20109</f>
        <v>59109</v>
      </c>
      <c r="AL659" s="1227">
        <f t="shared" si="74"/>
        <v>0.98514999999999997</v>
      </c>
      <c r="AM659" s="1382" t="s">
        <v>62</v>
      </c>
      <c r="AN659" s="1367">
        <v>1</v>
      </c>
      <c r="AO659" s="1276"/>
      <c r="AP659" s="1277"/>
      <c r="AQ659" s="1276"/>
      <c r="AR659" s="1278"/>
      <c r="AS659" s="1278"/>
    </row>
    <row r="660" spans="1:45" ht="15.6">
      <c r="A660" s="1097" t="s">
        <v>53</v>
      </c>
      <c r="B660" s="1103" t="s">
        <v>1322</v>
      </c>
      <c r="C660" s="1098" t="s">
        <v>1323</v>
      </c>
      <c r="D660" s="1098" t="s">
        <v>1324</v>
      </c>
      <c r="E660" s="1473" t="s">
        <v>57</v>
      </c>
      <c r="F660" s="856">
        <v>2024</v>
      </c>
      <c r="G660" s="1099">
        <v>45427</v>
      </c>
      <c r="H660" s="3">
        <v>200106182</v>
      </c>
      <c r="I660" s="1454" t="s">
        <v>1448</v>
      </c>
      <c r="J660" s="1144">
        <v>77</v>
      </c>
      <c r="K660" s="760" t="s">
        <v>128</v>
      </c>
      <c r="L660" s="8" t="s">
        <v>60</v>
      </c>
      <c r="M660" s="865">
        <v>545.15</v>
      </c>
      <c r="N660" s="786">
        <v>124.22</v>
      </c>
      <c r="O660" s="1043">
        <v>45446</v>
      </c>
      <c r="P660" s="1043">
        <v>45447</v>
      </c>
      <c r="Q660" s="4" t="s">
        <v>1449</v>
      </c>
      <c r="R660" s="3">
        <v>3.51</v>
      </c>
      <c r="S660" s="851" t="s">
        <v>62</v>
      </c>
      <c r="T660" s="856" t="s">
        <v>75</v>
      </c>
      <c r="U660" s="856" t="s">
        <v>69</v>
      </c>
      <c r="V660" s="1350">
        <v>555.91999999999996</v>
      </c>
      <c r="W660" s="1350">
        <v>453.6</v>
      </c>
      <c r="X660" s="1313">
        <v>45448</v>
      </c>
      <c r="Y660" s="1313">
        <v>45448</v>
      </c>
      <c r="Z660" s="856" t="s">
        <v>62</v>
      </c>
      <c r="AA660" s="1284" t="s">
        <v>1327</v>
      </c>
      <c r="AB660" s="1175">
        <v>45449</v>
      </c>
      <c r="AC660" s="1175">
        <v>45449</v>
      </c>
      <c r="AD660" s="1359">
        <f>610+373</f>
        <v>983</v>
      </c>
      <c r="AE660" s="1227">
        <v>0.96753873107738297</v>
      </c>
      <c r="AF660" s="1231" t="s">
        <v>64</v>
      </c>
      <c r="AG660" s="1262">
        <v>1</v>
      </c>
      <c r="AH660" s="1365" t="s">
        <v>1344</v>
      </c>
      <c r="AI660" s="1380">
        <v>45454</v>
      </c>
      <c r="AJ660" s="1380">
        <v>45456</v>
      </c>
      <c r="AK660" s="1381">
        <f>15200+8940+23700+10223</f>
        <v>58063</v>
      </c>
      <c r="AL660" s="1227">
        <f t="shared" si="74"/>
        <v>0.96771666666666667</v>
      </c>
      <c r="AM660" s="1382" t="s">
        <v>62</v>
      </c>
      <c r="AN660" s="1367">
        <v>1</v>
      </c>
      <c r="AO660" s="1276"/>
      <c r="AP660" s="1277"/>
      <c r="AQ660" s="1276"/>
      <c r="AR660" s="1278"/>
      <c r="AS660" s="1278"/>
    </row>
    <row r="661" spans="1:45" ht="15.6">
      <c r="A661" s="1097" t="s">
        <v>53</v>
      </c>
      <c r="B661" s="1103" t="s">
        <v>1322</v>
      </c>
      <c r="C661" s="1098" t="s">
        <v>1323</v>
      </c>
      <c r="D661" s="1098" t="s">
        <v>1324</v>
      </c>
      <c r="E661" s="1473" t="s">
        <v>57</v>
      </c>
      <c r="F661" s="856">
        <v>2024</v>
      </c>
      <c r="G661" s="1099">
        <v>45427</v>
      </c>
      <c r="H661" s="3">
        <v>200106183</v>
      </c>
      <c r="I661" s="1454" t="s">
        <v>1450</v>
      </c>
      <c r="J661" s="1144">
        <v>78</v>
      </c>
      <c r="K661" s="760" t="s">
        <v>128</v>
      </c>
      <c r="L661" s="8" t="s">
        <v>60</v>
      </c>
      <c r="M661" s="865">
        <v>555.17999999999995</v>
      </c>
      <c r="N661" s="786">
        <v>122.2</v>
      </c>
      <c r="O661" s="1043">
        <v>45446</v>
      </c>
      <c r="P661" s="1043">
        <v>45447</v>
      </c>
      <c r="Q661" s="4" t="s">
        <v>1451</v>
      </c>
      <c r="R661" s="859">
        <v>3.7</v>
      </c>
      <c r="S661" s="851" t="s">
        <v>62</v>
      </c>
      <c r="T661" s="856" t="s">
        <v>75</v>
      </c>
      <c r="U661" s="856" t="s">
        <v>69</v>
      </c>
      <c r="V661" s="1350">
        <v>566.20000000000005</v>
      </c>
      <c r="W661" s="1350">
        <v>451.7</v>
      </c>
      <c r="X661" s="1313">
        <v>45448</v>
      </c>
      <c r="Y661" s="1313">
        <v>45448</v>
      </c>
      <c r="Z661" s="856" t="s">
        <v>62</v>
      </c>
      <c r="AA661" s="1284" t="s">
        <v>1333</v>
      </c>
      <c r="AB661" s="1175">
        <v>45449</v>
      </c>
      <c r="AC661" s="1175">
        <v>45449</v>
      </c>
      <c r="AD661" s="1359">
        <f>660+333</f>
        <v>993</v>
      </c>
      <c r="AE661" s="1227">
        <v>0.97738144451662401</v>
      </c>
      <c r="AF661" s="1231" t="s">
        <v>64</v>
      </c>
      <c r="AG661" s="1262">
        <v>1</v>
      </c>
      <c r="AH661" s="1365" t="s">
        <v>1328</v>
      </c>
      <c r="AI661" s="1380">
        <v>45454</v>
      </c>
      <c r="AJ661" s="1380">
        <v>45455</v>
      </c>
      <c r="AK661" s="1381">
        <f>56400+2361</f>
        <v>58761</v>
      </c>
      <c r="AL661" s="1227">
        <f t="shared" si="74"/>
        <v>0.97935000000000005</v>
      </c>
      <c r="AM661" s="1382" t="s">
        <v>62</v>
      </c>
      <c r="AN661" s="1367">
        <v>1</v>
      </c>
      <c r="AO661" s="1276"/>
      <c r="AP661" s="1277"/>
      <c r="AQ661" s="1276"/>
      <c r="AR661" s="1278"/>
      <c r="AS661" s="1278"/>
    </row>
    <row r="662" spans="1:45" ht="15.6">
      <c r="A662" s="1097" t="s">
        <v>53</v>
      </c>
      <c r="B662" s="1103" t="s">
        <v>1322</v>
      </c>
      <c r="C662" s="1098" t="s">
        <v>1323</v>
      </c>
      <c r="D662" s="1098" t="s">
        <v>1324</v>
      </c>
      <c r="E662" s="1473" t="s">
        <v>57</v>
      </c>
      <c r="F662" s="856">
        <v>2024</v>
      </c>
      <c r="G662" s="1099">
        <v>45427</v>
      </c>
      <c r="H662" s="3">
        <v>200106184</v>
      </c>
      <c r="I662" s="1454" t="s">
        <v>1452</v>
      </c>
      <c r="J662" s="1144">
        <v>79</v>
      </c>
      <c r="K662" s="760" t="s">
        <v>128</v>
      </c>
      <c r="L662" s="8" t="s">
        <v>60</v>
      </c>
      <c r="M662" s="865">
        <v>558.66</v>
      </c>
      <c r="N662" s="786">
        <v>125</v>
      </c>
      <c r="O662" s="1043">
        <v>45446</v>
      </c>
      <c r="P662" s="1043">
        <v>45447</v>
      </c>
      <c r="Q662" s="4" t="s">
        <v>1453</v>
      </c>
      <c r="R662" s="3">
        <v>3.66</v>
      </c>
      <c r="S662" s="851" t="s">
        <v>62</v>
      </c>
      <c r="T662" s="856" t="s">
        <v>75</v>
      </c>
      <c r="U662" s="856" t="s">
        <v>63</v>
      </c>
      <c r="V662" s="1350">
        <v>569.79999999999995</v>
      </c>
      <c r="W662" s="1350">
        <v>454.26</v>
      </c>
      <c r="X662" s="1313">
        <v>45448</v>
      </c>
      <c r="Y662" s="1313">
        <v>45449</v>
      </c>
      <c r="Z662" s="856" t="s">
        <v>62</v>
      </c>
      <c r="AA662" s="1284" t="s">
        <v>1333</v>
      </c>
      <c r="AB662" s="1175">
        <v>45449</v>
      </c>
      <c r="AC662" s="1175">
        <v>45450</v>
      </c>
      <c r="AD662" s="1359">
        <f>396+603</f>
        <v>999</v>
      </c>
      <c r="AE662" s="1227">
        <v>0.98328707258016901</v>
      </c>
      <c r="AF662" s="1231" t="s">
        <v>64</v>
      </c>
      <c r="AG662" s="1262">
        <v>1</v>
      </c>
      <c r="AH662" s="1365" t="s">
        <v>1328</v>
      </c>
      <c r="AI662" s="1380">
        <v>45453</v>
      </c>
      <c r="AJ662" s="1380">
        <v>45454</v>
      </c>
      <c r="AK662" s="1381">
        <f>23700+31300+4005</f>
        <v>59005</v>
      </c>
      <c r="AL662" s="1227">
        <f t="shared" si="74"/>
        <v>0.98341666666666672</v>
      </c>
      <c r="AM662" s="1382" t="s">
        <v>62</v>
      </c>
      <c r="AN662" s="1367">
        <v>1</v>
      </c>
      <c r="AO662" s="1276"/>
      <c r="AP662" s="1277"/>
      <c r="AQ662" s="1276"/>
      <c r="AR662" s="1278"/>
      <c r="AS662" s="1278"/>
    </row>
    <row r="663" spans="1:45" ht="15.6">
      <c r="A663" s="1097" t="s">
        <v>53</v>
      </c>
      <c r="B663" s="1103" t="s">
        <v>1322</v>
      </c>
      <c r="C663" s="1098" t="s">
        <v>1323</v>
      </c>
      <c r="D663" s="1098" t="s">
        <v>1324</v>
      </c>
      <c r="E663" s="1473" t="s">
        <v>57</v>
      </c>
      <c r="F663" s="856">
        <v>2024</v>
      </c>
      <c r="G663" s="1099">
        <v>45427</v>
      </c>
      <c r="H663" s="3">
        <v>200106185</v>
      </c>
      <c r="I663" s="1454" t="s">
        <v>1454</v>
      </c>
      <c r="J663" s="1144">
        <v>80</v>
      </c>
      <c r="K663" s="760" t="s">
        <v>128</v>
      </c>
      <c r="L663" s="8" t="s">
        <v>60</v>
      </c>
      <c r="M663" s="865">
        <v>545.03</v>
      </c>
      <c r="N663" s="762">
        <v>122</v>
      </c>
      <c r="O663" s="1043">
        <v>45449</v>
      </c>
      <c r="P663" s="1043">
        <v>45448</v>
      </c>
      <c r="Q663" s="4" t="s">
        <v>1455</v>
      </c>
      <c r="R663" s="3">
        <v>3.65</v>
      </c>
      <c r="S663" s="851" t="s">
        <v>62</v>
      </c>
      <c r="T663" s="856" t="s">
        <v>63</v>
      </c>
      <c r="U663" s="856" t="s">
        <v>63</v>
      </c>
      <c r="V663" s="1350">
        <v>556.17999999999995</v>
      </c>
      <c r="W663" s="1350">
        <v>451.44</v>
      </c>
      <c r="X663" s="1313">
        <v>45449</v>
      </c>
      <c r="Y663" s="1313">
        <v>45449</v>
      </c>
      <c r="Z663" s="856" t="s">
        <v>62</v>
      </c>
      <c r="AA663" s="1284" t="s">
        <v>1327</v>
      </c>
      <c r="AB663" s="1175">
        <v>45450</v>
      </c>
      <c r="AC663" s="1175">
        <v>45450</v>
      </c>
      <c r="AD663" s="1359">
        <f>390+590</f>
        <v>980</v>
      </c>
      <c r="AE663" s="1227">
        <v>0.96458591704561103</v>
      </c>
      <c r="AF663" s="1231" t="s">
        <v>64</v>
      </c>
      <c r="AG663" s="1262">
        <v>1</v>
      </c>
      <c r="AH663" s="1256" t="s">
        <v>1328</v>
      </c>
      <c r="AI663" s="1257">
        <v>45455</v>
      </c>
      <c r="AJ663" s="1257">
        <v>45456</v>
      </c>
      <c r="AK663" s="1384">
        <f>11060+46901</f>
        <v>57961</v>
      </c>
      <c r="AL663" s="1227">
        <f t="shared" si="74"/>
        <v>0.96601666666666663</v>
      </c>
      <c r="AM663" s="1382" t="s">
        <v>62</v>
      </c>
      <c r="AN663" s="1367">
        <v>1</v>
      </c>
      <c r="AO663" s="1276"/>
      <c r="AP663" s="1277"/>
      <c r="AQ663" s="1276"/>
      <c r="AR663" s="1278"/>
      <c r="AS663" s="1278"/>
    </row>
    <row r="664" spans="1:45" ht="15.6">
      <c r="A664" s="1097" t="s">
        <v>53</v>
      </c>
      <c r="B664" s="1103" t="s">
        <v>1322</v>
      </c>
      <c r="C664" s="1098" t="s">
        <v>1323</v>
      </c>
      <c r="D664" s="1098" t="s">
        <v>1324</v>
      </c>
      <c r="E664" s="1473" t="s">
        <v>57</v>
      </c>
      <c r="F664" s="856">
        <v>2024</v>
      </c>
      <c r="G664" s="1099">
        <v>45427</v>
      </c>
      <c r="H664" s="3">
        <v>200106186</v>
      </c>
      <c r="I664" s="1454" t="s">
        <v>1456</v>
      </c>
      <c r="J664" s="1144">
        <v>81</v>
      </c>
      <c r="K664" s="760" t="s">
        <v>128</v>
      </c>
      <c r="L664" s="8" t="s">
        <v>60</v>
      </c>
      <c r="M664" s="865">
        <v>556.38</v>
      </c>
      <c r="N664" s="762">
        <v>121.8</v>
      </c>
      <c r="O664" s="1043">
        <v>45449</v>
      </c>
      <c r="P664" s="1043">
        <v>45448</v>
      </c>
      <c r="Q664" s="4" t="s">
        <v>1457</v>
      </c>
      <c r="R664" s="3">
        <v>3.45</v>
      </c>
      <c r="S664" s="851" t="s">
        <v>62</v>
      </c>
      <c r="T664" s="856" t="s">
        <v>63</v>
      </c>
      <c r="U664" s="856" t="s">
        <v>63</v>
      </c>
      <c r="V664" s="1350">
        <v>567.5</v>
      </c>
      <c r="W664" s="1350">
        <v>451.18</v>
      </c>
      <c r="X664" s="1313">
        <v>45450</v>
      </c>
      <c r="Y664" s="1313">
        <v>45449</v>
      </c>
      <c r="Z664" s="856" t="s">
        <v>62</v>
      </c>
      <c r="AA664" s="1284" t="s">
        <v>1333</v>
      </c>
      <c r="AB664" s="1099">
        <v>45450</v>
      </c>
      <c r="AC664" s="1099">
        <v>45450</v>
      </c>
      <c r="AD664" s="1359">
        <f>574+419</f>
        <v>993</v>
      </c>
      <c r="AE664" s="1227">
        <v>0.97738144451662401</v>
      </c>
      <c r="AF664" s="1231" t="s">
        <v>64</v>
      </c>
      <c r="AG664" s="1262">
        <v>1</v>
      </c>
      <c r="AH664" s="1365" t="s">
        <v>1344</v>
      </c>
      <c r="AI664" s="1380">
        <v>45456</v>
      </c>
      <c r="AJ664" s="1380">
        <v>45456</v>
      </c>
      <c r="AK664" s="1381">
        <f>16500+28650+13414</f>
        <v>58564</v>
      </c>
      <c r="AL664" s="1227">
        <f t="shared" si="74"/>
        <v>0.97606666666666664</v>
      </c>
      <c r="AM664" s="1382" t="s">
        <v>62</v>
      </c>
      <c r="AN664" s="1367">
        <v>1</v>
      </c>
      <c r="AO664" s="1276"/>
      <c r="AP664" s="1277"/>
      <c r="AQ664" s="1276"/>
      <c r="AR664" s="1278"/>
      <c r="AS664" s="1278"/>
    </row>
    <row r="665" spans="1:45" ht="15.6">
      <c r="A665" s="1097" t="s">
        <v>53</v>
      </c>
      <c r="B665" s="1103"/>
      <c r="C665" s="1098"/>
      <c r="D665" s="1098"/>
      <c r="E665" s="1098"/>
      <c r="F665" s="1098"/>
      <c r="G665" s="1099"/>
      <c r="H665" s="3"/>
      <c r="I665" s="3"/>
      <c r="J665" s="1144"/>
      <c r="K665" s="1174"/>
      <c r="L665" s="1174"/>
      <c r="M665" s="1350"/>
      <c r="N665" s="1174"/>
      <c r="O665" s="1179"/>
      <c r="P665" s="1313"/>
      <c r="Q665" s="1175"/>
      <c r="R665" s="1175"/>
      <c r="S665" s="851"/>
      <c r="T665" s="856"/>
      <c r="U665" s="856"/>
      <c r="V665" s="1350"/>
      <c r="W665" s="1350"/>
      <c r="X665" s="1179"/>
      <c r="Y665" s="1179"/>
      <c r="Z665" s="856" t="s">
        <v>62</v>
      </c>
      <c r="AA665" s="1284"/>
      <c r="AB665" s="1099"/>
      <c r="AC665" s="1099"/>
      <c r="AD665" s="1359"/>
      <c r="AE665" s="1227"/>
      <c r="AF665" s="1231"/>
      <c r="AG665" s="1262"/>
      <c r="AH665" s="1365"/>
      <c r="AI665" s="1099"/>
      <c r="AJ665" s="1099"/>
      <c r="AK665" s="1263"/>
      <c r="AL665" s="1227"/>
      <c r="AM665" s="1366"/>
      <c r="AN665" s="1367"/>
      <c r="AO665" s="1276"/>
      <c r="AP665" s="1277"/>
      <c r="AQ665" s="1276"/>
      <c r="AR665" s="1278"/>
      <c r="AS665" s="1278"/>
    </row>
    <row r="666" spans="1:45" ht="15.6">
      <c r="A666" s="1097" t="s">
        <v>53</v>
      </c>
      <c r="B666" s="1103" t="s">
        <v>1322</v>
      </c>
      <c r="C666" s="1098" t="s">
        <v>1323</v>
      </c>
      <c r="D666" s="1098" t="s">
        <v>1324</v>
      </c>
      <c r="E666" s="1473" t="s">
        <v>72</v>
      </c>
      <c r="F666" s="856">
        <v>2024</v>
      </c>
      <c r="G666" s="1099">
        <v>45425</v>
      </c>
      <c r="H666" s="3">
        <v>200105946</v>
      </c>
      <c r="I666" s="1454" t="s">
        <v>1458</v>
      </c>
      <c r="J666" s="1144">
        <v>1</v>
      </c>
      <c r="K666" s="1174" t="s">
        <v>144</v>
      </c>
      <c r="L666" s="1174" t="s">
        <v>60</v>
      </c>
      <c r="M666" s="1350">
        <v>549.1</v>
      </c>
      <c r="N666" s="786">
        <v>122.39</v>
      </c>
      <c r="O666" s="1179">
        <v>45427</v>
      </c>
      <c r="P666" s="1043">
        <v>45426</v>
      </c>
      <c r="Q666" s="953"/>
      <c r="R666" s="882">
        <v>3.67</v>
      </c>
      <c r="S666" s="851" t="s">
        <v>62</v>
      </c>
      <c r="T666" s="856" t="s">
        <v>75</v>
      </c>
      <c r="U666" s="856" t="s">
        <v>63</v>
      </c>
      <c r="V666" s="1350">
        <v>560</v>
      </c>
      <c r="W666" s="1350">
        <v>451.9</v>
      </c>
      <c r="X666" s="1313">
        <v>45428</v>
      </c>
      <c r="Y666" s="1313">
        <v>45427</v>
      </c>
      <c r="Z666" s="856" t="s">
        <v>62</v>
      </c>
      <c r="AA666" s="1284" t="s">
        <v>1327</v>
      </c>
      <c r="AB666" s="1099">
        <v>45429</v>
      </c>
      <c r="AC666" s="1099">
        <v>45429</v>
      </c>
      <c r="AD666" s="1359">
        <f>386+592</f>
        <v>978</v>
      </c>
      <c r="AE666" s="1227">
        <v>0.96261737435776296</v>
      </c>
      <c r="AF666" s="1231" t="s">
        <v>64</v>
      </c>
      <c r="AG666" s="1262">
        <v>1</v>
      </c>
      <c r="AH666" s="1368" t="s">
        <v>1344</v>
      </c>
      <c r="AI666" s="1380">
        <v>45434</v>
      </c>
      <c r="AJ666" s="1380">
        <v>45476</v>
      </c>
      <c r="AK666" s="1381">
        <f>36000+19927+1680</f>
        <v>57607</v>
      </c>
      <c r="AL666" s="1227">
        <f t="shared" ref="AL666:AL699" si="75">AK666/60000</f>
        <v>0.96011666666666662</v>
      </c>
      <c r="AM666" s="1382" t="s">
        <v>62</v>
      </c>
      <c r="AN666" s="1367">
        <v>1</v>
      </c>
      <c r="AO666" s="1276"/>
      <c r="AP666" s="1277"/>
      <c r="AQ666" s="1276"/>
      <c r="AR666" s="1278"/>
      <c r="AS666" s="1278"/>
    </row>
    <row r="667" spans="1:45" ht="15.6">
      <c r="A667" s="1097" t="s">
        <v>53</v>
      </c>
      <c r="B667" s="1103" t="s">
        <v>1322</v>
      </c>
      <c r="C667" s="1098" t="s">
        <v>1323</v>
      </c>
      <c r="D667" s="1098" t="s">
        <v>1324</v>
      </c>
      <c r="E667" s="1473" t="s">
        <v>72</v>
      </c>
      <c r="F667" s="856">
        <v>2024</v>
      </c>
      <c r="G667" s="1099">
        <v>45425</v>
      </c>
      <c r="H667" s="3">
        <v>200105947</v>
      </c>
      <c r="I667" s="1454" t="s">
        <v>1459</v>
      </c>
      <c r="J667" s="1144">
        <v>2</v>
      </c>
      <c r="K667" s="1174" t="s">
        <v>144</v>
      </c>
      <c r="L667" s="1174" t="s">
        <v>60</v>
      </c>
      <c r="M667" s="1350">
        <v>547</v>
      </c>
      <c r="N667" s="786">
        <v>122.94</v>
      </c>
      <c r="O667" s="1179">
        <v>45427</v>
      </c>
      <c r="P667" s="1043">
        <v>45426</v>
      </c>
      <c r="Q667" s="953"/>
      <c r="R667" s="882">
        <v>3.75</v>
      </c>
      <c r="S667" s="851" t="s">
        <v>62</v>
      </c>
      <c r="T667" s="856" t="s">
        <v>75</v>
      </c>
      <c r="U667" s="856" t="s">
        <v>63</v>
      </c>
      <c r="V667" s="1350">
        <v>557.79999999999995</v>
      </c>
      <c r="W667" s="1350">
        <v>452.42</v>
      </c>
      <c r="X667" s="1313">
        <v>45428</v>
      </c>
      <c r="Y667" s="1313">
        <v>45427</v>
      </c>
      <c r="Z667" s="856" t="s">
        <v>62</v>
      </c>
      <c r="AA667" s="1284" t="s">
        <v>1327</v>
      </c>
      <c r="AB667" s="1099">
        <v>45432</v>
      </c>
      <c r="AC667" s="1099">
        <v>45432</v>
      </c>
      <c r="AD667" s="1359">
        <f>502+479</f>
        <v>981</v>
      </c>
      <c r="AE667" s="1227">
        <v>0.96557018838953501</v>
      </c>
      <c r="AF667" s="1231" t="s">
        <v>64</v>
      </c>
      <c r="AG667" s="1262">
        <v>1</v>
      </c>
      <c r="AH667" s="1365" t="s">
        <v>1344</v>
      </c>
      <c r="AI667" s="1380">
        <v>45434</v>
      </c>
      <c r="AJ667" s="1099">
        <v>45436</v>
      </c>
      <c r="AK667" s="1381">
        <f>35500+22530</f>
        <v>58030</v>
      </c>
      <c r="AL667" s="1227">
        <f t="shared" si="75"/>
        <v>0.96716666666666662</v>
      </c>
      <c r="AM667" s="1382" t="s">
        <v>62</v>
      </c>
      <c r="AN667" s="1367">
        <v>1</v>
      </c>
      <c r="AO667" s="1276"/>
      <c r="AP667" s="1277"/>
      <c r="AQ667" s="1276"/>
      <c r="AR667" s="1278"/>
      <c r="AS667" s="1278"/>
    </row>
    <row r="668" spans="1:45" ht="15.6">
      <c r="A668" s="1097" t="s">
        <v>53</v>
      </c>
      <c r="B668" s="1103" t="s">
        <v>1322</v>
      </c>
      <c r="C668" s="1098" t="s">
        <v>1323</v>
      </c>
      <c r="D668" s="1098" t="s">
        <v>1324</v>
      </c>
      <c r="E668" s="1473" t="s">
        <v>72</v>
      </c>
      <c r="F668" s="856">
        <v>2024</v>
      </c>
      <c r="G668" s="1099">
        <v>45425</v>
      </c>
      <c r="H668" s="3">
        <v>200105948</v>
      </c>
      <c r="I668" s="1454" t="s">
        <v>1460</v>
      </c>
      <c r="J668" s="1144">
        <v>3</v>
      </c>
      <c r="K668" s="1174" t="s">
        <v>144</v>
      </c>
      <c r="L668" s="1174" t="s">
        <v>60</v>
      </c>
      <c r="M668" s="1350">
        <v>548</v>
      </c>
      <c r="N668" s="786">
        <v>123.74</v>
      </c>
      <c r="O668" s="1179">
        <v>45428</v>
      </c>
      <c r="P668" s="1043">
        <v>45426</v>
      </c>
      <c r="Q668" s="953"/>
      <c r="R668" s="882">
        <v>3.41</v>
      </c>
      <c r="S668" s="851" t="s">
        <v>62</v>
      </c>
      <c r="T668" s="856" t="s">
        <v>75</v>
      </c>
      <c r="U668" s="856" t="s">
        <v>63</v>
      </c>
      <c r="V668" s="1350">
        <v>559.21</v>
      </c>
      <c r="W668" s="1350">
        <v>453.22</v>
      </c>
      <c r="X668" s="1313">
        <v>45428</v>
      </c>
      <c r="Y668" s="1313">
        <v>45428</v>
      </c>
      <c r="Z668" s="856" t="s">
        <v>62</v>
      </c>
      <c r="AA668" s="1284" t="s">
        <v>1327</v>
      </c>
      <c r="AB668" s="1099">
        <v>45432</v>
      </c>
      <c r="AC668" s="1099">
        <v>45433</v>
      </c>
      <c r="AD668" s="1359">
        <f>158+756+70</f>
        <v>984</v>
      </c>
      <c r="AE668" s="1227">
        <v>0.96852300242130795</v>
      </c>
      <c r="AF668" s="1231" t="s">
        <v>64</v>
      </c>
      <c r="AG668" s="1262">
        <v>1</v>
      </c>
      <c r="AH668" s="1365" t="s">
        <v>1344</v>
      </c>
      <c r="AI668" s="1380">
        <v>45439</v>
      </c>
      <c r="AJ668" s="1380">
        <v>45439</v>
      </c>
      <c r="AK668" s="1381">
        <f>24800+33292</f>
        <v>58092</v>
      </c>
      <c r="AL668" s="1227">
        <f t="shared" si="75"/>
        <v>0.96819999999999995</v>
      </c>
      <c r="AM668" s="1382" t="s">
        <v>62</v>
      </c>
      <c r="AN668" s="1367">
        <v>1</v>
      </c>
      <c r="AO668" s="1276"/>
      <c r="AP668" s="1277"/>
      <c r="AQ668" s="1276"/>
      <c r="AR668" s="1278"/>
      <c r="AS668" s="1278"/>
    </row>
    <row r="669" spans="1:45" ht="15.6">
      <c r="A669" s="1097" t="s">
        <v>53</v>
      </c>
      <c r="B669" s="1103" t="s">
        <v>1322</v>
      </c>
      <c r="C669" s="1098" t="s">
        <v>1323</v>
      </c>
      <c r="D669" s="1098" t="s">
        <v>1324</v>
      </c>
      <c r="E669" s="1473" t="s">
        <v>72</v>
      </c>
      <c r="F669" s="856">
        <v>2024</v>
      </c>
      <c r="G669" s="1099">
        <v>45425</v>
      </c>
      <c r="H669" s="3">
        <v>200105949</v>
      </c>
      <c r="I669" s="1454" t="s">
        <v>1461</v>
      </c>
      <c r="J669" s="1144">
        <v>4</v>
      </c>
      <c r="K669" s="1174" t="s">
        <v>144</v>
      </c>
      <c r="L669" s="1174" t="s">
        <v>60</v>
      </c>
      <c r="M669" s="1350">
        <v>555.91999999999996</v>
      </c>
      <c r="N669" s="786">
        <v>124.15</v>
      </c>
      <c r="O669" s="1179">
        <v>45428</v>
      </c>
      <c r="P669" s="1043">
        <v>45426</v>
      </c>
      <c r="Q669" s="953"/>
      <c r="R669" s="882">
        <v>3.74</v>
      </c>
      <c r="S669" s="851" t="s">
        <v>62</v>
      </c>
      <c r="T669" s="856" t="s">
        <v>75</v>
      </c>
      <c r="U669" s="856" t="s">
        <v>63</v>
      </c>
      <c r="V669" s="1350">
        <v>567.02</v>
      </c>
      <c r="W669" s="1350">
        <v>453.7</v>
      </c>
      <c r="X669" s="1313">
        <v>45428</v>
      </c>
      <c r="Y669" s="1313">
        <v>45428</v>
      </c>
      <c r="Z669" s="856" t="s">
        <v>62</v>
      </c>
      <c r="AA669" s="1284" t="s">
        <v>1327</v>
      </c>
      <c r="AB669" s="1099">
        <v>45433</v>
      </c>
      <c r="AC669" s="1099">
        <v>45433</v>
      </c>
      <c r="AD669" s="1359">
        <f>574+417</f>
        <v>991</v>
      </c>
      <c r="AE669" s="1227">
        <v>0.97541290182877605</v>
      </c>
      <c r="AF669" s="1231" t="s">
        <v>64</v>
      </c>
      <c r="AG669" s="1262">
        <v>1</v>
      </c>
      <c r="AH669" s="1365" t="s">
        <v>1344</v>
      </c>
      <c r="AI669" s="1380">
        <v>45439</v>
      </c>
      <c r="AJ669" s="1380">
        <v>45440</v>
      </c>
      <c r="AK669" s="1381">
        <f>17000+39300+2321</f>
        <v>58621</v>
      </c>
      <c r="AL669" s="1227">
        <f t="shared" si="75"/>
        <v>0.97701666666666664</v>
      </c>
      <c r="AM669" s="1382" t="s">
        <v>62</v>
      </c>
      <c r="AN669" s="1367">
        <v>1</v>
      </c>
      <c r="AO669" s="1276"/>
      <c r="AP669" s="1277"/>
      <c r="AQ669" s="1276"/>
      <c r="AR669" s="1278"/>
      <c r="AS669" s="1278"/>
    </row>
    <row r="670" spans="1:45" ht="15.6">
      <c r="A670" s="1097" t="s">
        <v>53</v>
      </c>
      <c r="B670" s="1103" t="s">
        <v>1322</v>
      </c>
      <c r="C670" s="1098" t="s">
        <v>1323</v>
      </c>
      <c r="D670" s="1098" t="s">
        <v>1324</v>
      </c>
      <c r="E670" s="1473" t="s">
        <v>72</v>
      </c>
      <c r="F670" s="856">
        <v>2024</v>
      </c>
      <c r="G670" s="1099">
        <v>45425</v>
      </c>
      <c r="H670" s="3">
        <v>200105950</v>
      </c>
      <c r="I670" s="1454" t="s">
        <v>1462</v>
      </c>
      <c r="J670" s="1144">
        <v>5</v>
      </c>
      <c r="K670" s="1174" t="s">
        <v>1463</v>
      </c>
      <c r="L670" s="1174" t="s">
        <v>60</v>
      </c>
      <c r="M670" s="1350">
        <v>546</v>
      </c>
      <c r="N670" s="786">
        <v>124.3</v>
      </c>
      <c r="O670" s="1179">
        <v>45433</v>
      </c>
      <c r="P670" s="1043">
        <v>45426</v>
      </c>
      <c r="Q670" s="953"/>
      <c r="R670" s="882">
        <v>3.77</v>
      </c>
      <c r="S670" s="851" t="s">
        <v>62</v>
      </c>
      <c r="T670" s="856" t="s">
        <v>75</v>
      </c>
      <c r="U670" s="856" t="s">
        <v>63</v>
      </c>
      <c r="V670" s="1350">
        <v>556.88</v>
      </c>
      <c r="W670" s="1350">
        <v>453.12</v>
      </c>
      <c r="X670" s="1313">
        <v>45433</v>
      </c>
      <c r="Y670" s="1313">
        <v>45428</v>
      </c>
      <c r="Z670" s="856" t="s">
        <v>62</v>
      </c>
      <c r="AA670" s="1284" t="s">
        <v>1327</v>
      </c>
      <c r="AB670" s="1099">
        <v>45434</v>
      </c>
      <c r="AC670" s="1099">
        <v>45434</v>
      </c>
      <c r="AD670" s="1359">
        <f>528+452</f>
        <v>980</v>
      </c>
      <c r="AE670" s="1227">
        <v>0.96458591704561103</v>
      </c>
      <c r="AF670" s="1231" t="s">
        <v>64</v>
      </c>
      <c r="AG670" s="1262">
        <v>1</v>
      </c>
      <c r="AH670" s="1365" t="s">
        <v>1344</v>
      </c>
      <c r="AI670" s="1380">
        <v>45440</v>
      </c>
      <c r="AJ670" s="1380">
        <v>45440</v>
      </c>
      <c r="AK670" s="1381">
        <f>57858</f>
        <v>57858</v>
      </c>
      <c r="AL670" s="1227">
        <f t="shared" si="75"/>
        <v>0.96430000000000005</v>
      </c>
      <c r="AM670" s="1382" t="s">
        <v>62</v>
      </c>
      <c r="AN670" s="1367">
        <v>1</v>
      </c>
      <c r="AO670" s="1276"/>
      <c r="AP670" s="1277"/>
      <c r="AQ670" s="1276"/>
      <c r="AR670" s="1278"/>
      <c r="AS670" s="1278"/>
    </row>
    <row r="671" spans="1:45" ht="15.6">
      <c r="A671" s="1097" t="s">
        <v>53</v>
      </c>
      <c r="B671" s="1103" t="s">
        <v>1322</v>
      </c>
      <c r="C671" s="1098" t="s">
        <v>1323</v>
      </c>
      <c r="D671" s="1098" t="s">
        <v>1324</v>
      </c>
      <c r="E671" s="1473" t="s">
        <v>72</v>
      </c>
      <c r="F671" s="856">
        <v>2024</v>
      </c>
      <c r="G671" s="1099">
        <v>45433</v>
      </c>
      <c r="H671" s="3">
        <v>200106187</v>
      </c>
      <c r="I671" s="1447" t="s">
        <v>1464</v>
      </c>
      <c r="J671" s="1144">
        <v>6</v>
      </c>
      <c r="K671" s="1174" t="s">
        <v>144</v>
      </c>
      <c r="L671" s="1174" t="s">
        <v>60</v>
      </c>
      <c r="M671" s="1350">
        <v>547.5</v>
      </c>
      <c r="N671" s="762">
        <v>124.5</v>
      </c>
      <c r="O671" s="1179">
        <v>45449</v>
      </c>
      <c r="P671" s="1043">
        <v>45448</v>
      </c>
      <c r="Q671" s="953"/>
      <c r="R671" s="3">
        <v>3.6</v>
      </c>
      <c r="S671" s="851" t="s">
        <v>62</v>
      </c>
      <c r="T671" s="856" t="s">
        <v>69</v>
      </c>
      <c r="U671" s="856" t="s">
        <v>63</v>
      </c>
      <c r="V671" s="1350">
        <v>558.69000000000005</v>
      </c>
      <c r="W671" s="1350">
        <v>453.74</v>
      </c>
      <c r="X671" s="1313">
        <v>45450</v>
      </c>
      <c r="Y671" s="1313">
        <v>45450</v>
      </c>
      <c r="Z671" s="856" t="s">
        <v>62</v>
      </c>
      <c r="AA671" s="1284" t="s">
        <v>1327</v>
      </c>
      <c r="AB671" s="1099">
        <v>45450</v>
      </c>
      <c r="AC671" s="1099">
        <v>45452</v>
      </c>
      <c r="AD671" s="1359">
        <f>732+253</f>
        <v>985</v>
      </c>
      <c r="AE671" s="1227">
        <v>0.96950727376523205</v>
      </c>
      <c r="AF671" s="1231" t="s">
        <v>64</v>
      </c>
      <c r="AG671" s="1262">
        <v>1</v>
      </c>
      <c r="AH671" s="1365" t="s">
        <v>1328</v>
      </c>
      <c r="AI671" s="1380">
        <v>45455</v>
      </c>
      <c r="AJ671" s="1380">
        <v>45455</v>
      </c>
      <c r="AK671" s="1381">
        <f>19109+39037</f>
        <v>58146</v>
      </c>
      <c r="AL671" s="1227">
        <f t="shared" si="75"/>
        <v>0.96909999999999996</v>
      </c>
      <c r="AM671" s="1382" t="s">
        <v>62</v>
      </c>
      <c r="AN671" s="1367">
        <v>1</v>
      </c>
      <c r="AO671" s="1276"/>
      <c r="AP671" s="1277"/>
      <c r="AQ671" s="1276"/>
      <c r="AR671" s="1278"/>
      <c r="AS671" s="1278"/>
    </row>
    <row r="672" spans="1:45" ht="15.6">
      <c r="A672" s="1097" t="s">
        <v>53</v>
      </c>
      <c r="B672" s="1103" t="s">
        <v>1322</v>
      </c>
      <c r="C672" s="1098" t="s">
        <v>1323</v>
      </c>
      <c r="D672" s="1098" t="s">
        <v>1324</v>
      </c>
      <c r="E672" s="1473" t="s">
        <v>72</v>
      </c>
      <c r="F672" s="856">
        <v>2024</v>
      </c>
      <c r="G672" s="1099">
        <v>45433</v>
      </c>
      <c r="H672" s="3">
        <v>200106188</v>
      </c>
      <c r="I672" s="1447" t="s">
        <v>1465</v>
      </c>
      <c r="J672" s="1144">
        <v>7</v>
      </c>
      <c r="K672" s="1174" t="s">
        <v>144</v>
      </c>
      <c r="L672" s="1174" t="s">
        <v>60</v>
      </c>
      <c r="M672" s="1350">
        <v>548</v>
      </c>
      <c r="N672" s="762">
        <v>126</v>
      </c>
      <c r="O672" s="1179">
        <v>45449</v>
      </c>
      <c r="P672" s="1043">
        <v>45448</v>
      </c>
      <c r="Q672" s="953"/>
      <c r="R672" s="3">
        <v>3.75</v>
      </c>
      <c r="S672" s="851" t="s">
        <v>62</v>
      </c>
      <c r="T672" s="856" t="s">
        <v>69</v>
      </c>
      <c r="U672" s="856" t="s">
        <v>63</v>
      </c>
      <c r="V672" s="1350">
        <v>559.1</v>
      </c>
      <c r="W672" s="1350">
        <v>455.5</v>
      </c>
      <c r="X672" s="1313">
        <v>45450</v>
      </c>
      <c r="Y672" s="1313">
        <v>45450</v>
      </c>
      <c r="Z672" s="856" t="s">
        <v>62</v>
      </c>
      <c r="AA672" s="1284" t="s">
        <v>1327</v>
      </c>
      <c r="AB672" s="1099">
        <v>45452</v>
      </c>
      <c r="AC672" s="1099">
        <v>45452</v>
      </c>
      <c r="AD672" s="1359">
        <f>258+729</f>
        <v>987</v>
      </c>
      <c r="AE672" s="1227">
        <v>0.97147581645308001</v>
      </c>
      <c r="AF672" s="1231" t="s">
        <v>64</v>
      </c>
      <c r="AG672" s="1262">
        <v>1</v>
      </c>
      <c r="AH672" s="1365" t="s">
        <v>1328</v>
      </c>
      <c r="AI672" s="1380">
        <v>45456</v>
      </c>
      <c r="AJ672" s="1380">
        <v>45456</v>
      </c>
      <c r="AK672" s="1381">
        <f>15027+43281</f>
        <v>58308</v>
      </c>
      <c r="AL672" s="1227">
        <f t="shared" si="75"/>
        <v>0.9718</v>
      </c>
      <c r="AM672" s="1382" t="s">
        <v>62</v>
      </c>
      <c r="AN672" s="1367">
        <v>1</v>
      </c>
      <c r="AO672" s="1276"/>
      <c r="AP672" s="1277"/>
      <c r="AQ672" s="1276"/>
      <c r="AR672" s="1278"/>
      <c r="AS672" s="1278"/>
    </row>
    <row r="673" spans="1:45" ht="15.6">
      <c r="A673" s="1097" t="s">
        <v>53</v>
      </c>
      <c r="B673" s="1103" t="s">
        <v>1322</v>
      </c>
      <c r="C673" s="1098" t="s">
        <v>1323</v>
      </c>
      <c r="D673" s="1098" t="s">
        <v>1324</v>
      </c>
      <c r="E673" s="1473" t="s">
        <v>72</v>
      </c>
      <c r="F673" s="856">
        <v>2024</v>
      </c>
      <c r="G673" s="1099">
        <v>45433</v>
      </c>
      <c r="H673" s="3">
        <v>200106189</v>
      </c>
      <c r="I673" s="1447" t="s">
        <v>1466</v>
      </c>
      <c r="J673" s="1144">
        <v>8</v>
      </c>
      <c r="K673" s="1174" t="s">
        <v>144</v>
      </c>
      <c r="L673" s="1174" t="s">
        <v>60</v>
      </c>
      <c r="M673" s="1350">
        <v>549</v>
      </c>
      <c r="N673" s="762">
        <v>125.35</v>
      </c>
      <c r="O673" s="1179" t="s">
        <v>1467</v>
      </c>
      <c r="P673" s="1043">
        <v>45448</v>
      </c>
      <c r="Q673" s="953"/>
      <c r="R673" s="3">
        <v>3.52</v>
      </c>
      <c r="S673" s="851" t="s">
        <v>62</v>
      </c>
      <c r="T673" s="856" t="s">
        <v>69</v>
      </c>
      <c r="U673" s="856" t="s">
        <v>75</v>
      </c>
      <c r="V673" s="1350">
        <v>559.45000000000005</v>
      </c>
      <c r="W673" s="1350">
        <v>454.72</v>
      </c>
      <c r="X673" s="1313">
        <v>45452</v>
      </c>
      <c r="Y673" s="1313">
        <v>45452</v>
      </c>
      <c r="Z673" s="856" t="s">
        <v>62</v>
      </c>
      <c r="AA673" s="1284" t="s">
        <v>1327</v>
      </c>
      <c r="AB673" s="1099">
        <v>45453</v>
      </c>
      <c r="AC673" s="1099">
        <v>45453</v>
      </c>
      <c r="AD673" s="1359">
        <f>376+610</f>
        <v>986</v>
      </c>
      <c r="AE673" s="1227">
        <v>0.97049154510915603</v>
      </c>
      <c r="AF673" s="1231" t="s">
        <v>64</v>
      </c>
      <c r="AG673" s="1262">
        <v>1</v>
      </c>
      <c r="AH673" s="1365" t="s">
        <v>1344</v>
      </c>
      <c r="AI673" s="1257">
        <v>45457</v>
      </c>
      <c r="AJ673" s="1257">
        <v>45457</v>
      </c>
      <c r="AK673" s="1384">
        <f>16700+41536</f>
        <v>58236</v>
      </c>
      <c r="AL673" s="1227">
        <f t="shared" si="75"/>
        <v>0.97060000000000002</v>
      </c>
      <c r="AM673" s="1382" t="s">
        <v>62</v>
      </c>
      <c r="AN673" s="1367">
        <v>1</v>
      </c>
      <c r="AO673" s="1276"/>
      <c r="AP673" s="1277"/>
      <c r="AQ673" s="1276"/>
      <c r="AR673" s="1278"/>
      <c r="AS673" s="1278"/>
    </row>
    <row r="674" spans="1:45" ht="15.6">
      <c r="A674" s="1097" t="s">
        <v>53</v>
      </c>
      <c r="B674" s="1103" t="s">
        <v>1322</v>
      </c>
      <c r="C674" s="1098" t="s">
        <v>1323</v>
      </c>
      <c r="D674" s="1098" t="s">
        <v>1324</v>
      </c>
      <c r="E674" s="1473" t="s">
        <v>72</v>
      </c>
      <c r="F674" s="856">
        <v>2024</v>
      </c>
      <c r="G674" s="1099">
        <v>45433</v>
      </c>
      <c r="H674" s="3">
        <v>200106190</v>
      </c>
      <c r="I674" s="1447" t="s">
        <v>1468</v>
      </c>
      <c r="J674" s="1144">
        <v>9</v>
      </c>
      <c r="K674" s="1174" t="s">
        <v>144</v>
      </c>
      <c r="L674" s="1174" t="s">
        <v>60</v>
      </c>
      <c r="M674" s="1350">
        <v>559</v>
      </c>
      <c r="N674" s="858">
        <v>122</v>
      </c>
      <c r="O674" s="1179">
        <v>45450</v>
      </c>
      <c r="P674" s="1043">
        <v>45449</v>
      </c>
      <c r="Q674" s="953"/>
      <c r="R674" s="1044">
        <v>3.72</v>
      </c>
      <c r="S674" s="851" t="s">
        <v>62</v>
      </c>
      <c r="T674" s="856" t="s">
        <v>69</v>
      </c>
      <c r="U674" s="856" t="s">
        <v>75</v>
      </c>
      <c r="V674" s="1350">
        <v>469.44</v>
      </c>
      <c r="W674" s="1350">
        <v>451.1</v>
      </c>
      <c r="X674" s="1313">
        <v>45452</v>
      </c>
      <c r="Y674" s="1313">
        <v>45452</v>
      </c>
      <c r="Z674" s="856" t="s">
        <v>62</v>
      </c>
      <c r="AA674" s="1284" t="s">
        <v>1327</v>
      </c>
      <c r="AB674" s="1099">
        <v>45452</v>
      </c>
      <c r="AC674" s="1099">
        <v>45453</v>
      </c>
      <c r="AD674" s="1359">
        <f>640+352</f>
        <v>992</v>
      </c>
      <c r="AE674" s="1227">
        <v>0.97639717317270003</v>
      </c>
      <c r="AF674" s="1231" t="s">
        <v>64</v>
      </c>
      <c r="AG674" s="1262">
        <v>1</v>
      </c>
      <c r="AH674" s="1365" t="s">
        <v>1328</v>
      </c>
      <c r="AI674" s="1380">
        <v>45456</v>
      </c>
      <c r="AJ674" s="1380">
        <v>45457</v>
      </c>
      <c r="AK674" s="1381">
        <f>12000+25900+20697</f>
        <v>58597</v>
      </c>
      <c r="AL674" s="1227">
        <f t="shared" si="75"/>
        <v>0.97661666666666669</v>
      </c>
      <c r="AM674" s="1382" t="s">
        <v>62</v>
      </c>
      <c r="AN674" s="1367">
        <v>1</v>
      </c>
      <c r="AO674" s="1276"/>
      <c r="AP674" s="1277"/>
      <c r="AQ674" s="1276"/>
      <c r="AR674" s="1278"/>
      <c r="AS674" s="1278"/>
    </row>
    <row r="675" spans="1:45" ht="15.6">
      <c r="A675" s="1097" t="s">
        <v>53</v>
      </c>
      <c r="B675" s="1103" t="s">
        <v>1322</v>
      </c>
      <c r="C675" s="1098" t="s">
        <v>1323</v>
      </c>
      <c r="D675" s="1098" t="s">
        <v>1324</v>
      </c>
      <c r="E675" s="1473" t="s">
        <v>72</v>
      </c>
      <c r="F675" s="856">
        <v>2024</v>
      </c>
      <c r="G675" s="1099">
        <v>45447</v>
      </c>
      <c r="H675" s="3">
        <v>200106363</v>
      </c>
      <c r="I675" s="1451" t="s">
        <v>1469</v>
      </c>
      <c r="J675" s="1144">
        <v>10</v>
      </c>
      <c r="K675" s="1174" t="s">
        <v>128</v>
      </c>
      <c r="L675" s="1174" t="s">
        <v>60</v>
      </c>
      <c r="M675" s="865">
        <v>553.02</v>
      </c>
      <c r="N675" s="786">
        <v>122.39</v>
      </c>
      <c r="O675" s="1043">
        <v>45450</v>
      </c>
      <c r="P675" s="1043">
        <v>45453</v>
      </c>
      <c r="Q675" s="4" t="s">
        <v>1470</v>
      </c>
      <c r="R675" s="786">
        <v>3.44</v>
      </c>
      <c r="S675" s="851" t="s">
        <v>62</v>
      </c>
      <c r="T675" s="856" t="s">
        <v>63</v>
      </c>
      <c r="U675" s="856" t="s">
        <v>75</v>
      </c>
      <c r="V675" s="1350">
        <v>564.20000000000005</v>
      </c>
      <c r="W675" s="1350">
        <v>451.66</v>
      </c>
      <c r="X675" s="1179">
        <v>45453</v>
      </c>
      <c r="Y675" s="1179">
        <v>45453</v>
      </c>
      <c r="Z675" s="856" t="s">
        <v>62</v>
      </c>
      <c r="AA675" s="1284" t="s">
        <v>1327</v>
      </c>
      <c r="AB675" s="1099">
        <v>45453</v>
      </c>
      <c r="AC675" s="1099">
        <v>45454</v>
      </c>
      <c r="AD675" s="1359">
        <f>66+756+167</f>
        <v>989</v>
      </c>
      <c r="AE675" s="1227">
        <v>0.97344435914092797</v>
      </c>
      <c r="AF675" s="1231" t="s">
        <v>64</v>
      </c>
      <c r="AG675" s="1262">
        <v>1</v>
      </c>
      <c r="AH675" s="1365" t="s">
        <v>1328</v>
      </c>
      <c r="AI675" s="1380">
        <v>45457</v>
      </c>
      <c r="AJ675" s="1380">
        <v>45457</v>
      </c>
      <c r="AK675" s="1381">
        <f>26000+32386</f>
        <v>58386</v>
      </c>
      <c r="AL675" s="1227">
        <f t="shared" si="75"/>
        <v>0.97309999999999997</v>
      </c>
      <c r="AM675" s="1382" t="s">
        <v>62</v>
      </c>
      <c r="AN675" s="1367">
        <v>1</v>
      </c>
      <c r="AO675" s="1276"/>
      <c r="AP675" s="1277"/>
      <c r="AQ675" s="1276"/>
      <c r="AR675" s="1278"/>
      <c r="AS675" s="1278"/>
    </row>
    <row r="676" spans="1:45" ht="15.6">
      <c r="A676" s="1097" t="s">
        <v>53</v>
      </c>
      <c r="B676" s="1103" t="s">
        <v>1322</v>
      </c>
      <c r="C676" s="1098" t="s">
        <v>1323</v>
      </c>
      <c r="D676" s="1098" t="s">
        <v>1324</v>
      </c>
      <c r="E676" s="1473" t="s">
        <v>72</v>
      </c>
      <c r="F676" s="856">
        <v>2024</v>
      </c>
      <c r="G676" s="1099">
        <v>45449</v>
      </c>
      <c r="H676" s="3">
        <v>200106265</v>
      </c>
      <c r="I676" s="1444" t="s">
        <v>1471</v>
      </c>
      <c r="J676" s="1144">
        <v>11</v>
      </c>
      <c r="K676" s="1174" t="s">
        <v>128</v>
      </c>
      <c r="L676" s="1174" t="s">
        <v>60</v>
      </c>
      <c r="M676" s="858">
        <v>545.20000000000005</v>
      </c>
      <c r="N676" s="786">
        <v>125.32</v>
      </c>
      <c r="O676" s="1043">
        <v>45453</v>
      </c>
      <c r="P676" s="1043">
        <v>45453</v>
      </c>
      <c r="Q676" s="4" t="s">
        <v>1472</v>
      </c>
      <c r="R676" s="786">
        <v>3.51</v>
      </c>
      <c r="S676" s="851" t="s">
        <v>62</v>
      </c>
      <c r="T676" s="856" t="s">
        <v>63</v>
      </c>
      <c r="U676" s="856" t="s">
        <v>75</v>
      </c>
      <c r="V676" s="1350">
        <v>566.12</v>
      </c>
      <c r="W676" s="1350">
        <v>454.84</v>
      </c>
      <c r="X676" s="1179">
        <v>45453</v>
      </c>
      <c r="Y676" s="1179">
        <v>45453</v>
      </c>
      <c r="Z676" s="856" t="s">
        <v>62</v>
      </c>
      <c r="AA676" s="1284" t="s">
        <v>1327</v>
      </c>
      <c r="AB676" s="1099">
        <v>45454</v>
      </c>
      <c r="AC676" s="1099">
        <v>45454</v>
      </c>
      <c r="AD676" s="1359">
        <f>528+456</f>
        <v>984</v>
      </c>
      <c r="AE676" s="1227">
        <v>0.96852300242130795</v>
      </c>
      <c r="AF676" s="1231" t="s">
        <v>64</v>
      </c>
      <c r="AG676" s="1262">
        <v>1</v>
      </c>
      <c r="AH676" s="1365" t="s">
        <v>1344</v>
      </c>
      <c r="AI676" s="1380">
        <v>45457</v>
      </c>
      <c r="AJ676" s="1380">
        <v>45461</v>
      </c>
      <c r="AK676" s="1381">
        <f>17500+5000+35624</f>
        <v>58124</v>
      </c>
      <c r="AL676" s="1227">
        <f t="shared" si="75"/>
        <v>0.96873333333333334</v>
      </c>
      <c r="AM676" s="1382" t="s">
        <v>62</v>
      </c>
      <c r="AN676" s="1367">
        <v>1</v>
      </c>
      <c r="AO676" s="1276"/>
      <c r="AP676" s="1277"/>
      <c r="AQ676" s="1276"/>
      <c r="AR676" s="1278"/>
      <c r="AS676" s="1278"/>
    </row>
    <row r="677" spans="1:45" ht="15.6">
      <c r="A677" s="1097" t="s">
        <v>53</v>
      </c>
      <c r="B677" s="1103" t="s">
        <v>1322</v>
      </c>
      <c r="C677" s="1098" t="s">
        <v>1323</v>
      </c>
      <c r="D677" s="1098" t="s">
        <v>1324</v>
      </c>
      <c r="E677" s="1473" t="s">
        <v>72</v>
      </c>
      <c r="F677" s="856">
        <v>2024</v>
      </c>
      <c r="G677" s="1099">
        <v>45449</v>
      </c>
      <c r="H677" s="3">
        <v>200106266</v>
      </c>
      <c r="I677" s="1444" t="s">
        <v>1473</v>
      </c>
      <c r="J677" s="1144">
        <v>12</v>
      </c>
      <c r="K677" s="1174" t="s">
        <v>128</v>
      </c>
      <c r="L677" s="1174" t="s">
        <v>60</v>
      </c>
      <c r="M677" s="858">
        <v>550.41999999999996</v>
      </c>
      <c r="N677" s="786">
        <v>124.82</v>
      </c>
      <c r="O677" s="1043">
        <v>45453</v>
      </c>
      <c r="P677" s="1043">
        <v>45453</v>
      </c>
      <c r="Q677" s="4" t="s">
        <v>1474</v>
      </c>
      <c r="R677" s="786">
        <v>3.65</v>
      </c>
      <c r="S677" s="851" t="s">
        <v>62</v>
      </c>
      <c r="T677" s="856" t="s">
        <v>63</v>
      </c>
      <c r="U677" s="856" t="s">
        <v>63</v>
      </c>
      <c r="V677" s="1350">
        <v>561.66</v>
      </c>
      <c r="W677" s="1350">
        <v>454.16</v>
      </c>
      <c r="X677" s="1179">
        <v>45453</v>
      </c>
      <c r="Y677" s="1179">
        <v>45454</v>
      </c>
      <c r="Z677" s="856" t="s">
        <v>62</v>
      </c>
      <c r="AA677" s="1284" t="s">
        <v>1327</v>
      </c>
      <c r="AB677" s="1099">
        <v>45454</v>
      </c>
      <c r="AC677" s="1099">
        <v>45454</v>
      </c>
      <c r="AD677" s="1359">
        <f>228+762</f>
        <v>990</v>
      </c>
      <c r="AE677" s="1227">
        <v>0.97442863048485195</v>
      </c>
      <c r="AF677" s="1231" t="s">
        <v>64</v>
      </c>
      <c r="AG677" s="1262">
        <v>1</v>
      </c>
      <c r="AH677" s="1365" t="s">
        <v>1328</v>
      </c>
      <c r="AI677" s="1380">
        <v>45457</v>
      </c>
      <c r="AJ677" s="1380">
        <v>45457</v>
      </c>
      <c r="AK677" s="1381">
        <f>8000+50587</f>
        <v>58587</v>
      </c>
      <c r="AL677" s="1227">
        <f t="shared" si="75"/>
        <v>0.97645000000000004</v>
      </c>
      <c r="AM677" s="1382" t="s">
        <v>62</v>
      </c>
      <c r="AN677" s="1367">
        <v>1</v>
      </c>
      <c r="AO677" s="1276"/>
      <c r="AP677" s="1277"/>
      <c r="AQ677" s="1276"/>
      <c r="AR677" s="1278"/>
      <c r="AS677" s="1278"/>
    </row>
    <row r="678" spans="1:45" ht="15.6">
      <c r="A678" s="1097" t="s">
        <v>53</v>
      </c>
      <c r="B678" s="1103" t="s">
        <v>1322</v>
      </c>
      <c r="C678" s="1098" t="s">
        <v>1323</v>
      </c>
      <c r="D678" s="1098" t="s">
        <v>1324</v>
      </c>
      <c r="E678" s="1473" t="s">
        <v>72</v>
      </c>
      <c r="F678" s="856">
        <v>2024</v>
      </c>
      <c r="G678" s="1099">
        <v>45449</v>
      </c>
      <c r="H678" s="3">
        <v>200106267</v>
      </c>
      <c r="I678" s="1444" t="s">
        <v>1475</v>
      </c>
      <c r="J678" s="1144">
        <v>13</v>
      </c>
      <c r="K678" s="1174" t="s">
        <v>144</v>
      </c>
      <c r="L678" s="1174" t="s">
        <v>60</v>
      </c>
      <c r="M678" s="1350">
        <v>549</v>
      </c>
      <c r="N678" s="786">
        <v>122.84</v>
      </c>
      <c r="O678" s="1179">
        <v>45453</v>
      </c>
      <c r="P678" s="1043">
        <v>45454</v>
      </c>
      <c r="Q678" s="1047"/>
      <c r="R678" s="786">
        <v>3.63</v>
      </c>
      <c r="S678" s="851" t="s">
        <v>62</v>
      </c>
      <c r="T678" s="856" t="s">
        <v>63</v>
      </c>
      <c r="U678" s="856" t="s">
        <v>75</v>
      </c>
      <c r="V678" s="1350">
        <v>559.6</v>
      </c>
      <c r="W678" s="1350">
        <v>452.24</v>
      </c>
      <c r="X678" s="1179">
        <v>45454</v>
      </c>
      <c r="Y678" s="1179">
        <v>45454</v>
      </c>
      <c r="Z678" s="856" t="s">
        <v>62</v>
      </c>
      <c r="AA678" s="1284" t="s">
        <v>1327</v>
      </c>
      <c r="AB678" s="1099">
        <v>45455</v>
      </c>
      <c r="AC678" s="1099">
        <v>45455</v>
      </c>
      <c r="AD678" s="1359">
        <f>726+260</f>
        <v>986</v>
      </c>
      <c r="AE678" s="1227">
        <v>0.97049154510915603</v>
      </c>
      <c r="AF678" s="1231" t="s">
        <v>64</v>
      </c>
      <c r="AG678" s="1262">
        <v>1</v>
      </c>
      <c r="AH678" s="1365" t="s">
        <v>1328</v>
      </c>
      <c r="AI678" s="1380">
        <v>45458</v>
      </c>
      <c r="AJ678" s="1380">
        <v>45461</v>
      </c>
      <c r="AK678" s="1381">
        <f>6085+52195</f>
        <v>58280</v>
      </c>
      <c r="AL678" s="1227">
        <f t="shared" si="75"/>
        <v>0.97133333333333338</v>
      </c>
      <c r="AM678" s="1382" t="s">
        <v>62</v>
      </c>
      <c r="AN678" s="1367">
        <v>1</v>
      </c>
      <c r="AO678" s="1276"/>
      <c r="AP678" s="1277"/>
      <c r="AQ678" s="1276"/>
      <c r="AR678" s="1278"/>
      <c r="AS678" s="1278"/>
    </row>
    <row r="679" spans="1:45" ht="15.6">
      <c r="A679" s="1097" t="s">
        <v>53</v>
      </c>
      <c r="B679" s="1103" t="s">
        <v>1322</v>
      </c>
      <c r="C679" s="1098" t="s">
        <v>1323</v>
      </c>
      <c r="D679" s="1098" t="s">
        <v>1324</v>
      </c>
      <c r="E679" s="1473" t="s">
        <v>72</v>
      </c>
      <c r="F679" s="856">
        <v>2024</v>
      </c>
      <c r="G679" s="1099">
        <v>45449</v>
      </c>
      <c r="H679" s="3">
        <v>200106268</v>
      </c>
      <c r="I679" s="1444" t="s">
        <v>1476</v>
      </c>
      <c r="J679" s="1144">
        <v>14</v>
      </c>
      <c r="K679" s="1174" t="s">
        <v>144</v>
      </c>
      <c r="L679" s="1174" t="s">
        <v>60</v>
      </c>
      <c r="M679" s="1350">
        <v>550</v>
      </c>
      <c r="N679" s="786">
        <v>122.48</v>
      </c>
      <c r="O679" s="1179" t="s">
        <v>1477</v>
      </c>
      <c r="P679" s="1043">
        <v>45454</v>
      </c>
      <c r="Q679" s="1047"/>
      <c r="R679" s="786">
        <v>3.64</v>
      </c>
      <c r="S679" s="851" t="s">
        <v>62</v>
      </c>
      <c r="T679" s="856" t="s">
        <v>75</v>
      </c>
      <c r="U679" s="856" t="s">
        <v>75</v>
      </c>
      <c r="V679" s="1350">
        <v>560.84</v>
      </c>
      <c r="W679" s="1350">
        <v>452</v>
      </c>
      <c r="X679" s="1179">
        <v>45455</v>
      </c>
      <c r="Y679" s="1179">
        <v>45454</v>
      </c>
      <c r="Z679" s="856" t="s">
        <v>62</v>
      </c>
      <c r="AA679" s="1284" t="s">
        <v>1327</v>
      </c>
      <c r="AB679" s="1099">
        <v>45455</v>
      </c>
      <c r="AC679" s="1099">
        <v>45455</v>
      </c>
      <c r="AD679" s="1359">
        <f>422+565</f>
        <v>987</v>
      </c>
      <c r="AE679" s="1227">
        <v>0.97147581645308001</v>
      </c>
      <c r="AF679" s="1231" t="s">
        <v>64</v>
      </c>
      <c r="AG679" s="1262">
        <v>1</v>
      </c>
      <c r="AH679" s="1256" t="s">
        <v>1328</v>
      </c>
      <c r="AI679" s="1257">
        <v>45461</v>
      </c>
      <c r="AJ679" s="1257">
        <v>45461</v>
      </c>
      <c r="AK679" s="1384">
        <f>4300+54073</f>
        <v>58373</v>
      </c>
      <c r="AL679" s="1227">
        <f t="shared" si="75"/>
        <v>0.97288333333333332</v>
      </c>
      <c r="AM679" s="1382" t="s">
        <v>62</v>
      </c>
      <c r="AN679" s="1367">
        <v>1</v>
      </c>
      <c r="AO679" s="1276"/>
      <c r="AP679" s="1277"/>
      <c r="AQ679" s="1276"/>
      <c r="AR679" s="1278"/>
      <c r="AS679" s="1278"/>
    </row>
    <row r="680" spans="1:45" ht="15.6">
      <c r="A680" s="1097" t="s">
        <v>53</v>
      </c>
      <c r="B680" s="1103" t="s">
        <v>1322</v>
      </c>
      <c r="C680" s="1098" t="s">
        <v>1323</v>
      </c>
      <c r="D680" s="1098" t="s">
        <v>1324</v>
      </c>
      <c r="E680" s="1473" t="s">
        <v>72</v>
      </c>
      <c r="F680" s="856">
        <v>2024</v>
      </c>
      <c r="G680" s="1099">
        <v>45449</v>
      </c>
      <c r="H680" s="3">
        <v>200106269</v>
      </c>
      <c r="I680" s="1444" t="s">
        <v>1478</v>
      </c>
      <c r="J680" s="1144">
        <v>15</v>
      </c>
      <c r="K680" s="1174" t="s">
        <v>144</v>
      </c>
      <c r="L680" s="1174" t="s">
        <v>60</v>
      </c>
      <c r="M680" s="1350">
        <v>555</v>
      </c>
      <c r="N680" s="786">
        <v>123.1</v>
      </c>
      <c r="O680" s="1179">
        <v>45454</v>
      </c>
      <c r="P680" s="1043">
        <v>45454</v>
      </c>
      <c r="Q680" s="1047"/>
      <c r="R680" s="786">
        <v>3.74</v>
      </c>
      <c r="S680" s="851" t="s">
        <v>62</v>
      </c>
      <c r="T680" s="856" t="s">
        <v>69</v>
      </c>
      <c r="U680" s="856" t="s">
        <v>75</v>
      </c>
      <c r="V680" s="1350">
        <v>566.16999999999996</v>
      </c>
      <c r="W680" s="1350">
        <v>452.54</v>
      </c>
      <c r="X680" s="1179">
        <v>45455</v>
      </c>
      <c r="Y680" s="1179">
        <v>45454</v>
      </c>
      <c r="Z680" s="856" t="s">
        <v>62</v>
      </c>
      <c r="AA680" s="1284" t="s">
        <v>1327</v>
      </c>
      <c r="AB680" s="1099">
        <v>45455</v>
      </c>
      <c r="AC680" s="1099">
        <v>45456</v>
      </c>
      <c r="AD680" s="1359">
        <f>162+752+76</f>
        <v>990</v>
      </c>
      <c r="AE680" s="1227">
        <v>0.97442863048485195</v>
      </c>
      <c r="AF680" s="1231" t="s">
        <v>64</v>
      </c>
      <c r="AG680" s="1262">
        <v>1</v>
      </c>
      <c r="AH680" s="1365" t="s">
        <v>1344</v>
      </c>
      <c r="AI680" s="1380">
        <v>45461</v>
      </c>
      <c r="AJ680" s="1380">
        <v>45462</v>
      </c>
      <c r="AK680" s="1381">
        <f>54000+4332</f>
        <v>58332</v>
      </c>
      <c r="AL680" s="1227">
        <f t="shared" si="75"/>
        <v>0.97219999999999995</v>
      </c>
      <c r="AM680" s="1382" t="s">
        <v>62</v>
      </c>
      <c r="AN680" s="1367">
        <v>1</v>
      </c>
      <c r="AO680" s="1276"/>
      <c r="AP680" s="1277"/>
      <c r="AQ680" s="1276"/>
      <c r="AR680" s="1278"/>
      <c r="AS680" s="1278"/>
    </row>
    <row r="681" spans="1:45" ht="15.6">
      <c r="A681" s="1097" t="s">
        <v>53</v>
      </c>
      <c r="B681" s="1103" t="s">
        <v>1322</v>
      </c>
      <c r="C681" s="1098" t="s">
        <v>1323</v>
      </c>
      <c r="D681" s="1098" t="s">
        <v>1324</v>
      </c>
      <c r="E681" s="1473" t="s">
        <v>72</v>
      </c>
      <c r="F681" s="856">
        <v>2024</v>
      </c>
      <c r="G681" s="1099">
        <v>45449</v>
      </c>
      <c r="H681" s="3">
        <v>200106270</v>
      </c>
      <c r="I681" s="1444" t="s">
        <v>1479</v>
      </c>
      <c r="J681" s="1144">
        <v>16</v>
      </c>
      <c r="K681" s="1174" t="s">
        <v>144</v>
      </c>
      <c r="L681" s="1174" t="s">
        <v>60</v>
      </c>
      <c r="M681" s="1350">
        <v>552.70000000000005</v>
      </c>
      <c r="N681" s="786">
        <v>124.28</v>
      </c>
      <c r="O681" s="1179">
        <v>45454</v>
      </c>
      <c r="P681" s="1043">
        <v>45454</v>
      </c>
      <c r="Q681" s="1047"/>
      <c r="R681" s="786">
        <v>3.79</v>
      </c>
      <c r="S681" s="851" t="s">
        <v>62</v>
      </c>
      <c r="T681" s="856" t="s">
        <v>69</v>
      </c>
      <c r="U681" s="856" t="s">
        <v>69</v>
      </c>
      <c r="V681" s="1350">
        <v>563.72</v>
      </c>
      <c r="W681" s="1350">
        <v>453</v>
      </c>
      <c r="X681" s="1179">
        <v>45456</v>
      </c>
      <c r="Y681" s="1179">
        <v>45456</v>
      </c>
      <c r="Z681" s="856" t="s">
        <v>62</v>
      </c>
      <c r="AA681" s="1284" t="s">
        <v>1327</v>
      </c>
      <c r="AB681" s="1099">
        <v>45456</v>
      </c>
      <c r="AC681" s="1099">
        <v>45456</v>
      </c>
      <c r="AD681" s="1359">
        <f>474+515</f>
        <v>989</v>
      </c>
      <c r="AE681" s="1227">
        <v>0.97344435914092797</v>
      </c>
      <c r="AF681" s="1231" t="s">
        <v>64</v>
      </c>
      <c r="AG681" s="1262">
        <v>1</v>
      </c>
      <c r="AH681" s="1365" t="s">
        <v>1344</v>
      </c>
      <c r="AI681" s="1380">
        <v>45462</v>
      </c>
      <c r="AJ681" s="1380">
        <v>45462</v>
      </c>
      <c r="AK681" s="1381">
        <f>30000+28514</f>
        <v>58514</v>
      </c>
      <c r="AL681" s="1227">
        <f t="shared" si="75"/>
        <v>0.97523333333333329</v>
      </c>
      <c r="AM681" s="1382" t="s">
        <v>62</v>
      </c>
      <c r="AN681" s="1367">
        <v>1</v>
      </c>
      <c r="AO681" s="1276"/>
      <c r="AP681" s="1277"/>
      <c r="AQ681" s="1276"/>
      <c r="AR681" s="1278"/>
      <c r="AS681" s="1278"/>
    </row>
    <row r="682" spans="1:45" ht="15.6">
      <c r="A682" s="1097" t="s">
        <v>53</v>
      </c>
      <c r="B682" s="1103" t="s">
        <v>1322</v>
      </c>
      <c r="C682" s="1098" t="s">
        <v>1323</v>
      </c>
      <c r="D682" s="1098" t="s">
        <v>1324</v>
      </c>
      <c r="E682" s="1473" t="s">
        <v>72</v>
      </c>
      <c r="F682" s="856">
        <v>2024</v>
      </c>
      <c r="G682" s="1099">
        <v>45449</v>
      </c>
      <c r="H682" s="3">
        <v>200106271</v>
      </c>
      <c r="I682" s="1444" t="s">
        <v>1480</v>
      </c>
      <c r="J682" s="1144">
        <v>17</v>
      </c>
      <c r="K682" s="1174" t="s">
        <v>128</v>
      </c>
      <c r="L682" s="1174" t="s">
        <v>60</v>
      </c>
      <c r="M682" s="1174" t="s">
        <v>1360</v>
      </c>
      <c r="N682" s="762">
        <v>126.42</v>
      </c>
      <c r="O682" s="1211" t="s">
        <v>1360</v>
      </c>
      <c r="P682" s="1043">
        <v>45454</v>
      </c>
      <c r="Q682" s="1047"/>
      <c r="R682" s="762">
        <v>3.69</v>
      </c>
      <c r="S682" s="851" t="s">
        <v>62</v>
      </c>
      <c r="T682" s="856" t="s">
        <v>69</v>
      </c>
      <c r="U682" s="856" t="s">
        <v>69</v>
      </c>
      <c r="V682" s="1350">
        <v>560</v>
      </c>
      <c r="W682" s="1350">
        <v>465.01</v>
      </c>
      <c r="X682" s="1179">
        <v>45457</v>
      </c>
      <c r="Y682" s="1179">
        <v>45456</v>
      </c>
      <c r="Z682" s="856" t="s">
        <v>62</v>
      </c>
      <c r="AA682" s="1284" t="s">
        <v>1327</v>
      </c>
      <c r="AB682" s="1099">
        <v>45457</v>
      </c>
      <c r="AC682" s="1099">
        <v>45458</v>
      </c>
      <c r="AD682" s="1226">
        <f>517+472</f>
        <v>989</v>
      </c>
      <c r="AE682" s="1227">
        <v>0.97344435914092797</v>
      </c>
      <c r="AF682" s="1231" t="s">
        <v>64</v>
      </c>
      <c r="AG682" s="1262">
        <v>1</v>
      </c>
      <c r="AH682" s="1365" t="s">
        <v>1328</v>
      </c>
      <c r="AI682" s="1380">
        <v>45461</v>
      </c>
      <c r="AJ682" s="1380">
        <v>45462</v>
      </c>
      <c r="AK682" s="1381">
        <f>11650+36806+9506</f>
        <v>57962</v>
      </c>
      <c r="AL682" s="1227">
        <f t="shared" si="75"/>
        <v>0.9660333333333333</v>
      </c>
      <c r="AM682" s="1382" t="s">
        <v>62</v>
      </c>
      <c r="AN682" s="1367">
        <v>1</v>
      </c>
      <c r="AO682" s="1276"/>
      <c r="AP682" s="1277"/>
      <c r="AQ682" s="1276"/>
      <c r="AR682" s="1278"/>
      <c r="AS682" s="1278"/>
    </row>
    <row r="683" spans="1:45" ht="15.6">
      <c r="A683" s="1097" t="s">
        <v>53</v>
      </c>
      <c r="B683" s="1103" t="s">
        <v>1322</v>
      </c>
      <c r="C683" s="1098" t="s">
        <v>1323</v>
      </c>
      <c r="D683" s="1098" t="s">
        <v>1324</v>
      </c>
      <c r="E683" s="1473" t="s">
        <v>72</v>
      </c>
      <c r="F683" s="856">
        <v>2024</v>
      </c>
      <c r="G683" s="1099">
        <v>45449</v>
      </c>
      <c r="H683" s="3">
        <v>200106272</v>
      </c>
      <c r="I683" s="1444" t="s">
        <v>1481</v>
      </c>
      <c r="J683" s="1144">
        <v>18</v>
      </c>
      <c r="K683" s="1174" t="s">
        <v>128</v>
      </c>
      <c r="L683" s="1174" t="s">
        <v>60</v>
      </c>
      <c r="M683" s="865">
        <v>554.86</v>
      </c>
      <c r="N683" s="786">
        <v>122.75</v>
      </c>
      <c r="O683" s="1043">
        <v>45456</v>
      </c>
      <c r="P683" s="1043">
        <v>45456</v>
      </c>
      <c r="Q683" s="4" t="s">
        <v>1482</v>
      </c>
      <c r="R683" s="786">
        <v>3.44</v>
      </c>
      <c r="S683" s="851" t="s">
        <v>62</v>
      </c>
      <c r="T683" s="856" t="s">
        <v>69</v>
      </c>
      <c r="U683" s="856" t="s">
        <v>69</v>
      </c>
      <c r="V683" s="1350">
        <v>566.03</v>
      </c>
      <c r="W683" s="1350">
        <v>450.32</v>
      </c>
      <c r="X683" s="1179">
        <v>45456</v>
      </c>
      <c r="Y683" s="1179">
        <v>45456</v>
      </c>
      <c r="Z683" s="856" t="s">
        <v>62</v>
      </c>
      <c r="AA683" s="1284" t="s">
        <v>1327</v>
      </c>
      <c r="AB683" s="1099">
        <v>45456</v>
      </c>
      <c r="AC683" s="1099">
        <v>45457</v>
      </c>
      <c r="AD683" s="1359">
        <f>214+614+164</f>
        <v>992</v>
      </c>
      <c r="AE683" s="1227">
        <v>0.97639717317270003</v>
      </c>
      <c r="AF683" s="1231" t="s">
        <v>64</v>
      </c>
      <c r="AG683" s="1262">
        <v>1</v>
      </c>
      <c r="AH683" s="1365" t="s">
        <v>1328</v>
      </c>
      <c r="AI683" s="1380">
        <v>45462</v>
      </c>
      <c r="AJ683" s="1380">
        <v>45462</v>
      </c>
      <c r="AK683" s="1381">
        <f>52700+5950</f>
        <v>58650</v>
      </c>
      <c r="AL683" s="1227">
        <f t="shared" si="75"/>
        <v>0.97750000000000004</v>
      </c>
      <c r="AM683" s="1382" t="s">
        <v>62</v>
      </c>
      <c r="AN683" s="1367">
        <v>1</v>
      </c>
      <c r="AO683" s="1276"/>
      <c r="AP683" s="1277"/>
      <c r="AQ683" s="1276"/>
      <c r="AR683" s="1278"/>
      <c r="AS683" s="1278"/>
    </row>
    <row r="684" spans="1:45" ht="15.6">
      <c r="A684" s="1097" t="s">
        <v>53</v>
      </c>
      <c r="B684" s="1103" t="s">
        <v>1322</v>
      </c>
      <c r="C684" s="1098" t="s">
        <v>1323</v>
      </c>
      <c r="D684" s="1098" t="s">
        <v>1324</v>
      </c>
      <c r="E684" s="1473" t="s">
        <v>72</v>
      </c>
      <c r="F684" s="856">
        <v>2024</v>
      </c>
      <c r="G684" s="1099">
        <v>45449</v>
      </c>
      <c r="H684" s="3">
        <v>200106273</v>
      </c>
      <c r="I684" s="1444" t="s">
        <v>1483</v>
      </c>
      <c r="J684" s="1144">
        <v>19</v>
      </c>
      <c r="K684" s="1174" t="s">
        <v>128</v>
      </c>
      <c r="L684" s="1174" t="s">
        <v>60</v>
      </c>
      <c r="M684" s="786">
        <v>550.72</v>
      </c>
      <c r="N684" s="786">
        <v>123.17</v>
      </c>
      <c r="O684" s="1043">
        <v>45456</v>
      </c>
      <c r="P684" s="1043">
        <v>45456</v>
      </c>
      <c r="Q684" s="4" t="s">
        <v>1484</v>
      </c>
      <c r="R684" s="786">
        <v>3.42</v>
      </c>
      <c r="S684" s="851" t="s">
        <v>62</v>
      </c>
      <c r="T684" s="856" t="s">
        <v>69</v>
      </c>
      <c r="U684" s="856" t="s">
        <v>69</v>
      </c>
      <c r="V684" s="1350">
        <v>561.30999999999995</v>
      </c>
      <c r="W684" s="1350">
        <v>452.04</v>
      </c>
      <c r="X684" s="1179">
        <v>45457</v>
      </c>
      <c r="Y684" s="1179">
        <v>45457</v>
      </c>
      <c r="Z684" s="856" t="s">
        <v>62</v>
      </c>
      <c r="AA684" s="1284" t="s">
        <v>1327</v>
      </c>
      <c r="AB684" s="1099">
        <v>45457</v>
      </c>
      <c r="AC684" s="1099">
        <v>45462</v>
      </c>
      <c r="AD684" s="1359">
        <f>234+30+654+67</f>
        <v>985</v>
      </c>
      <c r="AE684" s="1227">
        <v>0.96950727376523205</v>
      </c>
      <c r="AF684" s="1231" t="s">
        <v>64</v>
      </c>
      <c r="AG684" s="1262">
        <v>1</v>
      </c>
      <c r="AH684" s="1365" t="s">
        <v>1344</v>
      </c>
      <c r="AI684" s="1380">
        <v>45463</v>
      </c>
      <c r="AJ684" s="1380">
        <v>45464</v>
      </c>
      <c r="AK684" s="1381">
        <f>44302+13895</f>
        <v>58197</v>
      </c>
      <c r="AL684" s="1227">
        <f t="shared" si="75"/>
        <v>0.96994999999999998</v>
      </c>
      <c r="AM684" s="1382" t="s">
        <v>62</v>
      </c>
      <c r="AN684" s="1367">
        <v>1</v>
      </c>
      <c r="AO684" s="1276"/>
      <c r="AP684" s="1277"/>
      <c r="AQ684" s="1276"/>
      <c r="AR684" s="1278"/>
      <c r="AS684" s="1278"/>
    </row>
    <row r="685" spans="1:45" ht="15.6">
      <c r="A685" s="1097" t="s">
        <v>53</v>
      </c>
      <c r="B685" s="1103" t="s">
        <v>1322</v>
      </c>
      <c r="C685" s="1098" t="s">
        <v>1323</v>
      </c>
      <c r="D685" s="1098" t="s">
        <v>1324</v>
      </c>
      <c r="E685" s="1473" t="s">
        <v>72</v>
      </c>
      <c r="F685" s="856">
        <v>2024</v>
      </c>
      <c r="G685" s="1099">
        <v>45449</v>
      </c>
      <c r="H685" s="3">
        <v>200106274</v>
      </c>
      <c r="I685" s="1444" t="s">
        <v>1485</v>
      </c>
      <c r="J685" s="1144">
        <v>20</v>
      </c>
      <c r="K685" s="1174" t="s">
        <v>128</v>
      </c>
      <c r="L685" s="1174" t="s">
        <v>60</v>
      </c>
      <c r="M685" s="786">
        <v>551.79</v>
      </c>
      <c r="N685" s="786">
        <v>122.65</v>
      </c>
      <c r="O685" s="1043">
        <v>45457</v>
      </c>
      <c r="P685" s="1043">
        <v>45457</v>
      </c>
      <c r="Q685" s="4" t="s">
        <v>1486</v>
      </c>
      <c r="R685" s="786">
        <v>3.64</v>
      </c>
      <c r="S685" s="851" t="s">
        <v>62</v>
      </c>
      <c r="T685" s="856" t="s">
        <v>69</v>
      </c>
      <c r="U685" s="856" t="s">
        <v>69</v>
      </c>
      <c r="V685" s="1350">
        <v>562.85</v>
      </c>
      <c r="W685" s="1350">
        <v>452.2</v>
      </c>
      <c r="X685" s="1179">
        <v>45457</v>
      </c>
      <c r="Y685" s="1179">
        <v>45457</v>
      </c>
      <c r="Z685" s="856" t="s">
        <v>62</v>
      </c>
      <c r="AA685" s="1284" t="s">
        <v>1487</v>
      </c>
      <c r="AB685" s="1099">
        <v>45461</v>
      </c>
      <c r="AC685" s="1099">
        <v>45461</v>
      </c>
      <c r="AD685" s="1359">
        <f>478+512</f>
        <v>990</v>
      </c>
      <c r="AE685" s="1227">
        <v>0.97442863048485195</v>
      </c>
      <c r="AF685" s="1231" t="s">
        <v>64</v>
      </c>
      <c r="AG685" s="1262">
        <v>1</v>
      </c>
      <c r="AH685" s="1365" t="s">
        <v>1328</v>
      </c>
      <c r="AI685" s="1380">
        <v>45463</v>
      </c>
      <c r="AJ685" s="1380">
        <v>45463</v>
      </c>
      <c r="AK685" s="1381">
        <f>17000+41500</f>
        <v>58500</v>
      </c>
      <c r="AL685" s="1227">
        <f t="shared" si="75"/>
        <v>0.97499999999999998</v>
      </c>
      <c r="AM685" s="1382" t="s">
        <v>62</v>
      </c>
      <c r="AN685" s="1367">
        <v>1</v>
      </c>
      <c r="AO685" s="1276"/>
      <c r="AP685" s="1277"/>
      <c r="AQ685" s="1276"/>
      <c r="AR685" s="1278"/>
      <c r="AS685" s="1278"/>
    </row>
    <row r="686" spans="1:45" ht="15.6">
      <c r="A686" s="1097" t="s">
        <v>53</v>
      </c>
      <c r="B686" s="1103" t="s">
        <v>1322</v>
      </c>
      <c r="C686" s="1098" t="s">
        <v>1323</v>
      </c>
      <c r="D686" s="1098" t="s">
        <v>1324</v>
      </c>
      <c r="E686" s="1473" t="s">
        <v>72</v>
      </c>
      <c r="F686" s="856">
        <v>2024</v>
      </c>
      <c r="G686" s="1099">
        <v>45449</v>
      </c>
      <c r="H686" s="3">
        <v>200106275</v>
      </c>
      <c r="I686" s="1444" t="s">
        <v>1488</v>
      </c>
      <c r="J686" s="1144">
        <v>21</v>
      </c>
      <c r="K686" s="1174" t="s">
        <v>128</v>
      </c>
      <c r="L686" s="1174" t="s">
        <v>60</v>
      </c>
      <c r="M686" s="786">
        <v>557.74</v>
      </c>
      <c r="N686" s="786">
        <v>123.67</v>
      </c>
      <c r="O686" s="1043">
        <v>45457</v>
      </c>
      <c r="P686" s="1043">
        <v>45457</v>
      </c>
      <c r="Q686" s="4" t="s">
        <v>1489</v>
      </c>
      <c r="R686" s="786">
        <v>3.65</v>
      </c>
      <c r="S686" s="851" t="s">
        <v>62</v>
      </c>
      <c r="T686" s="856" t="s">
        <v>69</v>
      </c>
      <c r="U686" s="856" t="s">
        <v>69</v>
      </c>
      <c r="V686" s="1350">
        <v>568.91</v>
      </c>
      <c r="W686" s="1350">
        <v>453.26</v>
      </c>
      <c r="X686" s="1179">
        <v>45457</v>
      </c>
      <c r="Y686" s="1179">
        <v>45457</v>
      </c>
      <c r="Z686" s="856" t="s">
        <v>62</v>
      </c>
      <c r="AA686" s="1284" t="s">
        <v>1333</v>
      </c>
      <c r="AB686" s="1099">
        <v>45461</v>
      </c>
      <c r="AC686" s="1099">
        <v>45461</v>
      </c>
      <c r="AD686" s="1359">
        <f>563+427</f>
        <v>990</v>
      </c>
      <c r="AE686" s="1227">
        <v>0.97442863048485195</v>
      </c>
      <c r="AF686" s="1231" t="s">
        <v>64</v>
      </c>
      <c r="AG686" s="1262">
        <v>1</v>
      </c>
      <c r="AH686" s="1365" t="s">
        <v>1344</v>
      </c>
      <c r="AI686" s="1380">
        <v>45463</v>
      </c>
      <c r="AJ686" s="1380">
        <v>45463</v>
      </c>
      <c r="AK686" s="1381">
        <f>24654+33902</f>
        <v>58556</v>
      </c>
      <c r="AL686" s="1227">
        <f t="shared" si="75"/>
        <v>0.97593333333333332</v>
      </c>
      <c r="AM686" s="1382" t="s">
        <v>62</v>
      </c>
      <c r="AN686" s="1367">
        <v>1</v>
      </c>
      <c r="AO686" s="1276"/>
      <c r="AP686" s="1277"/>
      <c r="AQ686" s="1276"/>
      <c r="AR686" s="1278"/>
      <c r="AS686" s="1278"/>
    </row>
    <row r="687" spans="1:45" ht="15.6">
      <c r="A687" s="1097" t="s">
        <v>53</v>
      </c>
      <c r="B687" s="1103" t="s">
        <v>1322</v>
      </c>
      <c r="C687" s="1098" t="s">
        <v>1323</v>
      </c>
      <c r="D687" s="1098" t="s">
        <v>1324</v>
      </c>
      <c r="E687" s="1473" t="s">
        <v>72</v>
      </c>
      <c r="F687" s="856">
        <v>2024</v>
      </c>
      <c r="G687" s="1099">
        <v>45449</v>
      </c>
      <c r="H687" s="3">
        <v>200106276</v>
      </c>
      <c r="I687" s="1444" t="s">
        <v>1490</v>
      </c>
      <c r="J687" s="1144">
        <v>22</v>
      </c>
      <c r="K687" s="1174" t="s">
        <v>128</v>
      </c>
      <c r="L687" s="1174" t="s">
        <v>60</v>
      </c>
      <c r="M687" s="762">
        <v>553.55999999999995</v>
      </c>
      <c r="N687" s="786">
        <v>123.8</v>
      </c>
      <c r="O687" s="1043">
        <v>45457</v>
      </c>
      <c r="P687" s="1043">
        <v>45457</v>
      </c>
      <c r="Q687" s="4" t="s">
        <v>1491</v>
      </c>
      <c r="R687" s="786">
        <v>3.57</v>
      </c>
      <c r="S687" s="851" t="s">
        <v>62</v>
      </c>
      <c r="T687" s="856" t="s">
        <v>75</v>
      </c>
      <c r="U687" s="856" t="s">
        <v>63</v>
      </c>
      <c r="V687" s="1350">
        <v>564.44000000000005</v>
      </c>
      <c r="W687" s="1350">
        <v>453.42</v>
      </c>
      <c r="X687" s="1179">
        <v>45461</v>
      </c>
      <c r="Y687" s="1179">
        <v>45461</v>
      </c>
      <c r="Z687" s="856" t="s">
        <v>62</v>
      </c>
      <c r="AA687" s="1284" t="s">
        <v>1487</v>
      </c>
      <c r="AB687" s="1099">
        <v>45461</v>
      </c>
      <c r="AC687" s="1099">
        <v>45461</v>
      </c>
      <c r="AD687" s="1359">
        <f>76+920</f>
        <v>996</v>
      </c>
      <c r="AE687" s="1227">
        <v>0.98033425854839695</v>
      </c>
      <c r="AF687" s="1231" t="s">
        <v>64</v>
      </c>
      <c r="AG687" s="1262">
        <v>1</v>
      </c>
      <c r="AH687" s="1365" t="s">
        <v>1344</v>
      </c>
      <c r="AI687" s="1380">
        <v>45464</v>
      </c>
      <c r="AJ687" s="1380">
        <v>45464</v>
      </c>
      <c r="AK687" s="1381">
        <f>25200+33659</f>
        <v>58859</v>
      </c>
      <c r="AL687" s="1227">
        <f t="shared" si="75"/>
        <v>0.98098333333333332</v>
      </c>
      <c r="AM687" s="1382" t="s">
        <v>62</v>
      </c>
      <c r="AN687" s="1367">
        <v>1</v>
      </c>
      <c r="AO687" s="1276"/>
      <c r="AP687" s="1277"/>
      <c r="AQ687" s="1276"/>
      <c r="AR687" s="1278"/>
      <c r="AS687" s="1278"/>
    </row>
    <row r="688" spans="1:45" ht="15.6">
      <c r="A688" s="1097" t="s">
        <v>53</v>
      </c>
      <c r="B688" s="1103" t="s">
        <v>1322</v>
      </c>
      <c r="C688" s="1098" t="s">
        <v>1323</v>
      </c>
      <c r="D688" s="1098" t="s">
        <v>1324</v>
      </c>
      <c r="E688" s="1473" t="s">
        <v>72</v>
      </c>
      <c r="F688" s="856">
        <v>2024</v>
      </c>
      <c r="G688" s="1099">
        <v>45449</v>
      </c>
      <c r="H688" s="3">
        <v>200106277</v>
      </c>
      <c r="I688" s="1444" t="s">
        <v>1492</v>
      </c>
      <c r="J688" s="1144">
        <v>23</v>
      </c>
      <c r="K688" s="1174" t="s">
        <v>144</v>
      </c>
      <c r="L688" s="1174" t="s">
        <v>60</v>
      </c>
      <c r="M688" s="1350">
        <v>549.5</v>
      </c>
      <c r="N688" s="786">
        <v>124.61</v>
      </c>
      <c r="O688" s="1179">
        <v>45457</v>
      </c>
      <c r="P688" s="1043">
        <v>45457</v>
      </c>
      <c r="Q688" s="1048"/>
      <c r="R688" s="786">
        <v>3.43</v>
      </c>
      <c r="S688" s="851" t="s">
        <v>62</v>
      </c>
      <c r="T688" s="856" t="s">
        <v>75</v>
      </c>
      <c r="U688" s="856" t="s">
        <v>63</v>
      </c>
      <c r="V688" s="1350">
        <v>560.6</v>
      </c>
      <c r="W688" s="1350">
        <v>453.88</v>
      </c>
      <c r="X688" s="1179">
        <v>45461</v>
      </c>
      <c r="Y688" s="1179">
        <v>45461</v>
      </c>
      <c r="Z688" s="856" t="s">
        <v>62</v>
      </c>
      <c r="AA688" s="1284" t="s">
        <v>1333</v>
      </c>
      <c r="AB688" s="1099">
        <v>45461</v>
      </c>
      <c r="AC688" s="1099">
        <v>45462</v>
      </c>
      <c r="AD688" s="1359">
        <f>300+370+314</f>
        <v>984</v>
      </c>
      <c r="AE688" s="1227">
        <v>0.96852300242130795</v>
      </c>
      <c r="AF688" s="1231" t="s">
        <v>64</v>
      </c>
      <c r="AG688" s="1262">
        <v>1</v>
      </c>
      <c r="AH688" s="1365" t="s">
        <v>1328</v>
      </c>
      <c r="AI688" s="1380">
        <v>45464</v>
      </c>
      <c r="AJ688" s="1380">
        <v>45464</v>
      </c>
      <c r="AK688" s="1381">
        <f>40000+17991</f>
        <v>57991</v>
      </c>
      <c r="AL688" s="1227">
        <f t="shared" si="75"/>
        <v>0.96651666666666669</v>
      </c>
      <c r="AM688" s="1382" t="s">
        <v>62</v>
      </c>
      <c r="AN688" s="1367">
        <v>1</v>
      </c>
      <c r="AO688" s="1276"/>
      <c r="AP688" s="1277"/>
      <c r="AQ688" s="1276"/>
      <c r="AR688" s="1278"/>
      <c r="AS688" s="1278"/>
    </row>
    <row r="689" spans="1:45" ht="15.6">
      <c r="A689" s="1097" t="s">
        <v>53</v>
      </c>
      <c r="B689" s="1103" t="s">
        <v>1322</v>
      </c>
      <c r="C689" s="1098" t="s">
        <v>1323</v>
      </c>
      <c r="D689" s="1098" t="s">
        <v>1324</v>
      </c>
      <c r="E689" s="1473" t="s">
        <v>72</v>
      </c>
      <c r="F689" s="856">
        <v>2024</v>
      </c>
      <c r="G689" s="1099">
        <v>45449</v>
      </c>
      <c r="H689" s="3">
        <v>200106444</v>
      </c>
      <c r="I689" s="1444" t="s">
        <v>1493</v>
      </c>
      <c r="J689" s="1144">
        <v>30</v>
      </c>
      <c r="K689" s="1174" t="s">
        <v>144</v>
      </c>
      <c r="L689" s="1174" t="s">
        <v>60</v>
      </c>
      <c r="M689" s="1350">
        <v>547</v>
      </c>
      <c r="N689" s="3">
        <v>122.39</v>
      </c>
      <c r="O689" s="1179">
        <v>45461</v>
      </c>
      <c r="P689" s="1043">
        <v>45461</v>
      </c>
      <c r="Q689" s="1048"/>
      <c r="R689" s="3">
        <v>3.41</v>
      </c>
      <c r="S689" s="851" t="s">
        <v>62</v>
      </c>
      <c r="T689" s="856" t="s">
        <v>63</v>
      </c>
      <c r="U689" s="856" t="s">
        <v>69</v>
      </c>
      <c r="V689" s="1350">
        <v>558.1</v>
      </c>
      <c r="W689" s="1350">
        <v>451.28</v>
      </c>
      <c r="X689" s="1179">
        <v>45462</v>
      </c>
      <c r="Y689" s="1179">
        <v>45462</v>
      </c>
      <c r="Z689" s="856" t="s">
        <v>62</v>
      </c>
      <c r="AA689" s="1284" t="s">
        <v>1333</v>
      </c>
      <c r="AB689" s="1099">
        <v>45462</v>
      </c>
      <c r="AC689" s="1099">
        <v>45463</v>
      </c>
      <c r="AD689" s="1359">
        <f>132+644+205</f>
        <v>981</v>
      </c>
      <c r="AE689" s="1227">
        <v>0.96557018838953501</v>
      </c>
      <c r="AF689" s="1231" t="s">
        <v>64</v>
      </c>
      <c r="AG689" s="1262">
        <v>1</v>
      </c>
      <c r="AH689" s="1365" t="s">
        <v>1328</v>
      </c>
      <c r="AI689" s="1380">
        <v>45467</v>
      </c>
      <c r="AJ689" s="1380">
        <v>45468</v>
      </c>
      <c r="AK689" s="1381">
        <f>28000+30018</f>
        <v>58018</v>
      </c>
      <c r="AL689" s="1227">
        <f t="shared" si="75"/>
        <v>0.96696666666666664</v>
      </c>
      <c r="AM689" s="1382" t="s">
        <v>62</v>
      </c>
      <c r="AN689" s="1367">
        <v>1</v>
      </c>
      <c r="AO689" s="1276"/>
      <c r="AP689" s="1277"/>
      <c r="AQ689" s="1276"/>
      <c r="AR689" s="1278"/>
      <c r="AS689" s="1278"/>
    </row>
    <row r="690" spans="1:45" ht="15.6">
      <c r="A690" s="1097" t="s">
        <v>53</v>
      </c>
      <c r="B690" s="1103" t="s">
        <v>1322</v>
      </c>
      <c r="C690" s="1098" t="s">
        <v>1323</v>
      </c>
      <c r="D690" s="1098" t="s">
        <v>1324</v>
      </c>
      <c r="E690" s="1473" t="s">
        <v>72</v>
      </c>
      <c r="F690" s="856">
        <v>2024</v>
      </c>
      <c r="G690" s="1099">
        <v>45449</v>
      </c>
      <c r="H690" s="3">
        <v>200106445</v>
      </c>
      <c r="I690" s="1444" t="s">
        <v>1494</v>
      </c>
      <c r="J690" s="1144">
        <v>31</v>
      </c>
      <c r="K690" s="1174" t="s">
        <v>144</v>
      </c>
      <c r="L690" s="1174" t="s">
        <v>60</v>
      </c>
      <c r="M690" s="1350">
        <v>547.5</v>
      </c>
      <c r="N690" s="3">
        <v>122.39</v>
      </c>
      <c r="O690" s="1179">
        <v>45462</v>
      </c>
      <c r="P690" s="1043">
        <v>45461</v>
      </c>
      <c r="Q690" s="1048"/>
      <c r="R690" s="3">
        <v>3.46</v>
      </c>
      <c r="S690" s="851" t="s">
        <v>62</v>
      </c>
      <c r="T690" s="856" t="s">
        <v>63</v>
      </c>
      <c r="U690" s="856" t="s">
        <v>69</v>
      </c>
      <c r="V690" s="1350">
        <v>558.24</v>
      </c>
      <c r="W690" s="1350">
        <v>451.27</v>
      </c>
      <c r="X690" s="1179">
        <v>45462</v>
      </c>
      <c r="Y690" s="1179">
        <v>45462</v>
      </c>
      <c r="Z690" s="856" t="s">
        <v>62</v>
      </c>
      <c r="AA690" s="1284" t="s">
        <v>1327</v>
      </c>
      <c r="AB690" s="1099">
        <v>45463</v>
      </c>
      <c r="AC690" s="1099">
        <v>45463</v>
      </c>
      <c r="AD690" s="1359">
        <f>396+564+20</f>
        <v>980</v>
      </c>
      <c r="AE690" s="1227">
        <v>0.96458591704561103</v>
      </c>
      <c r="AF690" s="1231" t="s">
        <v>64</v>
      </c>
      <c r="AG690" s="1262">
        <v>1</v>
      </c>
      <c r="AH690" s="1365" t="s">
        <v>1328</v>
      </c>
      <c r="AI690" s="1380">
        <v>45468</v>
      </c>
      <c r="AJ690" s="1380">
        <v>45469</v>
      </c>
      <c r="AK690" s="1381">
        <f>6200+51607</f>
        <v>57807</v>
      </c>
      <c r="AL690" s="1227">
        <f t="shared" si="75"/>
        <v>0.96345000000000003</v>
      </c>
      <c r="AM690" s="1382" t="s">
        <v>62</v>
      </c>
      <c r="AN690" s="1367">
        <v>1</v>
      </c>
      <c r="AO690" s="1276"/>
      <c r="AP690" s="1277"/>
      <c r="AQ690" s="1276"/>
      <c r="AR690" s="1278"/>
      <c r="AS690" s="1278"/>
    </row>
    <row r="691" spans="1:45" ht="15.6">
      <c r="A691" s="1097" t="s">
        <v>53</v>
      </c>
      <c r="B691" s="1103" t="s">
        <v>1322</v>
      </c>
      <c r="C691" s="1098" t="s">
        <v>1323</v>
      </c>
      <c r="D691" s="1098" t="s">
        <v>1324</v>
      </c>
      <c r="E691" s="1473" t="s">
        <v>72</v>
      </c>
      <c r="F691" s="856">
        <v>2024</v>
      </c>
      <c r="G691" s="1099">
        <v>45449</v>
      </c>
      <c r="H691" s="3">
        <v>200106446</v>
      </c>
      <c r="I691" s="1444" t="s">
        <v>1495</v>
      </c>
      <c r="J691" s="1144">
        <v>32</v>
      </c>
      <c r="K691" s="1174" t="s">
        <v>144</v>
      </c>
      <c r="L691" s="1174" t="s">
        <v>60</v>
      </c>
      <c r="M691" s="1350">
        <v>549.1</v>
      </c>
      <c r="N691" s="3">
        <v>125.32</v>
      </c>
      <c r="O691" s="1179">
        <v>45462</v>
      </c>
      <c r="P691" s="1043">
        <v>45461</v>
      </c>
      <c r="Q691" s="1048"/>
      <c r="R691" s="3">
        <v>3.47</v>
      </c>
      <c r="S691" s="851" t="s">
        <v>62</v>
      </c>
      <c r="T691" s="856" t="s">
        <v>63</v>
      </c>
      <c r="U691" s="1174" t="s">
        <v>75</v>
      </c>
      <c r="V691" s="1350">
        <v>560.29</v>
      </c>
      <c r="W691" s="1350">
        <v>454.44</v>
      </c>
      <c r="X691" s="1179">
        <v>45462</v>
      </c>
      <c r="Y691" s="1179">
        <v>45463</v>
      </c>
      <c r="Z691" s="856" t="s">
        <v>62</v>
      </c>
      <c r="AA691" s="1284" t="s">
        <v>1487</v>
      </c>
      <c r="AB691" s="1099">
        <v>45463</v>
      </c>
      <c r="AC691" s="1099">
        <v>45463</v>
      </c>
      <c r="AD691" s="1359">
        <f>868+120</f>
        <v>988</v>
      </c>
      <c r="AE691" s="1227">
        <v>0.97246008779700399</v>
      </c>
      <c r="AF691" s="1231" t="s">
        <v>64</v>
      </c>
      <c r="AG691" s="1262">
        <v>1</v>
      </c>
      <c r="AH691" s="1365" t="s">
        <v>1328</v>
      </c>
      <c r="AI691" s="1380">
        <v>45468</v>
      </c>
      <c r="AJ691" s="1380">
        <v>45468</v>
      </c>
      <c r="AK691" s="1381">
        <f>10200+48242</f>
        <v>58442</v>
      </c>
      <c r="AL691" s="1227">
        <f t="shared" si="75"/>
        <v>0.97403333333333331</v>
      </c>
      <c r="AM691" s="1382" t="s">
        <v>62</v>
      </c>
      <c r="AN691" s="1367">
        <v>1</v>
      </c>
      <c r="AO691" s="1276"/>
      <c r="AP691" s="1277"/>
      <c r="AQ691" s="1276"/>
      <c r="AR691" s="1278"/>
      <c r="AS691" s="1278"/>
    </row>
    <row r="692" spans="1:45" ht="15.6">
      <c r="A692" s="1097" t="s">
        <v>53</v>
      </c>
      <c r="B692" s="1103" t="s">
        <v>1322</v>
      </c>
      <c r="C692" s="1098" t="s">
        <v>1323</v>
      </c>
      <c r="D692" s="1098" t="s">
        <v>1324</v>
      </c>
      <c r="E692" s="1473" t="s">
        <v>72</v>
      </c>
      <c r="F692" s="856">
        <v>2024</v>
      </c>
      <c r="G692" s="1099">
        <v>45449</v>
      </c>
      <c r="H692" s="3">
        <v>200106447</v>
      </c>
      <c r="I692" s="1444" t="s">
        <v>1496</v>
      </c>
      <c r="J692" s="1144">
        <v>33</v>
      </c>
      <c r="K692" s="1174" t="s">
        <v>144</v>
      </c>
      <c r="L692" s="1174" t="s">
        <v>60</v>
      </c>
      <c r="M692" s="1350">
        <v>550.20000000000005</v>
      </c>
      <c r="N692" s="3">
        <v>124.88</v>
      </c>
      <c r="O692" s="1179">
        <v>45462</v>
      </c>
      <c r="P692" s="1043">
        <v>45461</v>
      </c>
      <c r="Q692" s="1048"/>
      <c r="R692" s="3">
        <v>3.59</v>
      </c>
      <c r="S692" s="851" t="s">
        <v>62</v>
      </c>
      <c r="T692" s="856" t="s">
        <v>63</v>
      </c>
      <c r="U692" s="1174" t="s">
        <v>75</v>
      </c>
      <c r="V692" s="1350">
        <v>561.20000000000005</v>
      </c>
      <c r="W692" s="1350">
        <v>454.38</v>
      </c>
      <c r="X692" s="1179">
        <v>45463</v>
      </c>
      <c r="Y692" s="1179">
        <v>45463</v>
      </c>
      <c r="Z692" s="856" t="s">
        <v>62</v>
      </c>
      <c r="AA692" s="1284" t="s">
        <v>1333</v>
      </c>
      <c r="AB692" s="1099">
        <v>45463</v>
      </c>
      <c r="AC692" s="1099">
        <v>45463</v>
      </c>
      <c r="AD692" s="1359">
        <f>441+548</f>
        <v>989</v>
      </c>
      <c r="AE692" s="1227">
        <v>0.97344435914092797</v>
      </c>
      <c r="AF692" s="1231" t="s">
        <v>64</v>
      </c>
      <c r="AG692" s="1262">
        <v>1</v>
      </c>
      <c r="AH692" s="1365" t="s">
        <v>1328</v>
      </c>
      <c r="AI692" s="1380">
        <v>45468</v>
      </c>
      <c r="AJ692" s="1380">
        <v>45468</v>
      </c>
      <c r="AK692" s="1381">
        <f>7000+51151</f>
        <v>58151</v>
      </c>
      <c r="AL692" s="1227">
        <f t="shared" si="75"/>
        <v>0.96918333333333329</v>
      </c>
      <c r="AM692" s="1382" t="s">
        <v>62</v>
      </c>
      <c r="AN692" s="1367">
        <v>1</v>
      </c>
      <c r="AO692" s="1276"/>
      <c r="AP692" s="1277"/>
      <c r="AQ692" s="1276"/>
      <c r="AR692" s="1278"/>
      <c r="AS692" s="1278"/>
    </row>
    <row r="693" spans="1:45" ht="15.6">
      <c r="A693" s="1097" t="s">
        <v>53</v>
      </c>
      <c r="B693" s="1103" t="s">
        <v>1322</v>
      </c>
      <c r="C693" s="1098" t="s">
        <v>1323</v>
      </c>
      <c r="D693" s="1098" t="s">
        <v>1324</v>
      </c>
      <c r="E693" s="1473" t="s">
        <v>72</v>
      </c>
      <c r="F693" s="856">
        <v>2024</v>
      </c>
      <c r="G693" s="1099">
        <v>45449</v>
      </c>
      <c r="H693" s="3">
        <v>200106448</v>
      </c>
      <c r="I693" s="1444" t="s">
        <v>1497</v>
      </c>
      <c r="J693" s="1144">
        <v>34</v>
      </c>
      <c r="K693" s="1174" t="s">
        <v>144</v>
      </c>
      <c r="L693" s="1174" t="s">
        <v>60</v>
      </c>
      <c r="M693" s="1350">
        <v>551.4</v>
      </c>
      <c r="N693" s="3">
        <v>125.37</v>
      </c>
      <c r="O693" s="1179">
        <v>45462</v>
      </c>
      <c r="P693" s="1043">
        <v>45461</v>
      </c>
      <c r="Q693" s="1048"/>
      <c r="R693" s="3">
        <v>3.61</v>
      </c>
      <c r="S693" s="851" t="s">
        <v>62</v>
      </c>
      <c r="T693" s="856" t="s">
        <v>63</v>
      </c>
      <c r="U693" s="1174" t="s">
        <v>75</v>
      </c>
      <c r="V693" s="1350">
        <v>562.58000000000004</v>
      </c>
      <c r="W693" s="1350">
        <v>454.9</v>
      </c>
      <c r="X693" s="1179">
        <v>45463</v>
      </c>
      <c r="Y693" s="1179">
        <v>45463</v>
      </c>
      <c r="Z693" s="856" t="s">
        <v>62</v>
      </c>
      <c r="AA693" s="1284" t="s">
        <v>1327</v>
      </c>
      <c r="AB693" s="1099">
        <v>45463</v>
      </c>
      <c r="AC693" s="1099">
        <v>45464</v>
      </c>
      <c r="AD693" s="1359">
        <f>528+208+252</f>
        <v>988</v>
      </c>
      <c r="AE693" s="1227">
        <v>0.97246008779700399</v>
      </c>
      <c r="AF693" s="1231" t="s">
        <v>64</v>
      </c>
      <c r="AG693" s="1262">
        <v>1</v>
      </c>
      <c r="AH693" s="1365" t="s">
        <v>1344</v>
      </c>
      <c r="AI693" s="1380">
        <v>45469</v>
      </c>
      <c r="AJ693" s="1380">
        <v>45469</v>
      </c>
      <c r="AK693" s="1381">
        <f>22297+36966</f>
        <v>59263</v>
      </c>
      <c r="AL693" s="1227">
        <f t="shared" si="75"/>
        <v>0.98771666666666669</v>
      </c>
      <c r="AM693" s="1382" t="s">
        <v>62</v>
      </c>
      <c r="AN693" s="1367">
        <v>1</v>
      </c>
      <c r="AO693" s="1276"/>
      <c r="AP693" s="1277"/>
      <c r="AQ693" s="1276"/>
      <c r="AR693" s="1278"/>
      <c r="AS693" s="1278"/>
    </row>
    <row r="694" spans="1:45" ht="15.6">
      <c r="A694" s="1097" t="s">
        <v>53</v>
      </c>
      <c r="B694" s="1103" t="s">
        <v>1322</v>
      </c>
      <c r="C694" s="1098" t="s">
        <v>1323</v>
      </c>
      <c r="D694" s="1098" t="s">
        <v>1324</v>
      </c>
      <c r="E694" s="1473" t="s">
        <v>72</v>
      </c>
      <c r="F694" s="856">
        <v>2024</v>
      </c>
      <c r="G694" s="1099">
        <v>45450</v>
      </c>
      <c r="H694" s="3">
        <v>200106449</v>
      </c>
      <c r="I694" s="1444" t="s">
        <v>1498</v>
      </c>
      <c r="J694" s="1144">
        <v>35</v>
      </c>
      <c r="K694" s="1174" t="s">
        <v>144</v>
      </c>
      <c r="L694" s="1174" t="s">
        <v>60</v>
      </c>
      <c r="M694" s="1350">
        <v>549.5</v>
      </c>
      <c r="N694" s="786">
        <v>123.19</v>
      </c>
      <c r="O694" s="1179">
        <v>45462</v>
      </c>
      <c r="P694" s="1043">
        <v>45462</v>
      </c>
      <c r="Q694" s="1048"/>
      <c r="R694" s="786">
        <v>3.56</v>
      </c>
      <c r="S694" s="851" t="s">
        <v>62</v>
      </c>
      <c r="T694" s="856" t="s">
        <v>63</v>
      </c>
      <c r="U694" s="856" t="s">
        <v>69</v>
      </c>
      <c r="V694" s="1350">
        <v>560.66</v>
      </c>
      <c r="W694" s="1350">
        <v>448.86</v>
      </c>
      <c r="X694" s="1179">
        <v>45463</v>
      </c>
      <c r="Y694" s="1179">
        <v>45463</v>
      </c>
      <c r="Z694" s="856" t="s">
        <v>62</v>
      </c>
      <c r="AA694" s="1284" t="s">
        <v>1333</v>
      </c>
      <c r="AB694" s="1099">
        <v>45463</v>
      </c>
      <c r="AC694" s="1099">
        <v>45464</v>
      </c>
      <c r="AD694" s="1359">
        <f>168+568+249</f>
        <v>985</v>
      </c>
      <c r="AE694" s="1227">
        <v>0.96950727376523205</v>
      </c>
      <c r="AF694" s="1231" t="s">
        <v>64</v>
      </c>
      <c r="AG694" s="1262">
        <v>1</v>
      </c>
      <c r="AH694" s="1365" t="s">
        <v>1344</v>
      </c>
      <c r="AI694" s="1380">
        <v>45470</v>
      </c>
      <c r="AJ694" s="1380">
        <v>45470</v>
      </c>
      <c r="AK694" s="1381">
        <f>18000+40241</f>
        <v>58241</v>
      </c>
      <c r="AL694" s="1227">
        <f t="shared" si="75"/>
        <v>0.97068333333333334</v>
      </c>
      <c r="AM694" s="1382" t="s">
        <v>62</v>
      </c>
      <c r="AN694" s="1367">
        <v>1</v>
      </c>
      <c r="AO694" s="1276"/>
      <c r="AP694" s="1277"/>
      <c r="AQ694" s="1276"/>
      <c r="AR694" s="1278"/>
      <c r="AS694" s="1278"/>
    </row>
    <row r="695" spans="1:45" ht="15.6">
      <c r="A695" s="1097" t="s">
        <v>53</v>
      </c>
      <c r="B695" s="1103" t="s">
        <v>1322</v>
      </c>
      <c r="C695" s="1098" t="s">
        <v>1323</v>
      </c>
      <c r="D695" s="1098" t="s">
        <v>1324</v>
      </c>
      <c r="E695" s="1473" t="s">
        <v>72</v>
      </c>
      <c r="F695" s="856">
        <v>2024</v>
      </c>
      <c r="G695" s="1099">
        <v>45450</v>
      </c>
      <c r="H695" s="3">
        <v>200106429</v>
      </c>
      <c r="I695" s="1444" t="s">
        <v>1499</v>
      </c>
      <c r="J695" s="1144">
        <v>36</v>
      </c>
      <c r="K695" s="1174" t="s">
        <v>144</v>
      </c>
      <c r="L695" s="1174" t="s">
        <v>60</v>
      </c>
      <c r="M695" s="1350">
        <v>555.20000000000005</v>
      </c>
      <c r="N695" s="786">
        <v>123.97</v>
      </c>
      <c r="O695" s="1179">
        <v>45462</v>
      </c>
      <c r="P695" s="1043">
        <v>45462</v>
      </c>
      <c r="Q695" s="1048"/>
      <c r="R695" s="786">
        <v>3.41</v>
      </c>
      <c r="S695" s="851" t="s">
        <v>62</v>
      </c>
      <c r="T695" s="1174" t="s">
        <v>75</v>
      </c>
      <c r="U695" s="856" t="s">
        <v>69</v>
      </c>
      <c r="V695" s="1350">
        <v>566.08000000000004</v>
      </c>
      <c r="W695" s="1350">
        <v>450.9</v>
      </c>
      <c r="X695" s="1179">
        <v>45463</v>
      </c>
      <c r="Y695" s="1179">
        <v>45463</v>
      </c>
      <c r="Z695" s="856" t="s">
        <v>62</v>
      </c>
      <c r="AA695" s="1284" t="s">
        <v>1487</v>
      </c>
      <c r="AB695" s="1099">
        <v>45464</v>
      </c>
      <c r="AC695" s="1099">
        <v>45464</v>
      </c>
      <c r="AD695" s="1359">
        <f>264+630+94</f>
        <v>988</v>
      </c>
      <c r="AE695" s="1227">
        <v>0.97246008779700399</v>
      </c>
      <c r="AF695" s="1231" t="s">
        <v>64</v>
      </c>
      <c r="AG695" s="1262">
        <v>1</v>
      </c>
      <c r="AH695" s="1365" t="s">
        <v>1344</v>
      </c>
      <c r="AI695" s="1380">
        <v>45469</v>
      </c>
      <c r="AJ695" s="1380">
        <v>45470</v>
      </c>
      <c r="AK695" s="1381">
        <f>40000+18339</f>
        <v>58339</v>
      </c>
      <c r="AL695" s="1227">
        <f t="shared" si="75"/>
        <v>0.97231666666666672</v>
      </c>
      <c r="AM695" s="1382" t="s">
        <v>62</v>
      </c>
      <c r="AN695" s="1367">
        <v>1</v>
      </c>
      <c r="AO695" s="1276"/>
      <c r="AP695" s="1277"/>
      <c r="AQ695" s="1276"/>
      <c r="AR695" s="1278"/>
      <c r="AS695" s="1278"/>
    </row>
    <row r="696" spans="1:45" ht="15.6">
      <c r="A696" s="1097" t="s">
        <v>53</v>
      </c>
      <c r="B696" s="1103" t="s">
        <v>1322</v>
      </c>
      <c r="C696" s="1098" t="s">
        <v>1323</v>
      </c>
      <c r="D696" s="1098" t="s">
        <v>1324</v>
      </c>
      <c r="E696" s="1473" t="s">
        <v>72</v>
      </c>
      <c r="F696" s="856">
        <v>2024</v>
      </c>
      <c r="G696" s="1099">
        <v>45450</v>
      </c>
      <c r="H696" s="3">
        <v>200106430</v>
      </c>
      <c r="I696" s="1444" t="s">
        <v>1500</v>
      </c>
      <c r="J696" s="1144">
        <v>37</v>
      </c>
      <c r="K696" s="1174" t="s">
        <v>144</v>
      </c>
      <c r="L696" s="1174" t="s">
        <v>60</v>
      </c>
      <c r="M696" s="1350">
        <v>550</v>
      </c>
      <c r="N696" s="786">
        <v>124.46</v>
      </c>
      <c r="O696" s="1179">
        <v>45462</v>
      </c>
      <c r="P696" s="1043">
        <v>45462</v>
      </c>
      <c r="Q696" s="1048"/>
      <c r="R696" s="786">
        <v>3.79</v>
      </c>
      <c r="S696" s="851" t="s">
        <v>62</v>
      </c>
      <c r="T696" s="1174" t="s">
        <v>75</v>
      </c>
      <c r="U696" s="856" t="s">
        <v>69</v>
      </c>
      <c r="V696" s="1350">
        <v>561.16</v>
      </c>
      <c r="W696" s="1350">
        <v>453.87</v>
      </c>
      <c r="X696" s="1179">
        <v>45463</v>
      </c>
      <c r="Y696" s="1179">
        <v>45463</v>
      </c>
      <c r="Z696" s="856" t="s">
        <v>62</v>
      </c>
      <c r="AA696" s="1284" t="s">
        <v>1327</v>
      </c>
      <c r="AB696" s="1099">
        <v>45464</v>
      </c>
      <c r="AC696" s="1099">
        <v>45464</v>
      </c>
      <c r="AD696" s="1359">
        <f>324+661</f>
        <v>985</v>
      </c>
      <c r="AE696" s="1227">
        <v>0.96950727376523205</v>
      </c>
      <c r="AF696" s="1231" t="s">
        <v>64</v>
      </c>
      <c r="AG696" s="1262">
        <v>1</v>
      </c>
      <c r="AH696" s="1365" t="s">
        <v>1328</v>
      </c>
      <c r="AI696" s="1380">
        <v>45469</v>
      </c>
      <c r="AJ696" s="1380">
        <v>45469</v>
      </c>
      <c r="AK696" s="1381">
        <f>5000+53205</f>
        <v>58205</v>
      </c>
      <c r="AL696" s="1227">
        <f t="shared" si="75"/>
        <v>0.9700833333333333</v>
      </c>
      <c r="AM696" s="1382" t="s">
        <v>62</v>
      </c>
      <c r="AN696" s="1367">
        <v>1</v>
      </c>
      <c r="AO696" s="1276"/>
      <c r="AP696" s="1277"/>
      <c r="AQ696" s="1276"/>
      <c r="AR696" s="1278"/>
      <c r="AS696" s="1278"/>
    </row>
    <row r="697" spans="1:45" ht="15.6">
      <c r="A697" s="1097" t="s">
        <v>53</v>
      </c>
      <c r="B697" s="1103" t="s">
        <v>1322</v>
      </c>
      <c r="C697" s="1098" t="s">
        <v>1323</v>
      </c>
      <c r="D697" s="1098" t="s">
        <v>1324</v>
      </c>
      <c r="E697" s="1473" t="s">
        <v>72</v>
      </c>
      <c r="F697" s="856">
        <v>2024</v>
      </c>
      <c r="G697" s="1099">
        <v>45450</v>
      </c>
      <c r="H697" s="3">
        <v>200106431</v>
      </c>
      <c r="I697" s="1444" t="s">
        <v>1501</v>
      </c>
      <c r="J697" s="1144">
        <v>38</v>
      </c>
      <c r="K697" s="1174" t="s">
        <v>144</v>
      </c>
      <c r="L697" s="1174" t="s">
        <v>60</v>
      </c>
      <c r="M697" s="1350">
        <v>547</v>
      </c>
      <c r="N697" s="786">
        <v>124.65</v>
      </c>
      <c r="O697" s="1179">
        <v>45462</v>
      </c>
      <c r="P697" s="1043">
        <v>45462</v>
      </c>
      <c r="Q697" s="1048"/>
      <c r="R697" s="786">
        <v>3.49</v>
      </c>
      <c r="S697" s="851" t="s">
        <v>62</v>
      </c>
      <c r="T697" s="1174" t="s">
        <v>75</v>
      </c>
      <c r="U697" s="856" t="s">
        <v>69</v>
      </c>
      <c r="V697" s="1350">
        <v>558.1</v>
      </c>
      <c r="W697" s="1350">
        <v>454.24</v>
      </c>
      <c r="X697" s="1179">
        <v>45463</v>
      </c>
      <c r="Y697" s="1179">
        <v>45463</v>
      </c>
      <c r="Z697" s="856" t="s">
        <v>62</v>
      </c>
      <c r="AA697" s="1284" t="s">
        <v>1333</v>
      </c>
      <c r="AB697" s="1099">
        <v>45464</v>
      </c>
      <c r="AC697" s="1099">
        <v>45464</v>
      </c>
      <c r="AD697" s="1359">
        <f>330+657</f>
        <v>987</v>
      </c>
      <c r="AE697" s="1227">
        <v>0.97147581645308001</v>
      </c>
      <c r="AF697" s="1231" t="s">
        <v>64</v>
      </c>
      <c r="AG697" s="1262">
        <v>1</v>
      </c>
      <c r="AH697" s="1365" t="s">
        <v>1328</v>
      </c>
      <c r="AI697" s="1380">
        <v>45469</v>
      </c>
      <c r="AJ697" s="1380">
        <v>45469</v>
      </c>
      <c r="AK697" s="1381">
        <f>7000+51350</f>
        <v>58350</v>
      </c>
      <c r="AL697" s="1227">
        <f t="shared" si="75"/>
        <v>0.97250000000000003</v>
      </c>
      <c r="AM697" s="1382" t="s">
        <v>62</v>
      </c>
      <c r="AN697" s="1367">
        <v>1</v>
      </c>
      <c r="AO697" s="1276"/>
      <c r="AP697" s="1277"/>
      <c r="AQ697" s="1276"/>
      <c r="AR697" s="1278"/>
      <c r="AS697" s="1278"/>
    </row>
    <row r="698" spans="1:45" ht="15.6">
      <c r="A698" s="1097" t="s">
        <v>53</v>
      </c>
      <c r="B698" s="1103" t="s">
        <v>1322</v>
      </c>
      <c r="C698" s="1098" t="s">
        <v>1323</v>
      </c>
      <c r="D698" s="1098" t="s">
        <v>1324</v>
      </c>
      <c r="E698" s="1473" t="s">
        <v>72</v>
      </c>
      <c r="F698" s="856">
        <v>2024</v>
      </c>
      <c r="G698" s="1099">
        <v>45450</v>
      </c>
      <c r="H698" s="3">
        <v>200106432</v>
      </c>
      <c r="I698" s="1444" t="s">
        <v>1502</v>
      </c>
      <c r="J698" s="1144">
        <v>39</v>
      </c>
      <c r="K698" s="1174" t="s">
        <v>144</v>
      </c>
      <c r="L698" s="1174" t="s">
        <v>60</v>
      </c>
      <c r="M698" s="1350">
        <v>558</v>
      </c>
      <c r="N698" s="786">
        <v>125.58</v>
      </c>
      <c r="O698" s="1179">
        <v>45462</v>
      </c>
      <c r="P698" s="1043">
        <v>45462</v>
      </c>
      <c r="Q698" s="1048"/>
      <c r="R698" s="786">
        <v>3.79</v>
      </c>
      <c r="S698" s="851" t="s">
        <v>62</v>
      </c>
      <c r="T698" s="1174" t="s">
        <v>75</v>
      </c>
      <c r="U698" s="856" t="s">
        <v>69</v>
      </c>
      <c r="V698" s="1350">
        <v>569.08000000000004</v>
      </c>
      <c r="W698" s="1350">
        <v>455.04</v>
      </c>
      <c r="X698" s="1179">
        <v>45463</v>
      </c>
      <c r="Y698" s="1179">
        <v>45464</v>
      </c>
      <c r="Z698" s="856" t="s">
        <v>62</v>
      </c>
      <c r="AA698" s="1284" t="s">
        <v>1487</v>
      </c>
      <c r="AB698" s="1099">
        <v>45464</v>
      </c>
      <c r="AC698" s="1099">
        <v>45465</v>
      </c>
      <c r="AD698" s="1359">
        <f>776+220</f>
        <v>996</v>
      </c>
      <c r="AE698" s="1227">
        <v>0.98033425854839695</v>
      </c>
      <c r="AF698" s="1231" t="s">
        <v>64</v>
      </c>
      <c r="AG698" s="1262">
        <v>1</v>
      </c>
      <c r="AH698" s="1365" t="s">
        <v>1344</v>
      </c>
      <c r="AI698" s="1380">
        <v>45470</v>
      </c>
      <c r="AJ698" s="1380">
        <v>45471</v>
      </c>
      <c r="AK698" s="1381">
        <f>18200+33500+7150</f>
        <v>58850</v>
      </c>
      <c r="AL698" s="1227">
        <f t="shared" si="75"/>
        <v>0.98083333333333333</v>
      </c>
      <c r="AM698" s="1382" t="s">
        <v>62</v>
      </c>
      <c r="AN698" s="1367">
        <v>1</v>
      </c>
      <c r="AO698" s="1276"/>
      <c r="AP698" s="1277"/>
      <c r="AQ698" s="1276"/>
      <c r="AR698" s="1278"/>
      <c r="AS698" s="1278"/>
    </row>
    <row r="699" spans="1:45" ht="15.6">
      <c r="A699" s="1097" t="s">
        <v>53</v>
      </c>
      <c r="B699" s="1103" t="s">
        <v>1322</v>
      </c>
      <c r="C699" s="1098" t="s">
        <v>1323</v>
      </c>
      <c r="D699" s="1098" t="s">
        <v>1324</v>
      </c>
      <c r="E699" s="1473" t="s">
        <v>72</v>
      </c>
      <c r="F699" s="856">
        <v>2024</v>
      </c>
      <c r="G699" s="1099">
        <v>45450</v>
      </c>
      <c r="H699" s="3">
        <v>200106433</v>
      </c>
      <c r="I699" s="1444" t="s">
        <v>1503</v>
      </c>
      <c r="J699" s="1144">
        <v>40</v>
      </c>
      <c r="K699" s="1174" t="s">
        <v>144</v>
      </c>
      <c r="L699" s="1174" t="s">
        <v>60</v>
      </c>
      <c r="M699" s="1350">
        <v>547</v>
      </c>
      <c r="N699" s="762">
        <v>122.39</v>
      </c>
      <c r="O699" s="1179">
        <v>45464</v>
      </c>
      <c r="P699" s="1043">
        <v>45463</v>
      </c>
      <c r="Q699" s="1048"/>
      <c r="R699" s="762">
        <v>3.62</v>
      </c>
      <c r="S699" s="851" t="s">
        <v>62</v>
      </c>
      <c r="T699" s="1174" t="s">
        <v>75</v>
      </c>
      <c r="U699" s="856" t="s">
        <v>69</v>
      </c>
      <c r="V699" s="1350">
        <v>557.88</v>
      </c>
      <c r="W699" s="1350">
        <v>451.58</v>
      </c>
      <c r="X699" s="1179">
        <v>45464</v>
      </c>
      <c r="Y699" s="1179">
        <v>45464</v>
      </c>
      <c r="Z699" s="856" t="s">
        <v>62</v>
      </c>
      <c r="AA699" s="1284" t="s">
        <v>1327</v>
      </c>
      <c r="AB699" s="1099">
        <v>45464</v>
      </c>
      <c r="AC699" s="1099">
        <v>45467</v>
      </c>
      <c r="AD699" s="1359">
        <f>66+660+254</f>
        <v>980</v>
      </c>
      <c r="AE699" s="1227">
        <v>0.96458591704561103</v>
      </c>
      <c r="AF699" s="1231" t="s">
        <v>64</v>
      </c>
      <c r="AG699" s="1262">
        <v>1</v>
      </c>
      <c r="AH699" s="1365" t="s">
        <v>1328</v>
      </c>
      <c r="AI699" s="1380">
        <v>45470</v>
      </c>
      <c r="AJ699" s="1380">
        <v>45470</v>
      </c>
      <c r="AK699" s="1381">
        <f>57862</f>
        <v>57862</v>
      </c>
      <c r="AL699" s="1227">
        <f t="shared" si="75"/>
        <v>0.96436666666666671</v>
      </c>
      <c r="AM699" s="1382" t="s">
        <v>62</v>
      </c>
      <c r="AN699" s="1367">
        <v>1</v>
      </c>
      <c r="AO699" s="1276"/>
      <c r="AP699" s="1277"/>
      <c r="AQ699" s="1276"/>
      <c r="AR699" s="1278"/>
      <c r="AS699" s="1278"/>
    </row>
    <row r="700" spans="1:45" ht="15.6">
      <c r="A700" s="1097" t="s">
        <v>53</v>
      </c>
      <c r="B700" s="1103"/>
      <c r="C700" s="1098"/>
      <c r="D700" s="1098"/>
      <c r="E700" s="1098"/>
      <c r="F700" s="1098"/>
      <c r="G700" s="1099"/>
      <c r="H700" s="3"/>
      <c r="I700" s="3"/>
      <c r="J700" s="1144"/>
      <c r="K700" s="1174"/>
      <c r="L700" s="1174"/>
      <c r="M700" s="1350"/>
      <c r="N700" s="1174"/>
      <c r="O700" s="1179"/>
      <c r="P700" s="1313"/>
      <c r="Q700" s="1175"/>
      <c r="R700" s="1175"/>
      <c r="S700" s="851"/>
      <c r="T700" s="856"/>
      <c r="U700" s="856"/>
      <c r="V700" s="1350"/>
      <c r="W700" s="1350"/>
      <c r="X700" s="1179"/>
      <c r="Y700" s="1179"/>
      <c r="Z700" s="856" t="s">
        <v>62</v>
      </c>
      <c r="AA700" s="1284"/>
      <c r="AB700" s="1099"/>
      <c r="AC700" s="1099"/>
      <c r="AD700" s="1359"/>
      <c r="AE700" s="1227"/>
      <c r="AF700" s="1231"/>
      <c r="AG700" s="1262"/>
      <c r="AH700" s="1365"/>
      <c r="AI700" s="1099"/>
      <c r="AJ700" s="1099"/>
      <c r="AK700" s="1263"/>
      <c r="AL700" s="1227"/>
      <c r="AM700" s="1366"/>
      <c r="AN700" s="1367"/>
      <c r="AO700" s="1276"/>
      <c r="AP700" s="1277"/>
      <c r="AQ700" s="1276"/>
      <c r="AR700" s="1278"/>
      <c r="AS700" s="1278"/>
    </row>
    <row r="701" spans="1:45" ht="15.6">
      <c r="A701" s="1097" t="s">
        <v>53</v>
      </c>
      <c r="B701" s="1103" t="s">
        <v>1322</v>
      </c>
      <c r="C701" s="1098" t="s">
        <v>1323</v>
      </c>
      <c r="D701" s="1098" t="s">
        <v>1324</v>
      </c>
      <c r="E701" s="1473" t="s">
        <v>433</v>
      </c>
      <c r="F701" s="856">
        <v>2024</v>
      </c>
      <c r="G701" s="1099">
        <v>45457</v>
      </c>
      <c r="H701" s="3">
        <v>200106521</v>
      </c>
      <c r="I701" s="1455" t="s">
        <v>1504</v>
      </c>
      <c r="J701" s="1144">
        <v>1</v>
      </c>
      <c r="K701" s="1174" t="s">
        <v>144</v>
      </c>
      <c r="L701" s="1174" t="s">
        <v>60</v>
      </c>
      <c r="M701" s="1350">
        <v>548.20000000000005</v>
      </c>
      <c r="N701" s="786">
        <v>124.18</v>
      </c>
      <c r="O701" s="1179">
        <v>45464</v>
      </c>
      <c r="P701" s="1043">
        <v>45464</v>
      </c>
      <c r="Q701" s="1048"/>
      <c r="R701" s="786">
        <v>3.77</v>
      </c>
      <c r="S701" s="851" t="s">
        <v>62</v>
      </c>
      <c r="T701" s="856" t="s">
        <v>69</v>
      </c>
      <c r="U701" s="856" t="s">
        <v>69</v>
      </c>
      <c r="V701" s="1350">
        <v>559.39</v>
      </c>
      <c r="W701" s="1350">
        <v>453.67</v>
      </c>
      <c r="X701" s="1179">
        <v>45467</v>
      </c>
      <c r="Y701" s="1179">
        <v>45467</v>
      </c>
      <c r="Z701" s="856" t="s">
        <v>62</v>
      </c>
      <c r="AA701" s="1284" t="s">
        <v>1327</v>
      </c>
      <c r="AB701" s="1099">
        <v>45467</v>
      </c>
      <c r="AC701" s="1099">
        <v>45468</v>
      </c>
      <c r="AD701" s="1359">
        <f>166+742+76</f>
        <v>984</v>
      </c>
      <c r="AE701" s="1227">
        <v>0.96852300242130795</v>
      </c>
      <c r="AF701" s="1231" t="s">
        <v>64</v>
      </c>
      <c r="AG701" s="1262">
        <v>1</v>
      </c>
      <c r="AH701" s="1365" t="s">
        <v>1328</v>
      </c>
      <c r="AI701" s="1380">
        <v>45470</v>
      </c>
      <c r="AJ701" s="1380">
        <v>45470</v>
      </c>
      <c r="AK701" s="1381">
        <f>58138</f>
        <v>58138</v>
      </c>
      <c r="AL701" s="1227">
        <f t="shared" ref="AL701:AL722" si="76">AK701/60000</f>
        <v>0.96896666666666664</v>
      </c>
      <c r="AM701" s="1382" t="s">
        <v>62</v>
      </c>
      <c r="AN701" s="1367">
        <v>1</v>
      </c>
      <c r="AO701" s="1276"/>
      <c r="AP701" s="1277"/>
      <c r="AQ701" s="1276"/>
      <c r="AR701" s="1278"/>
      <c r="AS701" s="1278"/>
    </row>
    <row r="702" spans="1:45" ht="15.6">
      <c r="A702" s="1097" t="s">
        <v>53</v>
      </c>
      <c r="B702" s="1103" t="s">
        <v>1322</v>
      </c>
      <c r="C702" s="1098" t="s">
        <v>1323</v>
      </c>
      <c r="D702" s="1098" t="s">
        <v>1324</v>
      </c>
      <c r="E702" s="1473" t="s">
        <v>433</v>
      </c>
      <c r="F702" s="856">
        <v>2024</v>
      </c>
      <c r="G702" s="1099">
        <v>45457</v>
      </c>
      <c r="H702" s="3">
        <v>200106522</v>
      </c>
      <c r="I702" s="1455" t="s">
        <v>1505</v>
      </c>
      <c r="J702" s="1144">
        <v>2</v>
      </c>
      <c r="K702" s="1174" t="s">
        <v>144</v>
      </c>
      <c r="L702" s="1174" t="s">
        <v>60</v>
      </c>
      <c r="M702" s="1350">
        <v>550.12</v>
      </c>
      <c r="N702" s="786">
        <v>122.66</v>
      </c>
      <c r="O702" s="1179">
        <v>45464</v>
      </c>
      <c r="P702" s="1043">
        <v>45464</v>
      </c>
      <c r="Q702" s="1048"/>
      <c r="R702" s="786">
        <v>3.57</v>
      </c>
      <c r="S702" s="851" t="s">
        <v>62</v>
      </c>
      <c r="T702" s="856" t="s">
        <v>69</v>
      </c>
      <c r="U702" s="856" t="s">
        <v>69</v>
      </c>
      <c r="V702" s="1350">
        <v>561.30999999999995</v>
      </c>
      <c r="W702" s="1350">
        <v>451.95</v>
      </c>
      <c r="X702" s="1179">
        <v>45467</v>
      </c>
      <c r="Y702" s="1179">
        <v>45467</v>
      </c>
      <c r="Z702" s="856" t="s">
        <v>62</v>
      </c>
      <c r="AA702" s="1284" t="s">
        <v>1327</v>
      </c>
      <c r="AB702" s="1099">
        <v>45468</v>
      </c>
      <c r="AC702" s="1099">
        <v>45468</v>
      </c>
      <c r="AD702" s="1359">
        <f>604+380</f>
        <v>984</v>
      </c>
      <c r="AE702" s="1227">
        <v>0.96852300242130795</v>
      </c>
      <c r="AF702" s="1231" t="s">
        <v>64</v>
      </c>
      <c r="AG702" s="1262">
        <v>1</v>
      </c>
      <c r="AH702" s="1365" t="s">
        <v>1328</v>
      </c>
      <c r="AI702" s="1380">
        <v>45470</v>
      </c>
      <c r="AJ702" s="1380">
        <v>45470</v>
      </c>
      <c r="AK702" s="1381">
        <f>58183</f>
        <v>58183</v>
      </c>
      <c r="AL702" s="1227">
        <f t="shared" si="76"/>
        <v>0.96971666666666667</v>
      </c>
      <c r="AM702" s="1382" t="s">
        <v>62</v>
      </c>
      <c r="AN702" s="1367">
        <v>1</v>
      </c>
      <c r="AO702" s="1276"/>
      <c r="AP702" s="1277"/>
      <c r="AQ702" s="1276"/>
      <c r="AR702" s="1278"/>
      <c r="AS702" s="1278"/>
    </row>
    <row r="703" spans="1:45" ht="15.6">
      <c r="A703" s="1097" t="s">
        <v>53</v>
      </c>
      <c r="B703" s="1103" t="s">
        <v>1322</v>
      </c>
      <c r="C703" s="1098" t="s">
        <v>1323</v>
      </c>
      <c r="D703" s="1098" t="s">
        <v>1324</v>
      </c>
      <c r="E703" s="1473" t="s">
        <v>433</v>
      </c>
      <c r="F703" s="856">
        <v>2024</v>
      </c>
      <c r="G703" s="1099">
        <v>45457</v>
      </c>
      <c r="H703" s="3">
        <v>200106523</v>
      </c>
      <c r="I703" s="1455" t="s">
        <v>1506</v>
      </c>
      <c r="J703" s="1144">
        <v>3</v>
      </c>
      <c r="K703" s="1174" t="s">
        <v>144</v>
      </c>
      <c r="L703" s="1174" t="s">
        <v>60</v>
      </c>
      <c r="M703" s="1350">
        <v>554.46</v>
      </c>
      <c r="N703" s="786">
        <v>124.79</v>
      </c>
      <c r="O703" s="1179">
        <v>45464</v>
      </c>
      <c r="P703" s="1043">
        <v>45464</v>
      </c>
      <c r="Q703" s="1048"/>
      <c r="R703" s="786">
        <v>3.58</v>
      </c>
      <c r="S703" s="851" t="s">
        <v>62</v>
      </c>
      <c r="T703" s="856" t="s">
        <v>69</v>
      </c>
      <c r="U703" s="856" t="s">
        <v>69</v>
      </c>
      <c r="V703" s="1350">
        <v>565.25</v>
      </c>
      <c r="W703" s="1350">
        <v>453.45</v>
      </c>
      <c r="X703" s="1179">
        <v>45467</v>
      </c>
      <c r="Y703" s="1179">
        <v>45467</v>
      </c>
      <c r="Z703" s="856" t="s">
        <v>62</v>
      </c>
      <c r="AA703" s="1284" t="s">
        <v>1327</v>
      </c>
      <c r="AB703" s="1099">
        <v>45468</v>
      </c>
      <c r="AC703" s="1099">
        <v>45469</v>
      </c>
      <c r="AD703" s="1359">
        <f>353+636</f>
        <v>989</v>
      </c>
      <c r="AE703" s="1227">
        <v>0.97344435914092797</v>
      </c>
      <c r="AF703" s="1231" t="s">
        <v>64</v>
      </c>
      <c r="AG703" s="1262">
        <v>1</v>
      </c>
      <c r="AH703" s="1365" t="s">
        <v>1344</v>
      </c>
      <c r="AI703" s="1380">
        <v>45471</v>
      </c>
      <c r="AJ703" s="1380">
        <v>45475</v>
      </c>
      <c r="AK703" s="1381">
        <f>10530+16000+13600+12400+5718</f>
        <v>58248</v>
      </c>
      <c r="AL703" s="1227">
        <f t="shared" si="76"/>
        <v>0.9708</v>
      </c>
      <c r="AM703" s="1382" t="s">
        <v>62</v>
      </c>
      <c r="AN703" s="1367">
        <v>1</v>
      </c>
      <c r="AO703" s="1276"/>
      <c r="AP703" s="1277"/>
      <c r="AQ703" s="1276"/>
      <c r="AR703" s="1278"/>
      <c r="AS703" s="1278"/>
    </row>
    <row r="704" spans="1:45" ht="15.6">
      <c r="A704" s="1097" t="s">
        <v>53</v>
      </c>
      <c r="B704" s="1103" t="s">
        <v>1322</v>
      </c>
      <c r="C704" s="1098" t="s">
        <v>1323</v>
      </c>
      <c r="D704" s="1098" t="s">
        <v>1324</v>
      </c>
      <c r="E704" s="1473" t="s">
        <v>433</v>
      </c>
      <c r="F704" s="856">
        <v>2024</v>
      </c>
      <c r="G704" s="1099">
        <v>45457</v>
      </c>
      <c r="H704" s="3">
        <v>200106524</v>
      </c>
      <c r="I704" s="1455" t="s">
        <v>1507</v>
      </c>
      <c r="J704" s="1144">
        <v>4</v>
      </c>
      <c r="K704" s="1174" t="s">
        <v>144</v>
      </c>
      <c r="L704" s="1174" t="s">
        <v>60</v>
      </c>
      <c r="M704" s="1350">
        <v>547.20000000000005</v>
      </c>
      <c r="N704" s="786">
        <v>125.75</v>
      </c>
      <c r="O704" s="1179">
        <v>45468</v>
      </c>
      <c r="P704" s="1043">
        <v>45464</v>
      </c>
      <c r="Q704" s="1048"/>
      <c r="R704" s="786">
        <v>3.8</v>
      </c>
      <c r="S704" s="851" t="s">
        <v>62</v>
      </c>
      <c r="T704" s="856" t="s">
        <v>69</v>
      </c>
      <c r="U704" s="1174" t="s">
        <v>75</v>
      </c>
      <c r="V704" s="1350">
        <v>558.26</v>
      </c>
      <c r="W704" s="1350">
        <v>455.04</v>
      </c>
      <c r="X704" s="1179">
        <v>45469</v>
      </c>
      <c r="Y704" s="1179">
        <v>45468</v>
      </c>
      <c r="Z704" s="856" t="s">
        <v>62</v>
      </c>
      <c r="AA704" s="1284" t="s">
        <v>1327</v>
      </c>
      <c r="AB704" s="1099">
        <v>45469</v>
      </c>
      <c r="AC704" s="1099">
        <v>45469</v>
      </c>
      <c r="AD704" s="1359">
        <f>92+726+166</f>
        <v>984</v>
      </c>
      <c r="AE704" s="1227">
        <v>0.96852300242130795</v>
      </c>
      <c r="AF704" s="1231" t="s">
        <v>64</v>
      </c>
      <c r="AG704" s="1262">
        <v>1</v>
      </c>
      <c r="AH704" s="1365" t="s">
        <v>1328</v>
      </c>
      <c r="AI704" s="1380">
        <v>45471</v>
      </c>
      <c r="AJ704" s="1380">
        <v>45471</v>
      </c>
      <c r="AK704" s="1381">
        <f>44500+13648</f>
        <v>58148</v>
      </c>
      <c r="AL704" s="1227">
        <f t="shared" si="76"/>
        <v>0.96913333333333329</v>
      </c>
      <c r="AM704" s="1382" t="s">
        <v>62</v>
      </c>
      <c r="AN704" s="1367">
        <v>1</v>
      </c>
      <c r="AO704" s="1276"/>
      <c r="AP704" s="1277"/>
      <c r="AQ704" s="1276"/>
      <c r="AR704" s="1278"/>
      <c r="AS704" s="1278"/>
    </row>
    <row r="705" spans="1:45" ht="15.6">
      <c r="A705" s="1097" t="s">
        <v>53</v>
      </c>
      <c r="B705" s="1103" t="s">
        <v>1322</v>
      </c>
      <c r="C705" s="1098" t="s">
        <v>1323</v>
      </c>
      <c r="D705" s="1098" t="s">
        <v>1324</v>
      </c>
      <c r="E705" s="1473" t="s">
        <v>433</v>
      </c>
      <c r="F705" s="856">
        <v>2024</v>
      </c>
      <c r="G705" s="1099">
        <v>45457</v>
      </c>
      <c r="H705" s="3">
        <v>200106525</v>
      </c>
      <c r="I705" s="1455" t="s">
        <v>1508</v>
      </c>
      <c r="J705" s="1144">
        <v>5</v>
      </c>
      <c r="K705" s="1174" t="s">
        <v>60</v>
      </c>
      <c r="L705" s="1174" t="s">
        <v>60</v>
      </c>
      <c r="M705" s="786">
        <v>553.84</v>
      </c>
      <c r="N705" s="786">
        <v>124.28</v>
      </c>
      <c r="O705" s="1054">
        <v>45463</v>
      </c>
      <c r="P705" s="1043">
        <v>45462</v>
      </c>
      <c r="Q705" s="3" t="s">
        <v>1509</v>
      </c>
      <c r="R705" s="786">
        <v>3.42</v>
      </c>
      <c r="S705" s="851" t="s">
        <v>62</v>
      </c>
      <c r="T705" s="1174" t="s">
        <v>75</v>
      </c>
      <c r="U705" s="856" t="s">
        <v>69</v>
      </c>
      <c r="V705" s="1350">
        <v>564.91999999999996</v>
      </c>
      <c r="W705" s="1350">
        <v>453.67</v>
      </c>
      <c r="X705" s="1179">
        <v>45464</v>
      </c>
      <c r="Y705" s="1179">
        <v>45464</v>
      </c>
      <c r="Z705" s="856" t="s">
        <v>62</v>
      </c>
      <c r="AA705" s="1284" t="s">
        <v>1327</v>
      </c>
      <c r="AB705" s="1099">
        <v>45467</v>
      </c>
      <c r="AC705" s="1099">
        <v>45467</v>
      </c>
      <c r="AD705" s="1359">
        <f>422+567</f>
        <v>989</v>
      </c>
      <c r="AE705" s="1227">
        <v>0.97344435914092797</v>
      </c>
      <c r="AF705" s="1231" t="s">
        <v>64</v>
      </c>
      <c r="AG705" s="1262">
        <v>1</v>
      </c>
      <c r="AH705" s="1365" t="s">
        <v>1344</v>
      </c>
      <c r="AI705" s="1380">
        <v>45475</v>
      </c>
      <c r="AJ705" s="1380">
        <v>45476</v>
      </c>
      <c r="AK705" s="1381">
        <f>13300+8068+36938</f>
        <v>58306</v>
      </c>
      <c r="AL705" s="1227">
        <f t="shared" si="76"/>
        <v>0.97176666666666667</v>
      </c>
      <c r="AM705" s="1382" t="s">
        <v>62</v>
      </c>
      <c r="AN705" s="1367">
        <v>1</v>
      </c>
      <c r="AO705" s="1276"/>
      <c r="AP705" s="1277"/>
      <c r="AQ705" s="1276"/>
      <c r="AR705" s="1278"/>
      <c r="AS705" s="1278"/>
    </row>
    <row r="706" spans="1:45" ht="15.6">
      <c r="A706" s="1097" t="s">
        <v>53</v>
      </c>
      <c r="B706" s="1103" t="s">
        <v>1322</v>
      </c>
      <c r="C706" s="1098" t="s">
        <v>1323</v>
      </c>
      <c r="D706" s="1098" t="s">
        <v>1324</v>
      </c>
      <c r="E706" s="1473" t="s">
        <v>433</v>
      </c>
      <c r="F706" s="856">
        <v>2024</v>
      </c>
      <c r="G706" s="1099">
        <v>45457</v>
      </c>
      <c r="H706" s="3">
        <v>200106526</v>
      </c>
      <c r="I706" s="1455" t="s">
        <v>1510</v>
      </c>
      <c r="J706" s="1144">
        <v>6</v>
      </c>
      <c r="K706" s="1174" t="s">
        <v>128</v>
      </c>
      <c r="L706" s="1174" t="s">
        <v>60</v>
      </c>
      <c r="M706" s="786">
        <v>553.84</v>
      </c>
      <c r="N706" s="786">
        <v>126</v>
      </c>
      <c r="O706" s="1054">
        <v>45463</v>
      </c>
      <c r="P706" s="1043">
        <v>45463</v>
      </c>
      <c r="Q706" s="3" t="s">
        <v>1511</v>
      </c>
      <c r="R706" s="786">
        <v>3.6</v>
      </c>
      <c r="S706" s="851" t="s">
        <v>62</v>
      </c>
      <c r="T706" s="1174" t="s">
        <v>75</v>
      </c>
      <c r="U706" s="856" t="s">
        <v>69</v>
      </c>
      <c r="V706" s="1350">
        <v>564.20000000000005</v>
      </c>
      <c r="W706" s="1350">
        <v>455.27</v>
      </c>
      <c r="X706" s="1179">
        <v>45464</v>
      </c>
      <c r="Y706" s="1179">
        <v>45464</v>
      </c>
      <c r="Z706" s="856" t="s">
        <v>62</v>
      </c>
      <c r="AA706" s="1284" t="s">
        <v>1333</v>
      </c>
      <c r="AB706" s="1099">
        <v>45468</v>
      </c>
      <c r="AC706" s="1099">
        <v>45468</v>
      </c>
      <c r="AD706" s="1359">
        <f>462+528</f>
        <v>990</v>
      </c>
      <c r="AE706" s="1227">
        <v>0.97442863048485195</v>
      </c>
      <c r="AF706" s="1231" t="s">
        <v>64</v>
      </c>
      <c r="AG706" s="1262">
        <v>1</v>
      </c>
      <c r="AH706" s="1365" t="s">
        <v>1328</v>
      </c>
      <c r="AI706" s="1380">
        <v>45471</v>
      </c>
      <c r="AJ706" s="1380">
        <v>45471</v>
      </c>
      <c r="AK706" s="1381">
        <f>37200+21212</f>
        <v>58412</v>
      </c>
      <c r="AL706" s="1227">
        <f t="shared" si="76"/>
        <v>0.97353333333333336</v>
      </c>
      <c r="AM706" s="1382" t="s">
        <v>62</v>
      </c>
      <c r="AN706" s="1367">
        <v>1</v>
      </c>
      <c r="AO706" s="1276"/>
      <c r="AP706" s="1277"/>
      <c r="AQ706" s="1276"/>
      <c r="AR706" s="1278"/>
      <c r="AS706" s="1278"/>
    </row>
    <row r="707" spans="1:45" ht="15.6">
      <c r="A707" s="1097" t="s">
        <v>53</v>
      </c>
      <c r="B707" s="1103" t="s">
        <v>1322</v>
      </c>
      <c r="C707" s="1098" t="s">
        <v>1323</v>
      </c>
      <c r="D707" s="1098" t="s">
        <v>1324</v>
      </c>
      <c r="E707" s="1473" t="s">
        <v>433</v>
      </c>
      <c r="F707" s="856">
        <v>2024</v>
      </c>
      <c r="G707" s="1099">
        <v>45457</v>
      </c>
      <c r="H707" s="3">
        <v>200106503</v>
      </c>
      <c r="I707" s="1455" t="s">
        <v>1512</v>
      </c>
      <c r="J707" s="1144">
        <v>7</v>
      </c>
      <c r="K707" s="1174" t="s">
        <v>60</v>
      </c>
      <c r="L707" s="1174" t="s">
        <v>60</v>
      </c>
      <c r="M707" s="786">
        <v>553.14</v>
      </c>
      <c r="N707" s="762">
        <v>125.8</v>
      </c>
      <c r="O707" s="1054">
        <v>45463</v>
      </c>
      <c r="P707" s="1043">
        <v>45463</v>
      </c>
      <c r="Q707" s="3" t="s">
        <v>1513</v>
      </c>
      <c r="R707" s="762">
        <v>3.73</v>
      </c>
      <c r="S707" s="851" t="s">
        <v>62</v>
      </c>
      <c r="T707" s="1174" t="s">
        <v>75</v>
      </c>
      <c r="U707" s="856" t="s">
        <v>69</v>
      </c>
      <c r="V707" s="1350">
        <v>563.16</v>
      </c>
      <c r="W707" s="1350">
        <v>455.29</v>
      </c>
      <c r="X707" s="1179">
        <v>45464</v>
      </c>
      <c r="Y707" s="1179">
        <v>45464</v>
      </c>
      <c r="Z707" s="856" t="s">
        <v>62</v>
      </c>
      <c r="AA707" s="1284" t="s">
        <v>1333</v>
      </c>
      <c r="AB707" s="1099">
        <v>45468</v>
      </c>
      <c r="AC707" s="1099">
        <v>45469</v>
      </c>
      <c r="AD707" s="1359">
        <f>158+786+49</f>
        <v>993</v>
      </c>
      <c r="AE707" s="1227">
        <v>0.97738144451662401</v>
      </c>
      <c r="AF707" s="1231" t="s">
        <v>64</v>
      </c>
      <c r="AG707" s="1262">
        <v>1</v>
      </c>
      <c r="AH707" s="1365" t="s">
        <v>1328</v>
      </c>
      <c r="AI707" s="1380">
        <v>45475</v>
      </c>
      <c r="AJ707" s="1380">
        <v>45477</v>
      </c>
      <c r="AK707" s="1381">
        <f>30000+17048+11645</f>
        <v>58693</v>
      </c>
      <c r="AL707" s="1227">
        <f t="shared" si="76"/>
        <v>0.97821666666666662</v>
      </c>
      <c r="AM707" s="1382" t="s">
        <v>62</v>
      </c>
      <c r="AN707" s="1367">
        <v>1</v>
      </c>
      <c r="AO707" s="1276"/>
      <c r="AP707" s="1277"/>
      <c r="AQ707" s="1276"/>
      <c r="AR707" s="1278"/>
      <c r="AS707" s="1278"/>
    </row>
    <row r="708" spans="1:45" ht="15.6">
      <c r="A708" s="1097" t="s">
        <v>53</v>
      </c>
      <c r="B708" s="1103" t="s">
        <v>1322</v>
      </c>
      <c r="C708" s="1098" t="s">
        <v>1323</v>
      </c>
      <c r="D708" s="1098" t="s">
        <v>1324</v>
      </c>
      <c r="E708" s="1473" t="s">
        <v>433</v>
      </c>
      <c r="F708" s="856">
        <v>2024</v>
      </c>
      <c r="G708" s="1099">
        <v>45457</v>
      </c>
      <c r="H708" s="3">
        <v>200106505</v>
      </c>
      <c r="I708" s="1455" t="s">
        <v>1514</v>
      </c>
      <c r="J708" s="1144">
        <v>8</v>
      </c>
      <c r="K708" s="1174" t="s">
        <v>60</v>
      </c>
      <c r="L708" s="1174" t="s">
        <v>60</v>
      </c>
      <c r="M708" s="786">
        <v>552.09</v>
      </c>
      <c r="N708" s="762">
        <v>126.2</v>
      </c>
      <c r="O708" s="1054">
        <v>45463</v>
      </c>
      <c r="P708" s="1043">
        <v>45463</v>
      </c>
      <c r="Q708" s="3" t="s">
        <v>1515</v>
      </c>
      <c r="R708" s="762">
        <v>3.71</v>
      </c>
      <c r="S708" s="851" t="s">
        <v>62</v>
      </c>
      <c r="T708" s="1174" t="s">
        <v>75</v>
      </c>
      <c r="U708" s="856" t="s">
        <v>69</v>
      </c>
      <c r="V708" s="1350">
        <v>567.6</v>
      </c>
      <c r="W708" s="1350">
        <v>455.51</v>
      </c>
      <c r="X708" s="1179">
        <v>45464</v>
      </c>
      <c r="Y708" s="1179">
        <v>45434</v>
      </c>
      <c r="Z708" s="856" t="s">
        <v>62</v>
      </c>
      <c r="AA708" s="1284" t="s">
        <v>1333</v>
      </c>
      <c r="AB708" s="1099">
        <v>45469</v>
      </c>
      <c r="AC708" s="1099">
        <v>45469</v>
      </c>
      <c r="AD708" s="1359">
        <f>630+365</f>
        <v>995</v>
      </c>
      <c r="AE708" s="1227">
        <v>0.97934998720447297</v>
      </c>
      <c r="AF708" s="1231" t="s">
        <v>64</v>
      </c>
      <c r="AG708" s="1262">
        <v>1</v>
      </c>
      <c r="AH708" s="1365" t="s">
        <v>1328</v>
      </c>
      <c r="AI708" s="1380">
        <v>45471</v>
      </c>
      <c r="AJ708" s="1380">
        <v>45471</v>
      </c>
      <c r="AK708" s="1381">
        <f>6000+52791</f>
        <v>58791</v>
      </c>
      <c r="AL708" s="1227">
        <f t="shared" si="76"/>
        <v>0.97985</v>
      </c>
      <c r="AM708" s="1382" t="s">
        <v>62</v>
      </c>
      <c r="AN708" s="1367">
        <v>1</v>
      </c>
      <c r="AO708" s="1276">
        <v>727</v>
      </c>
      <c r="AP708" s="1277">
        <v>45485</v>
      </c>
      <c r="AQ708" s="1276" t="s">
        <v>1328</v>
      </c>
      <c r="AR708" s="1278"/>
      <c r="AS708" s="1278"/>
    </row>
    <row r="709" spans="1:45" ht="15.6">
      <c r="A709" s="1097" t="s">
        <v>53</v>
      </c>
      <c r="B709" s="1103" t="s">
        <v>1322</v>
      </c>
      <c r="C709" s="1098" t="s">
        <v>1323</v>
      </c>
      <c r="D709" s="1098" t="s">
        <v>1324</v>
      </c>
      <c r="E709" s="1473" t="s">
        <v>433</v>
      </c>
      <c r="F709" s="856">
        <v>2024</v>
      </c>
      <c r="G709" s="1099">
        <v>45457</v>
      </c>
      <c r="H709" s="3">
        <v>200106506</v>
      </c>
      <c r="I709" s="1455" t="s">
        <v>1516</v>
      </c>
      <c r="J709" s="1144">
        <v>9</v>
      </c>
      <c r="K709" s="1174" t="s">
        <v>60</v>
      </c>
      <c r="L709" s="1174" t="s">
        <v>60</v>
      </c>
      <c r="M709" s="762">
        <v>553.02</v>
      </c>
      <c r="N709" s="786">
        <v>122.39</v>
      </c>
      <c r="O709" s="1054">
        <v>45464</v>
      </c>
      <c r="P709" s="1043">
        <v>45467</v>
      </c>
      <c r="Q709" s="3" t="s">
        <v>1517</v>
      </c>
      <c r="R709" s="786">
        <v>3.69</v>
      </c>
      <c r="S709" s="851" t="s">
        <v>62</v>
      </c>
      <c r="T709" s="856" t="s">
        <v>69</v>
      </c>
      <c r="U709" s="1174" t="s">
        <v>75</v>
      </c>
      <c r="V709" s="1350">
        <v>564.01</v>
      </c>
      <c r="W709" s="1350">
        <v>451.92</v>
      </c>
      <c r="X709" s="1179">
        <v>45467</v>
      </c>
      <c r="Y709" s="1179">
        <v>45468</v>
      </c>
      <c r="Z709" s="856" t="s">
        <v>62</v>
      </c>
      <c r="AA709" s="1284" t="s">
        <v>1327</v>
      </c>
      <c r="AB709" s="1099">
        <v>45469</v>
      </c>
      <c r="AC709" s="1099">
        <v>45470</v>
      </c>
      <c r="AD709" s="1359">
        <f>564+423</f>
        <v>987</v>
      </c>
      <c r="AE709" s="1227">
        <v>0.97147581645308001</v>
      </c>
      <c r="AF709" s="1231" t="s">
        <v>64</v>
      </c>
      <c r="AG709" s="1262">
        <v>1</v>
      </c>
      <c r="AH709" s="1365" t="s">
        <v>1328</v>
      </c>
      <c r="AI709" s="1380">
        <v>45474</v>
      </c>
      <c r="AJ709" s="1380">
        <v>45474</v>
      </c>
      <c r="AK709" s="1381">
        <f>15800+42496</f>
        <v>58296</v>
      </c>
      <c r="AL709" s="1227">
        <f t="shared" si="76"/>
        <v>0.97160000000000002</v>
      </c>
      <c r="AM709" s="1382" t="s">
        <v>62</v>
      </c>
      <c r="AN709" s="1367">
        <v>1</v>
      </c>
      <c r="AO709" s="1276"/>
      <c r="AP709" s="1277"/>
      <c r="AQ709" s="1276"/>
      <c r="AR709" s="1278"/>
      <c r="AS709" s="1278"/>
    </row>
    <row r="710" spans="1:45" ht="15.6">
      <c r="A710" s="1097" t="s">
        <v>53</v>
      </c>
      <c r="B710" s="1103" t="s">
        <v>1322</v>
      </c>
      <c r="C710" s="1098" t="s">
        <v>1323</v>
      </c>
      <c r="D710" s="1098" t="s">
        <v>1324</v>
      </c>
      <c r="E710" s="1473" t="s">
        <v>433</v>
      </c>
      <c r="F710" s="856">
        <v>2024</v>
      </c>
      <c r="G710" s="1099">
        <v>45457</v>
      </c>
      <c r="H710" s="3">
        <v>200106507</v>
      </c>
      <c r="I710" s="1455" t="s">
        <v>1518</v>
      </c>
      <c r="J710" s="1144">
        <v>10</v>
      </c>
      <c r="K710" s="1174" t="s">
        <v>60</v>
      </c>
      <c r="L710" s="1174" t="s">
        <v>60</v>
      </c>
      <c r="M710" s="762">
        <v>552.91999999999996</v>
      </c>
      <c r="N710" s="786">
        <v>122.41</v>
      </c>
      <c r="O710" s="1054">
        <v>45464</v>
      </c>
      <c r="P710" s="1043">
        <v>45467</v>
      </c>
      <c r="Q710" s="3" t="s">
        <v>1519</v>
      </c>
      <c r="R710" s="786">
        <v>3.54</v>
      </c>
      <c r="S710" s="851" t="s">
        <v>62</v>
      </c>
      <c r="T710" s="856" t="s">
        <v>69</v>
      </c>
      <c r="U710" s="1174" t="s">
        <v>75</v>
      </c>
      <c r="V710" s="1350">
        <v>563.99</v>
      </c>
      <c r="W710" s="1350">
        <v>451.9</v>
      </c>
      <c r="X710" s="1179">
        <v>45467</v>
      </c>
      <c r="Y710" s="1179">
        <v>45468</v>
      </c>
      <c r="Z710" s="856" t="s">
        <v>62</v>
      </c>
      <c r="AA710" s="1284" t="s">
        <v>1333</v>
      </c>
      <c r="AB710" s="1099">
        <v>45469</v>
      </c>
      <c r="AC710" s="1099">
        <v>45470</v>
      </c>
      <c r="AD710" s="1359">
        <f>375+618</f>
        <v>993</v>
      </c>
      <c r="AE710" s="1227">
        <v>0.97738144451662401</v>
      </c>
      <c r="AF710" s="1231" t="s">
        <v>64</v>
      </c>
      <c r="AG710" s="1262">
        <v>1</v>
      </c>
      <c r="AH710" s="1365" t="s">
        <v>1328</v>
      </c>
      <c r="AI710" s="1380">
        <v>45475</v>
      </c>
      <c r="AJ710" s="1380">
        <v>45475</v>
      </c>
      <c r="AK710" s="1381">
        <f>17300+41378</f>
        <v>58678</v>
      </c>
      <c r="AL710" s="1227">
        <f t="shared" si="76"/>
        <v>0.97796666666666665</v>
      </c>
      <c r="AM710" s="1382" t="s">
        <v>62</v>
      </c>
      <c r="AN710" s="1367">
        <v>1</v>
      </c>
      <c r="AO710" s="1276"/>
      <c r="AP710" s="1277"/>
      <c r="AQ710" s="1276"/>
      <c r="AR710" s="1278"/>
      <c r="AS710" s="1278"/>
    </row>
    <row r="711" spans="1:45" ht="15.6">
      <c r="A711" s="1097" t="s">
        <v>53</v>
      </c>
      <c r="B711" s="1103" t="s">
        <v>1322</v>
      </c>
      <c r="C711" s="1098" t="s">
        <v>1323</v>
      </c>
      <c r="D711" s="1098" t="s">
        <v>1324</v>
      </c>
      <c r="E711" s="1473" t="s">
        <v>433</v>
      </c>
      <c r="F711" s="856">
        <v>2024</v>
      </c>
      <c r="G711" s="1099">
        <v>45457</v>
      </c>
      <c r="H711" s="3">
        <v>200106508</v>
      </c>
      <c r="I711" s="1455" t="s">
        <v>1520</v>
      </c>
      <c r="J711" s="1144">
        <v>11</v>
      </c>
      <c r="K711" s="1174" t="s">
        <v>60</v>
      </c>
      <c r="L711" s="1174" t="s">
        <v>60</v>
      </c>
      <c r="M711" s="762">
        <v>553.12</v>
      </c>
      <c r="N711" s="786">
        <v>123.46</v>
      </c>
      <c r="O711" s="1054">
        <v>45464</v>
      </c>
      <c r="P711" s="1043">
        <v>45467</v>
      </c>
      <c r="Q711" s="3" t="s">
        <v>1521</v>
      </c>
      <c r="R711" s="786">
        <v>3.58</v>
      </c>
      <c r="S711" s="851" t="s">
        <v>62</v>
      </c>
      <c r="T711" s="856" t="s">
        <v>69</v>
      </c>
      <c r="U711" s="856" t="s">
        <v>63</v>
      </c>
      <c r="V711" s="1350">
        <v>564.26</v>
      </c>
      <c r="W711" s="1350">
        <v>452.9</v>
      </c>
      <c r="X711" s="1179">
        <v>45468</v>
      </c>
      <c r="Y711" s="1179">
        <v>45468</v>
      </c>
      <c r="Z711" s="856" t="s">
        <v>62</v>
      </c>
      <c r="AA711" s="1284" t="s">
        <v>1327</v>
      </c>
      <c r="AB711" s="1099">
        <v>45470</v>
      </c>
      <c r="AC711" s="1099">
        <v>45470</v>
      </c>
      <c r="AD711" s="1359">
        <f>234+730+25</f>
        <v>989</v>
      </c>
      <c r="AE711" s="1227">
        <v>0.97344435914092797</v>
      </c>
      <c r="AF711" s="1231" t="s">
        <v>64</v>
      </c>
      <c r="AG711" s="1262">
        <v>1</v>
      </c>
      <c r="AH711" s="1365" t="s">
        <v>1328</v>
      </c>
      <c r="AI711" s="1380">
        <v>45474</v>
      </c>
      <c r="AJ711" s="1380">
        <v>45474</v>
      </c>
      <c r="AK711" s="1381">
        <f>19600+38892</f>
        <v>58492</v>
      </c>
      <c r="AL711" s="1227">
        <f t="shared" si="76"/>
        <v>0.97486666666666666</v>
      </c>
      <c r="AM711" s="1382" t="s">
        <v>62</v>
      </c>
      <c r="AN711" s="1367">
        <v>1</v>
      </c>
      <c r="AO711" s="1276"/>
      <c r="AP711" s="1277"/>
      <c r="AQ711" s="1276"/>
      <c r="AR711" s="1278"/>
      <c r="AS711" s="1278"/>
    </row>
    <row r="712" spans="1:45" ht="15.6">
      <c r="A712" s="1097" t="s">
        <v>53</v>
      </c>
      <c r="B712" s="1103" t="s">
        <v>1322</v>
      </c>
      <c r="C712" s="1098" t="s">
        <v>1323</v>
      </c>
      <c r="D712" s="1098" t="s">
        <v>1324</v>
      </c>
      <c r="E712" s="1473" t="s">
        <v>433</v>
      </c>
      <c r="F712" s="856">
        <v>2024</v>
      </c>
      <c r="G712" s="1099">
        <v>45457</v>
      </c>
      <c r="H712" s="3">
        <v>200106509</v>
      </c>
      <c r="I712" s="1455" t="s">
        <v>1522</v>
      </c>
      <c r="J712" s="1144">
        <v>12</v>
      </c>
      <c r="K712" s="1174" t="s">
        <v>60</v>
      </c>
      <c r="L712" s="1174" t="s">
        <v>60</v>
      </c>
      <c r="M712" s="786">
        <v>552.91</v>
      </c>
      <c r="N712" s="762">
        <v>124.72</v>
      </c>
      <c r="O712" s="1054">
        <v>45468</v>
      </c>
      <c r="P712" s="1043">
        <v>45467</v>
      </c>
      <c r="Q712" s="3" t="s">
        <v>1523</v>
      </c>
      <c r="R712" s="762">
        <v>3.62</v>
      </c>
      <c r="S712" s="851" t="s">
        <v>62</v>
      </c>
      <c r="T712" s="856" t="s">
        <v>69</v>
      </c>
      <c r="U712" s="856" t="s">
        <v>63</v>
      </c>
      <c r="V712" s="1350">
        <v>563.73</v>
      </c>
      <c r="W712" s="1350">
        <v>454.1</v>
      </c>
      <c r="X712" s="1179">
        <v>45469</v>
      </c>
      <c r="Y712" s="1179">
        <v>45469</v>
      </c>
      <c r="Z712" s="856" t="s">
        <v>62</v>
      </c>
      <c r="AA712" s="1284" t="s">
        <v>1333</v>
      </c>
      <c r="AB712" s="1099">
        <v>45470</v>
      </c>
      <c r="AC712" s="1099">
        <v>45470</v>
      </c>
      <c r="AD712" s="1359">
        <f>116+742+133</f>
        <v>991</v>
      </c>
      <c r="AE712" s="1227">
        <v>0.97541290182877605</v>
      </c>
      <c r="AF712" s="1231" t="s">
        <v>64</v>
      </c>
      <c r="AG712" s="1262">
        <v>1</v>
      </c>
      <c r="AH712" s="1365" t="s">
        <v>1328</v>
      </c>
      <c r="AI712" s="1380">
        <v>45474</v>
      </c>
      <c r="AJ712" s="1380">
        <v>45475</v>
      </c>
      <c r="AK712" s="1381">
        <f>22200+36231</f>
        <v>58431</v>
      </c>
      <c r="AL712" s="1227">
        <f t="shared" si="76"/>
        <v>0.97384999999999999</v>
      </c>
      <c r="AM712" s="1382" t="s">
        <v>62</v>
      </c>
      <c r="AN712" s="1367">
        <v>1</v>
      </c>
      <c r="AO712" s="1276"/>
      <c r="AP712" s="1277"/>
      <c r="AQ712" s="1276"/>
      <c r="AR712" s="1278"/>
      <c r="AS712" s="1278"/>
    </row>
    <row r="713" spans="1:45" ht="15.6">
      <c r="A713" s="1097" t="s">
        <v>53</v>
      </c>
      <c r="B713" s="1103" t="s">
        <v>1322</v>
      </c>
      <c r="C713" s="1098" t="s">
        <v>1323</v>
      </c>
      <c r="D713" s="1098" t="s">
        <v>1324</v>
      </c>
      <c r="E713" s="1473" t="s">
        <v>433</v>
      </c>
      <c r="F713" s="856">
        <v>2024</v>
      </c>
      <c r="G713" s="1099">
        <v>45457</v>
      </c>
      <c r="H713" s="3">
        <v>200106510</v>
      </c>
      <c r="I713" s="1455" t="s">
        <v>1524</v>
      </c>
      <c r="J713" s="1144">
        <v>13</v>
      </c>
      <c r="K713" s="1174" t="s">
        <v>60</v>
      </c>
      <c r="L713" s="1174" t="s">
        <v>60</v>
      </c>
      <c r="M713" s="786">
        <v>548.91999999999996</v>
      </c>
      <c r="N713" s="762">
        <v>124.16</v>
      </c>
      <c r="O713" s="1054">
        <v>45468</v>
      </c>
      <c r="P713" s="1043">
        <v>45467</v>
      </c>
      <c r="Q713" s="3" t="s">
        <v>1525</v>
      </c>
      <c r="R713" s="762">
        <v>3.55</v>
      </c>
      <c r="S713" s="851" t="s">
        <v>62</v>
      </c>
      <c r="T713" s="856" t="s">
        <v>63</v>
      </c>
      <c r="U713" s="856" t="s">
        <v>63</v>
      </c>
      <c r="V713" s="1350">
        <v>460.1</v>
      </c>
      <c r="W713" s="1350">
        <v>453.02</v>
      </c>
      <c r="X713" s="1179">
        <v>45470</v>
      </c>
      <c r="Y713" s="1179">
        <v>45469</v>
      </c>
      <c r="Z713" s="856" t="s">
        <v>62</v>
      </c>
      <c r="AA713" s="1284" t="s">
        <v>1327</v>
      </c>
      <c r="AB713" s="1099">
        <v>45470</v>
      </c>
      <c r="AC713" s="1099">
        <v>45471</v>
      </c>
      <c r="AD713" s="1359">
        <f>684+300</f>
        <v>984</v>
      </c>
      <c r="AE713" s="1227">
        <v>0.96852300242130795</v>
      </c>
      <c r="AF713" s="1231" t="s">
        <v>64</v>
      </c>
      <c r="AG713" s="1262">
        <v>1</v>
      </c>
      <c r="AH713" s="1365" t="s">
        <v>1328</v>
      </c>
      <c r="AI713" s="1380">
        <v>45475</v>
      </c>
      <c r="AJ713" s="1380">
        <v>45475</v>
      </c>
      <c r="AK713" s="1381">
        <f>26000+32144</f>
        <v>58144</v>
      </c>
      <c r="AL713" s="1227">
        <f t="shared" si="76"/>
        <v>0.96906666666666663</v>
      </c>
      <c r="AM713" s="1382" t="s">
        <v>62</v>
      </c>
      <c r="AN713" s="1367">
        <v>1</v>
      </c>
      <c r="AO713" s="1276"/>
      <c r="AP713" s="1277"/>
      <c r="AQ713" s="1276"/>
      <c r="AR713" s="1278"/>
      <c r="AS713" s="1278"/>
    </row>
    <row r="714" spans="1:45" ht="15.6">
      <c r="A714" s="1097" t="s">
        <v>53</v>
      </c>
      <c r="B714" s="1103" t="s">
        <v>1322</v>
      </c>
      <c r="C714" s="1098" t="s">
        <v>1323</v>
      </c>
      <c r="D714" s="1098" t="s">
        <v>1324</v>
      </c>
      <c r="E714" s="1473" t="s">
        <v>433</v>
      </c>
      <c r="F714" s="856">
        <v>2024</v>
      </c>
      <c r="G714" s="1099">
        <v>45457</v>
      </c>
      <c r="H714" s="3">
        <v>200106511</v>
      </c>
      <c r="I714" s="1455" t="s">
        <v>1526</v>
      </c>
      <c r="J714" s="1144">
        <v>14</v>
      </c>
      <c r="K714" s="1174" t="s">
        <v>60</v>
      </c>
      <c r="L714" s="1174" t="s">
        <v>60</v>
      </c>
      <c r="M714" s="786">
        <v>559.19000000000005</v>
      </c>
      <c r="N714" s="762">
        <v>125.36</v>
      </c>
      <c r="O714" s="1054">
        <v>45468</v>
      </c>
      <c r="P714" s="1043">
        <v>45467</v>
      </c>
      <c r="Q714" s="785" t="s">
        <v>1527</v>
      </c>
      <c r="R714" s="762">
        <v>3.62</v>
      </c>
      <c r="S714" s="851" t="s">
        <v>62</v>
      </c>
      <c r="T714" s="856" t="s">
        <v>63</v>
      </c>
      <c r="U714" s="856" t="s">
        <v>63</v>
      </c>
      <c r="V714" s="1350">
        <v>570.28</v>
      </c>
      <c r="W714" s="1350">
        <v>455.02</v>
      </c>
      <c r="X714" s="1179">
        <v>45470</v>
      </c>
      <c r="Y714" s="1179">
        <v>45469</v>
      </c>
      <c r="Z714" s="856" t="s">
        <v>62</v>
      </c>
      <c r="AA714" s="1284" t="s">
        <v>1333</v>
      </c>
      <c r="AB714" s="1099">
        <v>45470</v>
      </c>
      <c r="AC714" s="1099">
        <v>45471</v>
      </c>
      <c r="AD714" s="1359">
        <f>528+330+137</f>
        <v>995</v>
      </c>
      <c r="AE714" s="1227">
        <v>0.97934998720447297</v>
      </c>
      <c r="AF714" s="1231" t="s">
        <v>64</v>
      </c>
      <c r="AG714" s="1262">
        <v>1</v>
      </c>
      <c r="AH714" s="1365" t="s">
        <v>1344</v>
      </c>
      <c r="AI714" s="1380">
        <v>45476</v>
      </c>
      <c r="AJ714" s="1380">
        <v>45477</v>
      </c>
      <c r="AK714" s="1381">
        <f>14300+44429</f>
        <v>58729</v>
      </c>
      <c r="AL714" s="1227">
        <f t="shared" si="76"/>
        <v>0.97881666666666667</v>
      </c>
      <c r="AM714" s="1382" t="s">
        <v>62</v>
      </c>
      <c r="AN714" s="1367">
        <v>1</v>
      </c>
      <c r="AO714" s="1276"/>
      <c r="AP714" s="1277"/>
      <c r="AQ714" s="1276"/>
      <c r="AR714" s="1278"/>
      <c r="AS714" s="1278"/>
    </row>
    <row r="715" spans="1:45" ht="15.6">
      <c r="A715" s="1097" t="s">
        <v>53</v>
      </c>
      <c r="B715" s="1103" t="s">
        <v>1322</v>
      </c>
      <c r="C715" s="1098" t="s">
        <v>1323</v>
      </c>
      <c r="D715" s="1098" t="s">
        <v>1324</v>
      </c>
      <c r="E715" s="1473" t="s">
        <v>433</v>
      </c>
      <c r="F715" s="856">
        <v>2024</v>
      </c>
      <c r="G715" s="1099">
        <v>45457</v>
      </c>
      <c r="H715" s="3">
        <v>200106513</v>
      </c>
      <c r="I715" s="1455" t="s">
        <v>1528</v>
      </c>
      <c r="J715" s="1144">
        <v>15</v>
      </c>
      <c r="K715" s="1174" t="s">
        <v>144</v>
      </c>
      <c r="L715" s="1174" t="s">
        <v>60</v>
      </c>
      <c r="M715" s="1350">
        <v>547.1</v>
      </c>
      <c r="N715" s="762">
        <v>123.34</v>
      </c>
      <c r="O715" s="1179">
        <v>45468</v>
      </c>
      <c r="P715" s="1043">
        <v>45467</v>
      </c>
      <c r="Q715" s="953"/>
      <c r="R715" s="762">
        <v>3.72</v>
      </c>
      <c r="S715" s="851" t="s">
        <v>62</v>
      </c>
      <c r="T715" s="856" t="s">
        <v>63</v>
      </c>
      <c r="U715" s="856" t="s">
        <v>75</v>
      </c>
      <c r="V715" s="1350">
        <v>558.1</v>
      </c>
      <c r="W715" s="1350">
        <v>452.8</v>
      </c>
      <c r="X715" s="1179">
        <v>45470</v>
      </c>
      <c r="Y715" s="1179">
        <v>45470</v>
      </c>
      <c r="Z715" s="856" t="s">
        <v>62</v>
      </c>
      <c r="AA715" s="1284" t="s">
        <v>1327</v>
      </c>
      <c r="AB715" s="1099">
        <v>45471</v>
      </c>
      <c r="AC715" s="1099">
        <v>45474</v>
      </c>
      <c r="AD715" s="1359">
        <f>258+534+191</f>
        <v>983</v>
      </c>
      <c r="AE715" s="1227">
        <v>0.96753873107738297</v>
      </c>
      <c r="AF715" s="1231" t="s">
        <v>64</v>
      </c>
      <c r="AG715" s="1262">
        <v>1</v>
      </c>
      <c r="AH715" s="1365" t="s">
        <v>1344</v>
      </c>
      <c r="AI715" s="1380">
        <v>45477</v>
      </c>
      <c r="AJ715" s="1380">
        <v>45477</v>
      </c>
      <c r="AK715" s="1381">
        <f>20600+37435</f>
        <v>58035</v>
      </c>
      <c r="AL715" s="1227">
        <f t="shared" si="76"/>
        <v>0.96725000000000005</v>
      </c>
      <c r="AM715" s="1382" t="s">
        <v>62</v>
      </c>
      <c r="AN715" s="1367">
        <v>1</v>
      </c>
      <c r="AO715" s="1276">
        <v>611</v>
      </c>
      <c r="AP715" s="1277">
        <v>45497</v>
      </c>
      <c r="AQ715" s="1276" t="s">
        <v>1344</v>
      </c>
      <c r="AR715" s="1278"/>
      <c r="AS715" s="1278"/>
    </row>
    <row r="716" spans="1:45" ht="15.6">
      <c r="A716" s="1097" t="s">
        <v>53</v>
      </c>
      <c r="B716" s="1103" t="s">
        <v>1322</v>
      </c>
      <c r="C716" s="1098" t="s">
        <v>1323</v>
      </c>
      <c r="D716" s="1098" t="s">
        <v>1324</v>
      </c>
      <c r="E716" s="1473" t="s">
        <v>433</v>
      </c>
      <c r="F716" s="856">
        <v>2024</v>
      </c>
      <c r="G716" s="1099">
        <v>45457</v>
      </c>
      <c r="H716" s="3">
        <v>200106514</v>
      </c>
      <c r="I716" s="1455" t="s">
        <v>1529</v>
      </c>
      <c r="J716" s="1144">
        <v>16</v>
      </c>
      <c r="K716" s="1174" t="s">
        <v>144</v>
      </c>
      <c r="L716" s="1174" t="s">
        <v>60</v>
      </c>
      <c r="M716" s="1350">
        <v>550.02</v>
      </c>
      <c r="N716" s="762">
        <v>123.33</v>
      </c>
      <c r="O716" s="1179">
        <v>45468</v>
      </c>
      <c r="P716" s="1043">
        <v>45467</v>
      </c>
      <c r="Q716" s="953"/>
      <c r="R716" s="762">
        <v>3.46</v>
      </c>
      <c r="S716" s="851" t="s">
        <v>62</v>
      </c>
      <c r="T716" s="856" t="s">
        <v>63</v>
      </c>
      <c r="U716" s="856" t="s">
        <v>75</v>
      </c>
      <c r="V716" s="1350">
        <v>561.20000000000005</v>
      </c>
      <c r="W716" s="1350">
        <v>452.88</v>
      </c>
      <c r="X716" s="1179">
        <v>45470</v>
      </c>
      <c r="Y716" s="1179">
        <v>45471</v>
      </c>
      <c r="Z716" s="856" t="s">
        <v>62</v>
      </c>
      <c r="AA716" s="1284" t="s">
        <v>1333</v>
      </c>
      <c r="AB716" s="1099">
        <v>45471</v>
      </c>
      <c r="AC716" s="1099">
        <v>45474</v>
      </c>
      <c r="AD716" s="1359">
        <f>366+619</f>
        <v>985</v>
      </c>
      <c r="AE716" s="1227">
        <v>0.96950727376523205</v>
      </c>
      <c r="AF716" s="1231" t="s">
        <v>64</v>
      </c>
      <c r="AG716" s="1262">
        <v>1</v>
      </c>
      <c r="AH716" s="1365" t="s">
        <v>1344</v>
      </c>
      <c r="AI716" s="1380">
        <v>45476</v>
      </c>
      <c r="AJ716" s="1380">
        <v>45476</v>
      </c>
      <c r="AK716" s="1381">
        <f>13600+44644</f>
        <v>58244</v>
      </c>
      <c r="AL716" s="1227">
        <f t="shared" si="76"/>
        <v>0.97073333333333334</v>
      </c>
      <c r="AM716" s="1382" t="s">
        <v>62</v>
      </c>
      <c r="AN716" s="1367">
        <v>1</v>
      </c>
      <c r="AO716" s="1276"/>
      <c r="AP716" s="1277"/>
      <c r="AQ716" s="1276"/>
      <c r="AR716" s="1278"/>
      <c r="AS716" s="1278"/>
    </row>
    <row r="717" spans="1:45" ht="15.6">
      <c r="A717" s="1097" t="s">
        <v>53</v>
      </c>
      <c r="B717" s="1103" t="s">
        <v>1322</v>
      </c>
      <c r="C717" s="1098" t="s">
        <v>1323</v>
      </c>
      <c r="D717" s="1098" t="s">
        <v>1324</v>
      </c>
      <c r="E717" s="1473" t="s">
        <v>433</v>
      </c>
      <c r="F717" s="856">
        <v>2024</v>
      </c>
      <c r="G717" s="1099">
        <v>45457</v>
      </c>
      <c r="H717" s="3">
        <v>200106515</v>
      </c>
      <c r="I717" s="1455" t="s">
        <v>1530</v>
      </c>
      <c r="J717" s="1144">
        <v>17</v>
      </c>
      <c r="K717" s="1174" t="s">
        <v>144</v>
      </c>
      <c r="L717" s="1174" t="s">
        <v>60</v>
      </c>
      <c r="M717" s="1350">
        <v>548</v>
      </c>
      <c r="N717" s="762">
        <v>123.83</v>
      </c>
      <c r="O717" s="1179">
        <v>45471</v>
      </c>
      <c r="P717" s="1043">
        <v>45467</v>
      </c>
      <c r="Q717" s="953"/>
      <c r="R717" s="762">
        <v>3.46</v>
      </c>
      <c r="S717" s="851" t="s">
        <v>62</v>
      </c>
      <c r="T717" s="856" t="s">
        <v>75</v>
      </c>
      <c r="U717" s="856" t="s">
        <v>75</v>
      </c>
      <c r="V717" s="1350">
        <v>559.1</v>
      </c>
      <c r="W717" s="1350">
        <v>453.38</v>
      </c>
      <c r="X717" s="1179">
        <v>45471</v>
      </c>
      <c r="Y717" s="1179">
        <v>45471</v>
      </c>
      <c r="Z717" s="856" t="s">
        <v>62</v>
      </c>
      <c r="AA717" s="1284" t="s">
        <v>1333</v>
      </c>
      <c r="AB717" s="1099">
        <v>45474</v>
      </c>
      <c r="AC717" s="1099">
        <v>45474</v>
      </c>
      <c r="AD717" s="1359">
        <f>700+285</f>
        <v>985</v>
      </c>
      <c r="AE717" s="1227">
        <v>0.96950727376523205</v>
      </c>
      <c r="AF717" s="1231" t="s">
        <v>64</v>
      </c>
      <c r="AG717" s="1262">
        <v>1</v>
      </c>
      <c r="AH717" s="1365" t="s">
        <v>1344</v>
      </c>
      <c r="AI717" s="1380">
        <v>45477</v>
      </c>
      <c r="AJ717" s="1380">
        <v>45478</v>
      </c>
      <c r="AK717" s="1381">
        <f>53000+5217</f>
        <v>58217</v>
      </c>
      <c r="AL717" s="1227">
        <f t="shared" si="76"/>
        <v>0.97028333333333339</v>
      </c>
      <c r="AM717" s="1382" t="s">
        <v>62</v>
      </c>
      <c r="AN717" s="1367">
        <v>1</v>
      </c>
      <c r="AO717" s="1276"/>
      <c r="AP717" s="1277"/>
      <c r="AQ717" s="1276"/>
      <c r="AR717" s="1278"/>
      <c r="AS717" s="1278"/>
    </row>
    <row r="718" spans="1:45" ht="15.6">
      <c r="A718" s="1097" t="s">
        <v>53</v>
      </c>
      <c r="B718" s="1103" t="s">
        <v>1322</v>
      </c>
      <c r="C718" s="1098" t="s">
        <v>1323</v>
      </c>
      <c r="D718" s="1098" t="s">
        <v>1324</v>
      </c>
      <c r="E718" s="1473" t="s">
        <v>433</v>
      </c>
      <c r="F718" s="856">
        <v>2024</v>
      </c>
      <c r="G718" s="1099">
        <v>45457</v>
      </c>
      <c r="H718" s="3">
        <v>200106516</v>
      </c>
      <c r="I718" s="1455" t="s">
        <v>1531</v>
      </c>
      <c r="J718" s="1144">
        <v>18</v>
      </c>
      <c r="K718" s="1174" t="s">
        <v>144</v>
      </c>
      <c r="L718" s="1174" t="s">
        <v>60</v>
      </c>
      <c r="M718" s="1350">
        <v>549</v>
      </c>
      <c r="N718" s="786">
        <v>122.63</v>
      </c>
      <c r="O718" s="1179">
        <v>45471</v>
      </c>
      <c r="P718" s="1043">
        <v>45469</v>
      </c>
      <c r="Q718" s="953"/>
      <c r="R718" s="786">
        <v>3.76</v>
      </c>
      <c r="S718" s="851" t="s">
        <v>62</v>
      </c>
      <c r="T718" s="856" t="s">
        <v>69</v>
      </c>
      <c r="U718" s="856" t="s">
        <v>69</v>
      </c>
      <c r="V718" s="1350">
        <v>560.07000000000005</v>
      </c>
      <c r="W718" s="1350">
        <v>452.22</v>
      </c>
      <c r="X718" s="1179">
        <v>45474</v>
      </c>
      <c r="Y718" s="1179">
        <v>45471</v>
      </c>
      <c r="Z718" s="856" t="s">
        <v>62</v>
      </c>
      <c r="AA718" s="1284" t="s">
        <v>1333</v>
      </c>
      <c r="AB718" s="1099">
        <v>45474</v>
      </c>
      <c r="AC718" s="1099">
        <v>45475</v>
      </c>
      <c r="AD718" s="1359">
        <f>426+560</f>
        <v>986</v>
      </c>
      <c r="AE718" s="1227">
        <v>0.97049154510915603</v>
      </c>
      <c r="AF718" s="1231" t="s">
        <v>64</v>
      </c>
      <c r="AG718" s="1262">
        <v>1</v>
      </c>
      <c r="AH718" s="1365" t="s">
        <v>1344</v>
      </c>
      <c r="AI718" s="1380">
        <v>45478</v>
      </c>
      <c r="AJ718" s="1380">
        <v>45478</v>
      </c>
      <c r="AK718" s="1381">
        <f>43000+15186</f>
        <v>58186</v>
      </c>
      <c r="AL718" s="1227">
        <f t="shared" si="76"/>
        <v>0.96976666666666667</v>
      </c>
      <c r="AM718" s="1382" t="s">
        <v>62</v>
      </c>
      <c r="AN718" s="1367">
        <v>1</v>
      </c>
      <c r="AO718" s="1276"/>
      <c r="AP718" s="1277"/>
      <c r="AQ718" s="1276"/>
      <c r="AR718" s="1278"/>
      <c r="AS718" s="1278"/>
    </row>
    <row r="719" spans="1:45" ht="15.6">
      <c r="A719" s="1097" t="s">
        <v>53</v>
      </c>
      <c r="B719" s="1103" t="s">
        <v>1322</v>
      </c>
      <c r="C719" s="1098" t="s">
        <v>1323</v>
      </c>
      <c r="D719" s="1098" t="s">
        <v>1324</v>
      </c>
      <c r="E719" s="1473" t="s">
        <v>433</v>
      </c>
      <c r="F719" s="856">
        <v>2024</v>
      </c>
      <c r="G719" s="1099">
        <v>45457</v>
      </c>
      <c r="H719" s="3">
        <v>200106517</v>
      </c>
      <c r="I719" s="1455" t="s">
        <v>1532</v>
      </c>
      <c r="J719" s="1144">
        <v>19</v>
      </c>
      <c r="K719" s="1174" t="s">
        <v>144</v>
      </c>
      <c r="L719" s="1174" t="s">
        <v>60</v>
      </c>
      <c r="M719" s="1350">
        <v>558.72</v>
      </c>
      <c r="N719" s="786">
        <v>123.1</v>
      </c>
      <c r="O719" s="1179">
        <v>45471</v>
      </c>
      <c r="P719" s="1043">
        <v>45470</v>
      </c>
      <c r="Q719" s="953"/>
      <c r="R719" s="786">
        <v>3.71</v>
      </c>
      <c r="S719" s="851" t="s">
        <v>62</v>
      </c>
      <c r="T719" s="856" t="s">
        <v>69</v>
      </c>
      <c r="U719" s="856" t="s">
        <v>69</v>
      </c>
      <c r="V719" s="1350">
        <v>569.1</v>
      </c>
      <c r="W719" s="1350">
        <v>452.69</v>
      </c>
      <c r="X719" s="1179">
        <v>45474</v>
      </c>
      <c r="Y719" s="1179">
        <v>45471</v>
      </c>
      <c r="Z719" s="856" t="s">
        <v>62</v>
      </c>
      <c r="AA719" s="1284" t="s">
        <v>1327</v>
      </c>
      <c r="AB719" s="1099">
        <v>45475</v>
      </c>
      <c r="AC719" s="1099">
        <v>45475</v>
      </c>
      <c r="AD719" s="1359">
        <f>422+570</f>
        <v>992</v>
      </c>
      <c r="AE719" s="1227">
        <v>0.97639717317270003</v>
      </c>
      <c r="AF719" s="1231" t="s">
        <v>64</v>
      </c>
      <c r="AG719" s="1262">
        <v>1</v>
      </c>
      <c r="AH719" s="1365" t="s">
        <v>1328</v>
      </c>
      <c r="AI719" s="1380">
        <v>45477</v>
      </c>
      <c r="AJ719" s="1380">
        <v>45477</v>
      </c>
      <c r="AK719" s="1381">
        <f>19500+18500+13792</f>
        <v>51792</v>
      </c>
      <c r="AL719" s="1227">
        <f t="shared" si="76"/>
        <v>0.86319999999999997</v>
      </c>
      <c r="AM719" s="1382" t="s">
        <v>62</v>
      </c>
      <c r="AN719" s="1367">
        <v>1</v>
      </c>
      <c r="AO719" s="1276"/>
      <c r="AP719" s="1277"/>
      <c r="AQ719" s="1276"/>
      <c r="AR719" s="1278"/>
      <c r="AS719" s="1278"/>
    </row>
    <row r="720" spans="1:45" ht="15.6">
      <c r="A720" s="1097" t="s">
        <v>53</v>
      </c>
      <c r="B720" s="1103" t="s">
        <v>1322</v>
      </c>
      <c r="C720" s="1098" t="s">
        <v>1323</v>
      </c>
      <c r="D720" s="1098" t="s">
        <v>1324</v>
      </c>
      <c r="E720" s="1473" t="s">
        <v>433</v>
      </c>
      <c r="F720" s="856">
        <v>2024</v>
      </c>
      <c r="G720" s="1099">
        <v>45457</v>
      </c>
      <c r="H720" s="3">
        <v>200106518</v>
      </c>
      <c r="I720" s="1455" t="s">
        <v>1533</v>
      </c>
      <c r="J720" s="1144">
        <v>20</v>
      </c>
      <c r="K720" s="1174" t="s">
        <v>60</v>
      </c>
      <c r="L720" s="1174" t="s">
        <v>60</v>
      </c>
      <c r="M720" s="786">
        <v>552.9</v>
      </c>
      <c r="N720" s="786">
        <v>122.56</v>
      </c>
      <c r="O720" s="1054">
        <v>45471</v>
      </c>
      <c r="P720" s="1043">
        <v>45470</v>
      </c>
      <c r="Q720" s="785" t="s">
        <v>1534</v>
      </c>
      <c r="R720" s="786">
        <v>3.53</v>
      </c>
      <c r="S720" s="851" t="s">
        <v>62</v>
      </c>
      <c r="T720" s="856" t="s">
        <v>75</v>
      </c>
      <c r="U720" s="856" t="s">
        <v>75</v>
      </c>
      <c r="V720" s="1350">
        <v>564.02</v>
      </c>
      <c r="W720" s="1350">
        <v>452.12</v>
      </c>
      <c r="X720" s="1179">
        <v>45471</v>
      </c>
      <c r="Y720" s="1179">
        <v>45471</v>
      </c>
      <c r="Z720" s="856" t="s">
        <v>62</v>
      </c>
      <c r="AA720" s="1284" t="s">
        <v>1327</v>
      </c>
      <c r="AB720" s="1099">
        <v>45474</v>
      </c>
      <c r="AC720" s="1099">
        <v>45475</v>
      </c>
      <c r="AD720" s="1359">
        <f>396+558+33</f>
        <v>987</v>
      </c>
      <c r="AE720" s="1227">
        <v>0.97147581645308001</v>
      </c>
      <c r="AF720" s="1231" t="s">
        <v>64</v>
      </c>
      <c r="AG720" s="1262">
        <v>1</v>
      </c>
      <c r="AH720" s="1365" t="s">
        <v>1344</v>
      </c>
      <c r="AI720" s="1380">
        <v>45478</v>
      </c>
      <c r="AJ720" s="1380">
        <v>45478</v>
      </c>
      <c r="AK720" s="1381">
        <f>31000+27261</f>
        <v>58261</v>
      </c>
      <c r="AL720" s="1227">
        <f t="shared" si="76"/>
        <v>0.97101666666666664</v>
      </c>
      <c r="AM720" s="1382" t="s">
        <v>62</v>
      </c>
      <c r="AN720" s="1367">
        <v>1</v>
      </c>
      <c r="AO720" s="1276"/>
      <c r="AP720" s="1277"/>
      <c r="AQ720" s="1276"/>
      <c r="AR720" s="1278"/>
      <c r="AS720" s="1278"/>
    </row>
    <row r="721" spans="1:49" ht="15.6">
      <c r="A721" s="1097" t="s">
        <v>53</v>
      </c>
      <c r="B721" s="1103" t="s">
        <v>1322</v>
      </c>
      <c r="C721" s="1098" t="s">
        <v>1323</v>
      </c>
      <c r="D721" s="1098" t="s">
        <v>1324</v>
      </c>
      <c r="E721" s="1473" t="s">
        <v>433</v>
      </c>
      <c r="F721" s="856">
        <v>2024</v>
      </c>
      <c r="G721" s="1099">
        <v>45463</v>
      </c>
      <c r="H721" s="3">
        <v>200106497</v>
      </c>
      <c r="I721" s="1457" t="s">
        <v>1535</v>
      </c>
      <c r="J721" s="1144">
        <v>21</v>
      </c>
      <c r="K721" s="1174" t="s">
        <v>60</v>
      </c>
      <c r="L721" s="1174" t="s">
        <v>60</v>
      </c>
      <c r="M721" s="786">
        <v>549.08000000000004</v>
      </c>
      <c r="N721" s="786">
        <v>123.37</v>
      </c>
      <c r="O721" s="1054">
        <v>45471</v>
      </c>
      <c r="P721" s="1043">
        <v>45470</v>
      </c>
      <c r="Q721" s="785" t="s">
        <v>1536</v>
      </c>
      <c r="R721" s="786">
        <v>3.65</v>
      </c>
      <c r="S721" s="851" t="s">
        <v>62</v>
      </c>
      <c r="T721" s="856" t="s">
        <v>75</v>
      </c>
      <c r="U721" s="856" t="s">
        <v>69</v>
      </c>
      <c r="V721" s="1350">
        <v>560.1</v>
      </c>
      <c r="W721" s="1350">
        <v>452.96</v>
      </c>
      <c r="X721" s="1179">
        <v>45471</v>
      </c>
      <c r="Y721" s="1179">
        <v>45471</v>
      </c>
      <c r="Z721" s="856" t="s">
        <v>62</v>
      </c>
      <c r="AA721" s="1284" t="s">
        <v>1333</v>
      </c>
      <c r="AB721" s="1099">
        <v>45475</v>
      </c>
      <c r="AC721" s="1099">
        <v>45475</v>
      </c>
      <c r="AD721" s="1359">
        <f>148+710+129</f>
        <v>987</v>
      </c>
      <c r="AE721" s="1227">
        <v>0.97147581645308001</v>
      </c>
      <c r="AF721" s="1231" t="s">
        <v>64</v>
      </c>
      <c r="AG721" s="1262">
        <v>1</v>
      </c>
      <c r="AH721" s="1365" t="s">
        <v>1344</v>
      </c>
      <c r="AI721" s="1380">
        <v>45478</v>
      </c>
      <c r="AJ721" s="1380">
        <v>45482</v>
      </c>
      <c r="AK721" s="1381">
        <f>30800+19000+4600+3176</f>
        <v>57576</v>
      </c>
      <c r="AL721" s="1227">
        <f t="shared" si="76"/>
        <v>0.95960000000000001</v>
      </c>
      <c r="AM721" s="1382" t="s">
        <v>62</v>
      </c>
      <c r="AN721" s="1367">
        <v>1</v>
      </c>
      <c r="AO721" s="1276"/>
      <c r="AP721" s="1277"/>
      <c r="AQ721" s="1276"/>
      <c r="AR721" s="1278"/>
      <c r="AS721" s="1278"/>
    </row>
    <row r="722" spans="1:49" ht="15.6">
      <c r="A722" s="1097" t="s">
        <v>53</v>
      </c>
      <c r="B722" s="1103" t="s">
        <v>1322</v>
      </c>
      <c r="C722" s="1098" t="s">
        <v>1323</v>
      </c>
      <c r="D722" s="1098" t="s">
        <v>1324</v>
      </c>
      <c r="E722" s="1473" t="s">
        <v>433</v>
      </c>
      <c r="F722" s="856">
        <v>2024</v>
      </c>
      <c r="G722" s="1099">
        <v>45463</v>
      </c>
      <c r="H722" s="3">
        <v>200106498</v>
      </c>
      <c r="I722" s="1457" t="s">
        <v>1537</v>
      </c>
      <c r="J722" s="1144">
        <v>22</v>
      </c>
      <c r="K722" s="1174" t="s">
        <v>60</v>
      </c>
      <c r="L722" s="1174" t="s">
        <v>60</v>
      </c>
      <c r="M722" s="786">
        <v>556.1</v>
      </c>
      <c r="N722" s="786">
        <v>125.61</v>
      </c>
      <c r="O722" s="1054">
        <v>45471</v>
      </c>
      <c r="P722" s="1043">
        <v>45470</v>
      </c>
      <c r="Q722" s="3" t="s">
        <v>1538</v>
      </c>
      <c r="R722" s="786">
        <v>3.64</v>
      </c>
      <c r="S722" s="851" t="s">
        <v>62</v>
      </c>
      <c r="T722" s="856" t="s">
        <v>69</v>
      </c>
      <c r="U722" s="856" t="s">
        <v>69</v>
      </c>
      <c r="V722" s="1350">
        <v>567.20000000000005</v>
      </c>
      <c r="W722" s="1350">
        <v>455.23</v>
      </c>
      <c r="X722" s="1179">
        <v>45474</v>
      </c>
      <c r="Y722" s="1179">
        <v>45471</v>
      </c>
      <c r="Z722" s="856" t="s">
        <v>62</v>
      </c>
      <c r="AA722" s="1284" t="s">
        <v>1327</v>
      </c>
      <c r="AB722" s="1099">
        <v>45475</v>
      </c>
      <c r="AC722" s="1099">
        <v>45476</v>
      </c>
      <c r="AD722" s="1359">
        <f>66+726+198</f>
        <v>990</v>
      </c>
      <c r="AE722" s="1227">
        <v>0.97442863048485195</v>
      </c>
      <c r="AF722" s="1231" t="s">
        <v>64</v>
      </c>
      <c r="AG722" s="1262">
        <v>1</v>
      </c>
      <c r="AH722" s="1365" t="s">
        <v>1328</v>
      </c>
      <c r="AI722" s="1380">
        <v>45481</v>
      </c>
      <c r="AJ722" s="1380">
        <v>45482</v>
      </c>
      <c r="AK722" s="1381">
        <f>16045+35700+6688</f>
        <v>58433</v>
      </c>
      <c r="AL722" s="1227">
        <f t="shared" si="76"/>
        <v>0.97388333333333332</v>
      </c>
      <c r="AM722" s="1382" t="s">
        <v>62</v>
      </c>
      <c r="AN722" s="1367">
        <v>1</v>
      </c>
      <c r="AO722" s="1276"/>
      <c r="AP722" s="1277"/>
      <c r="AQ722" s="1276"/>
      <c r="AR722" s="1278"/>
      <c r="AS722" s="1278"/>
    </row>
    <row r="723" spans="1:49" ht="15.6">
      <c r="A723" s="1097"/>
      <c r="B723" s="1103"/>
      <c r="C723" s="1098"/>
      <c r="D723" s="1098"/>
      <c r="E723" s="1098"/>
      <c r="F723" s="856"/>
      <c r="G723" s="1099"/>
      <c r="H723" s="3"/>
      <c r="I723" s="1294"/>
      <c r="J723" s="1144"/>
      <c r="K723" s="1174"/>
      <c r="L723" s="1174"/>
      <c r="M723" s="786"/>
      <c r="N723" s="786"/>
      <c r="O723" s="1054"/>
      <c r="P723" s="1043"/>
      <c r="Q723" s="3"/>
      <c r="R723" s="786"/>
      <c r="S723" s="851"/>
      <c r="T723" s="856"/>
      <c r="U723" s="856"/>
      <c r="V723" s="1350"/>
      <c r="W723" s="1350"/>
      <c r="X723" s="1179"/>
      <c r="Y723" s="1179"/>
      <c r="Z723" s="856"/>
      <c r="AA723" s="1284"/>
      <c r="AB723" s="1099"/>
      <c r="AC723" s="1099"/>
      <c r="AD723" s="1359"/>
      <c r="AE723" s="1227"/>
      <c r="AF723" s="1231"/>
      <c r="AG723" s="1262"/>
      <c r="AH723" s="1365"/>
      <c r="AI723" s="1380"/>
      <c r="AJ723" s="1380"/>
      <c r="AK723" s="1381"/>
      <c r="AL723" s="1227"/>
      <c r="AM723" s="1382"/>
      <c r="AN723" s="1367"/>
      <c r="AO723" s="1276"/>
      <c r="AP723" s="1277"/>
      <c r="AQ723" s="1276"/>
      <c r="AR723" s="1278"/>
      <c r="AS723" s="1278"/>
    </row>
    <row r="724" spans="1:49" ht="15.6">
      <c r="A724" s="1097" t="s">
        <v>53</v>
      </c>
      <c r="B724" s="1075" t="s">
        <v>1539</v>
      </c>
      <c r="C724" s="851" t="s">
        <v>1540</v>
      </c>
      <c r="D724" s="851" t="s">
        <v>1541</v>
      </c>
      <c r="E724" s="1473" t="s">
        <v>213</v>
      </c>
      <c r="F724" s="856">
        <v>2024</v>
      </c>
      <c r="G724" s="851" t="s">
        <v>1542</v>
      </c>
      <c r="H724" s="851">
        <v>300019520</v>
      </c>
      <c r="I724" s="1385" t="s">
        <v>1543</v>
      </c>
      <c r="J724" s="1180" t="s">
        <v>1544</v>
      </c>
      <c r="K724" s="3" t="s">
        <v>932</v>
      </c>
      <c r="L724" s="3" t="s">
        <v>932</v>
      </c>
      <c r="M724" s="762">
        <v>534</v>
      </c>
      <c r="N724" s="762">
        <v>293.04000000000002</v>
      </c>
      <c r="O724" s="958">
        <v>44987</v>
      </c>
      <c r="P724" s="958">
        <v>44988</v>
      </c>
      <c r="Q724" s="3" t="s">
        <v>1545</v>
      </c>
      <c r="R724" s="3" t="s">
        <v>1546</v>
      </c>
      <c r="S724" s="851" t="s">
        <v>62</v>
      </c>
      <c r="T724" s="1180" t="s">
        <v>63</v>
      </c>
      <c r="U724" s="3" t="s">
        <v>1547</v>
      </c>
      <c r="V724" s="1180" t="s">
        <v>1548</v>
      </c>
      <c r="W724" s="762">
        <v>308.60000000000002</v>
      </c>
      <c r="X724" s="1179">
        <v>44988</v>
      </c>
      <c r="Y724" s="958">
        <v>44988</v>
      </c>
      <c r="Z724" s="856" t="s">
        <v>62</v>
      </c>
      <c r="AA724" s="851" t="s">
        <v>1549</v>
      </c>
      <c r="AB724" s="1099">
        <v>44991</v>
      </c>
      <c r="AC724" s="1099">
        <v>44991</v>
      </c>
      <c r="AD724" s="1392">
        <v>836</v>
      </c>
      <c r="AE724" s="1227">
        <f t="shared" ref="AE724:AE728" si="77">AD724/875</f>
        <v>0.9554285714285714</v>
      </c>
      <c r="AF724" s="1228" t="s">
        <v>64</v>
      </c>
      <c r="AG724" s="1402"/>
      <c r="AH724" s="851" t="s">
        <v>514</v>
      </c>
      <c r="AI724" s="1248">
        <v>44998</v>
      </c>
      <c r="AJ724" s="1248">
        <v>45000</v>
      </c>
      <c r="AK724" s="955">
        <f>1100+1647+10076+19862+39700+38166</f>
        <v>110551</v>
      </c>
      <c r="AL724" s="1227">
        <f t="shared" ref="AL724:AL728" si="78">AK724/116400</f>
        <v>0.94975085910652923</v>
      </c>
      <c r="AM724" s="1403" t="s">
        <v>62</v>
      </c>
      <c r="AN724" s="1404"/>
      <c r="AO724" s="1276"/>
      <c r="AP724" s="1277"/>
      <c r="AQ724" s="1276"/>
      <c r="AR724" s="1278"/>
      <c r="AS724" s="1278"/>
    </row>
    <row r="725" spans="1:49" ht="15.6">
      <c r="A725" s="1097" t="s">
        <v>53</v>
      </c>
      <c r="B725" s="1075"/>
      <c r="C725" s="851"/>
      <c r="D725" s="851"/>
      <c r="E725" s="1098"/>
      <c r="F725" s="1098"/>
      <c r="G725" s="851"/>
      <c r="H725" s="851"/>
      <c r="I725" s="1299"/>
      <c r="J725" s="1180"/>
      <c r="K725" s="3"/>
      <c r="L725" s="3"/>
      <c r="M725" s="3"/>
      <c r="N725" s="3"/>
      <c r="O725" s="958"/>
      <c r="P725" s="958"/>
      <c r="Q725" s="820"/>
      <c r="R725" s="3"/>
      <c r="S725" s="851"/>
      <c r="T725" s="1180"/>
      <c r="U725" s="3"/>
      <c r="V725" s="1180"/>
      <c r="W725" s="3"/>
      <c r="X725" s="1179"/>
      <c r="Y725" s="958"/>
      <c r="Z725" s="851"/>
      <c r="AA725" s="851"/>
      <c r="AB725" s="1099"/>
      <c r="AC725" s="1099"/>
      <c r="AD725" s="1392"/>
      <c r="AE725" s="1227"/>
      <c r="AF725" s="1228"/>
      <c r="AG725" s="1402"/>
      <c r="AH725" s="851"/>
      <c r="AI725" s="1248"/>
      <c r="AJ725" s="1248"/>
      <c r="AK725" s="955"/>
      <c r="AL725" s="1227"/>
      <c r="AM725" s="1405"/>
      <c r="AN725" s="1404"/>
      <c r="AO725" s="1276"/>
      <c r="AP725" s="1277"/>
      <c r="AQ725" s="1276"/>
      <c r="AR725" s="1278"/>
      <c r="AS725" s="1278"/>
    </row>
    <row r="726" spans="1:49" ht="15.6">
      <c r="A726" s="1097" t="s">
        <v>53</v>
      </c>
      <c r="B726" s="1075" t="s">
        <v>1539</v>
      </c>
      <c r="C726" s="851" t="s">
        <v>1540</v>
      </c>
      <c r="D726" s="851" t="s">
        <v>1541</v>
      </c>
      <c r="E726" s="1473" t="s">
        <v>213</v>
      </c>
      <c r="F726" s="856">
        <v>2024</v>
      </c>
      <c r="G726" s="1099">
        <v>45351</v>
      </c>
      <c r="H726" s="3">
        <v>300020943</v>
      </c>
      <c r="I726" s="1281" t="s">
        <v>1550</v>
      </c>
      <c r="J726" s="1180" t="s">
        <v>1544</v>
      </c>
      <c r="K726" s="3" t="s">
        <v>60</v>
      </c>
      <c r="L726" s="3" t="s">
        <v>932</v>
      </c>
      <c r="M726" s="786">
        <v>530.6</v>
      </c>
      <c r="N726" s="762">
        <v>295.64</v>
      </c>
      <c r="O726" s="958">
        <v>45359</v>
      </c>
      <c r="P726" s="958">
        <v>45359</v>
      </c>
      <c r="Q726" s="785" t="s">
        <v>1551</v>
      </c>
      <c r="R726" s="3" t="s">
        <v>1552</v>
      </c>
      <c r="S726" s="851" t="s">
        <v>62</v>
      </c>
      <c r="T726" s="1180" t="s">
        <v>63</v>
      </c>
      <c r="U726" s="3" t="s">
        <v>130</v>
      </c>
      <c r="V726" s="1180" t="s">
        <v>1553</v>
      </c>
      <c r="W726" s="762">
        <v>311.10000000000002</v>
      </c>
      <c r="X726" s="1179">
        <v>45363</v>
      </c>
      <c r="Y726" s="958">
        <v>45363</v>
      </c>
      <c r="Z726" s="856" t="s">
        <v>62</v>
      </c>
      <c r="AA726" s="851" t="s">
        <v>1549</v>
      </c>
      <c r="AB726" s="1099">
        <v>45363</v>
      </c>
      <c r="AC726" s="1099">
        <v>45364</v>
      </c>
      <c r="AD726" s="1392">
        <f>505+330</f>
        <v>835</v>
      </c>
      <c r="AE726" s="1227">
        <f t="shared" si="77"/>
        <v>0.95428571428571429</v>
      </c>
      <c r="AF726" s="1228" t="s">
        <v>64</v>
      </c>
      <c r="AG726" s="1364">
        <v>1</v>
      </c>
      <c r="AH726" s="851" t="s">
        <v>514</v>
      </c>
      <c r="AI726" s="1248">
        <v>45374</v>
      </c>
      <c r="AJ726" s="1248"/>
      <c r="AK726" s="955">
        <f>22452+25369+11849+4400+1000+1000</f>
        <v>66070</v>
      </c>
      <c r="AL726" s="1227">
        <f t="shared" si="78"/>
        <v>0.56761168384879723</v>
      </c>
      <c r="AM726" s="1406" t="s">
        <v>1554</v>
      </c>
      <c r="AN726" s="1261">
        <f>AL726/1</f>
        <v>0.56761168384879723</v>
      </c>
      <c r="AO726" s="1276"/>
      <c r="AP726" s="1277"/>
      <c r="AQ726" s="1276"/>
      <c r="AR726" s="1278"/>
      <c r="AS726" s="1278"/>
    </row>
    <row r="727" spans="1:49" ht="15.6">
      <c r="A727" s="1097" t="s">
        <v>53</v>
      </c>
      <c r="B727" s="1075"/>
      <c r="C727" s="851"/>
      <c r="D727" s="851"/>
      <c r="E727" s="1098"/>
      <c r="F727" s="1098"/>
      <c r="G727" s="1099"/>
      <c r="H727" s="3"/>
      <c r="I727" s="3"/>
      <c r="J727" s="1180"/>
      <c r="K727" s="807"/>
      <c r="L727" s="807"/>
      <c r="M727" s="807"/>
      <c r="N727" s="3"/>
      <c r="O727" s="958"/>
      <c r="P727" s="958"/>
      <c r="Q727" s="820"/>
      <c r="R727" s="3"/>
      <c r="S727" s="851"/>
      <c r="T727" s="1180"/>
      <c r="U727" s="3"/>
      <c r="V727" s="1180"/>
      <c r="W727" s="3"/>
      <c r="X727" s="1179"/>
      <c r="Y727" s="958"/>
      <c r="Z727" s="1174"/>
      <c r="AA727" s="851"/>
      <c r="AB727" s="1099"/>
      <c r="AC727" s="1099"/>
      <c r="AD727" s="1392"/>
      <c r="AE727" s="1227"/>
      <c r="AF727" s="1228"/>
      <c r="AG727" s="1364"/>
      <c r="AH727" s="851"/>
      <c r="AI727" s="1248"/>
      <c r="AJ727" s="1248"/>
      <c r="AK727" s="955"/>
      <c r="AL727" s="1227"/>
      <c r="AM727" s="1260"/>
      <c r="AN727" s="1261"/>
      <c r="AO727" s="1276"/>
      <c r="AP727" s="1277"/>
      <c r="AQ727" s="1276"/>
      <c r="AR727" s="1278"/>
      <c r="AS727" s="1278"/>
    </row>
    <row r="728" spans="1:49" ht="15.6">
      <c r="A728" s="1097" t="s">
        <v>53</v>
      </c>
      <c r="B728" s="1075" t="s">
        <v>1539</v>
      </c>
      <c r="C728" s="851" t="s">
        <v>1540</v>
      </c>
      <c r="D728" s="851" t="s">
        <v>1541</v>
      </c>
      <c r="E728" s="1473" t="s">
        <v>213</v>
      </c>
      <c r="F728" s="856">
        <v>2024</v>
      </c>
      <c r="G728" s="1099">
        <v>45485</v>
      </c>
      <c r="H728" s="3">
        <v>300021517</v>
      </c>
      <c r="I728" s="3" t="s">
        <v>1555</v>
      </c>
      <c r="J728" s="1180" t="s">
        <v>1544</v>
      </c>
      <c r="K728" s="3" t="s">
        <v>60</v>
      </c>
      <c r="L728" s="3" t="s">
        <v>128</v>
      </c>
      <c r="M728" s="858">
        <v>534.6</v>
      </c>
      <c r="N728" s="858">
        <v>296.43</v>
      </c>
      <c r="O728" s="958">
        <v>45510</v>
      </c>
      <c r="P728" s="958">
        <v>45510</v>
      </c>
      <c r="Q728" s="3" t="s">
        <v>1556</v>
      </c>
      <c r="R728" s="785" t="s">
        <v>1557</v>
      </c>
      <c r="S728" s="851" t="s">
        <v>62</v>
      </c>
      <c r="T728" s="1180" t="s">
        <v>75</v>
      </c>
      <c r="U728" s="3" t="s">
        <v>130</v>
      </c>
      <c r="V728" s="1180" t="s">
        <v>1558</v>
      </c>
      <c r="W728" s="858">
        <v>312.3</v>
      </c>
      <c r="X728" s="1179">
        <v>45511</v>
      </c>
      <c r="Y728" s="958">
        <v>45511</v>
      </c>
      <c r="Z728" s="856" t="s">
        <v>62</v>
      </c>
      <c r="AA728" s="851" t="s">
        <v>1312</v>
      </c>
      <c r="AB728" s="1099">
        <v>45512</v>
      </c>
      <c r="AC728" s="1099">
        <v>45512</v>
      </c>
      <c r="AD728" s="1392">
        <f>390+438</f>
        <v>828</v>
      </c>
      <c r="AE728" s="1227">
        <f t="shared" si="77"/>
        <v>0.94628571428571429</v>
      </c>
      <c r="AF728" s="1228" t="s">
        <v>64</v>
      </c>
      <c r="AG728" s="1364">
        <v>1</v>
      </c>
      <c r="AH728" s="851" t="s">
        <v>514</v>
      </c>
      <c r="AI728" s="1248">
        <v>45517</v>
      </c>
      <c r="AJ728" s="1248">
        <v>45523</v>
      </c>
      <c r="AK728" s="955">
        <f>1253+2678+20100+19871+38830+27175</f>
        <v>109907</v>
      </c>
      <c r="AL728" s="1227">
        <f t="shared" si="78"/>
        <v>0.94421821305841924</v>
      </c>
      <c r="AM728" s="1403" t="s">
        <v>62</v>
      </c>
      <c r="AN728" s="1261">
        <v>1</v>
      </c>
      <c r="AO728" s="1276"/>
      <c r="AP728" s="1277"/>
      <c r="AQ728" s="1276"/>
      <c r="AR728" s="1278">
        <v>160</v>
      </c>
      <c r="AS728" s="1278">
        <v>145</v>
      </c>
      <c r="AT728" s="784">
        <v>88</v>
      </c>
      <c r="AU728" s="784">
        <v>2.2799999999999998</v>
      </c>
      <c r="AV728" s="784">
        <v>10.6</v>
      </c>
      <c r="AW728" s="1184">
        <v>7.4</v>
      </c>
    </row>
    <row r="729" spans="1:49" ht="15.6">
      <c r="A729" s="1097" t="s">
        <v>53</v>
      </c>
      <c r="B729" s="1103"/>
      <c r="C729" s="1098"/>
      <c r="D729" s="1098"/>
      <c r="E729" s="1098"/>
      <c r="F729" s="1098"/>
      <c r="G729" s="1347"/>
      <c r="H729" s="3"/>
      <c r="I729" s="12"/>
      <c r="J729" s="1144"/>
      <c r="K729" s="1174"/>
      <c r="L729" s="1174"/>
      <c r="M729" s="1350"/>
      <c r="N729" s="1174"/>
      <c r="O729" s="1179"/>
      <c r="P729" s="1179"/>
      <c r="Q729" s="1099"/>
      <c r="R729" s="1099"/>
      <c r="S729" s="851"/>
      <c r="T729" s="856"/>
      <c r="U729" s="856"/>
      <c r="V729" s="1350"/>
      <c r="W729" s="1350"/>
      <c r="X729" s="1179"/>
      <c r="Y729" s="1179"/>
      <c r="Z729" s="1350"/>
      <c r="AA729" s="1232"/>
      <c r="AB729" s="1099"/>
      <c r="AC729" s="1076"/>
      <c r="AD729" s="1393"/>
      <c r="AE729" s="1227"/>
      <c r="AF729" s="1358"/>
      <c r="AG729" s="1364"/>
      <c r="AH729" s="1365"/>
      <c r="AI729" s="1099"/>
      <c r="AJ729" s="1099"/>
      <c r="AK729" s="1263"/>
      <c r="AL729" s="1227"/>
      <c r="AM729" s="1366"/>
      <c r="AN729" s="1367"/>
      <c r="AO729" s="1276"/>
      <c r="AP729" s="1277"/>
      <c r="AQ729" s="1276"/>
      <c r="AR729" s="1278"/>
      <c r="AS729" s="1278"/>
    </row>
    <row r="730" spans="1:49" ht="15.6">
      <c r="A730" s="1097" t="s">
        <v>53</v>
      </c>
      <c r="B730" s="35" t="s">
        <v>1559</v>
      </c>
      <c r="C730" s="907" t="s">
        <v>1560</v>
      </c>
      <c r="D730" s="8" t="s">
        <v>1561</v>
      </c>
      <c r="E730" s="1483" t="s">
        <v>213</v>
      </c>
      <c r="F730" s="856">
        <v>2024</v>
      </c>
      <c r="G730" s="1074">
        <v>45348</v>
      </c>
      <c r="H730" s="8">
        <v>300020896</v>
      </c>
      <c r="I730" s="1386" t="s">
        <v>1562</v>
      </c>
      <c r="J730" s="906">
        <v>1</v>
      </c>
      <c r="K730" s="3" t="s">
        <v>128</v>
      </c>
      <c r="L730" s="7"/>
      <c r="M730" s="762">
        <v>440.1</v>
      </c>
      <c r="N730" s="1020"/>
      <c r="O730" s="958">
        <v>45350</v>
      </c>
      <c r="P730" s="1387"/>
      <c r="Q730" s="3" t="s">
        <v>1563</v>
      </c>
      <c r="R730" s="3"/>
      <c r="S730" s="851" t="s">
        <v>62</v>
      </c>
      <c r="T730" s="3" t="s">
        <v>130</v>
      </c>
      <c r="U730" s="906" t="s">
        <v>75</v>
      </c>
      <c r="V730" s="762">
        <v>329.7</v>
      </c>
      <c r="W730" s="906">
        <v>455.24</v>
      </c>
      <c r="X730" s="958">
        <v>45350</v>
      </c>
      <c r="Y730" s="1394">
        <v>45351</v>
      </c>
      <c r="Z730" s="856" t="s">
        <v>62</v>
      </c>
      <c r="AA730" s="1073" t="s">
        <v>1487</v>
      </c>
      <c r="AB730" s="1074">
        <v>45356</v>
      </c>
      <c r="AC730" s="1074">
        <v>45358</v>
      </c>
      <c r="AD730" s="1395">
        <f>130+325+209</f>
        <v>664</v>
      </c>
      <c r="AE730" s="1396">
        <f t="shared" ref="AE730:AE732" si="79">AD730/780</f>
        <v>0.85128205128205126</v>
      </c>
      <c r="AF730" s="1397" t="s">
        <v>1564</v>
      </c>
      <c r="AG730" s="1407">
        <v>1</v>
      </c>
      <c r="AH730" s="1408" t="s">
        <v>103</v>
      </c>
      <c r="AI730" s="1409">
        <v>45364</v>
      </c>
      <c r="AJ730" s="1409">
        <v>45364</v>
      </c>
      <c r="AK730" s="1410">
        <v>83656</v>
      </c>
      <c r="AL730" s="1411">
        <f t="shared" ref="AL730:AL732" si="80">AK730/100000</f>
        <v>0.83655999999999997</v>
      </c>
      <c r="AM730" s="1412" t="s">
        <v>62</v>
      </c>
      <c r="AN730" s="1413">
        <v>1</v>
      </c>
      <c r="AO730" s="1419"/>
      <c r="AP730" s="1420"/>
      <c r="AQ730" s="1419"/>
      <c r="AR730" s="1421"/>
      <c r="AS730" s="1421"/>
    </row>
    <row r="731" spans="1:49" ht="15.6">
      <c r="A731" s="1097" t="s">
        <v>53</v>
      </c>
      <c r="B731" s="4" t="s">
        <v>1559</v>
      </c>
      <c r="C731" s="1098" t="s">
        <v>1560</v>
      </c>
      <c r="D731" s="3" t="s">
        <v>1561</v>
      </c>
      <c r="E731" s="1461" t="s">
        <v>213</v>
      </c>
      <c r="F731" s="856">
        <v>2024</v>
      </c>
      <c r="G731" s="1099">
        <v>45348</v>
      </c>
      <c r="H731" s="3">
        <v>300020897</v>
      </c>
      <c r="I731" s="1337" t="s">
        <v>1565</v>
      </c>
      <c r="J731" s="851">
        <v>2</v>
      </c>
      <c r="K731" s="3" t="s">
        <v>128</v>
      </c>
      <c r="L731" s="7"/>
      <c r="M731" s="786">
        <v>436.9</v>
      </c>
      <c r="N731" s="1020"/>
      <c r="O731" s="958">
        <v>45364</v>
      </c>
      <c r="P731" s="1205"/>
      <c r="Q731" s="3" t="s">
        <v>1566</v>
      </c>
      <c r="R731" s="3"/>
      <c r="S731" s="851" t="s">
        <v>62</v>
      </c>
      <c r="T731" s="3" t="s">
        <v>130</v>
      </c>
      <c r="U731" s="851" t="s">
        <v>75</v>
      </c>
      <c r="V731" s="762">
        <v>329.49</v>
      </c>
      <c r="W731" s="851">
        <v>455.1</v>
      </c>
      <c r="X731" s="958">
        <v>45364</v>
      </c>
      <c r="Y731" s="1179">
        <v>44999</v>
      </c>
      <c r="Z731" s="856" t="s">
        <v>62</v>
      </c>
      <c r="AA731" s="1076" t="s">
        <v>1243</v>
      </c>
      <c r="AB731" s="1099">
        <v>45369</v>
      </c>
      <c r="AC731" s="1099">
        <v>45369</v>
      </c>
      <c r="AD731" s="1176">
        <f>205+543</f>
        <v>748</v>
      </c>
      <c r="AE731" s="1264">
        <f t="shared" si="79"/>
        <v>0.95897435897435901</v>
      </c>
      <c r="AF731" s="1315" t="s">
        <v>1564</v>
      </c>
      <c r="AG731" s="1318">
        <v>1</v>
      </c>
      <c r="AH731" s="1368" t="s">
        <v>103</v>
      </c>
      <c r="AI731" s="1257">
        <v>45376</v>
      </c>
      <c r="AJ731" s="1257">
        <v>45377</v>
      </c>
      <c r="AK731" s="1267">
        <f>77600+18311</f>
        <v>95911</v>
      </c>
      <c r="AL731" s="1218">
        <f t="shared" si="80"/>
        <v>0.95911000000000002</v>
      </c>
      <c r="AM731" s="1252" t="s">
        <v>62</v>
      </c>
      <c r="AN731" s="1261">
        <v>1</v>
      </c>
      <c r="AO731" s="1276">
        <v>3994</v>
      </c>
      <c r="AP731" s="1277">
        <v>45436</v>
      </c>
      <c r="AQ731" s="1276" t="s">
        <v>103</v>
      </c>
      <c r="AR731" s="1278"/>
      <c r="AS731" s="1278"/>
    </row>
    <row r="732" spans="1:49" ht="15.6">
      <c r="A732" s="1097" t="s">
        <v>53</v>
      </c>
      <c r="B732" s="4" t="s">
        <v>1559</v>
      </c>
      <c r="C732" s="1098" t="s">
        <v>1560</v>
      </c>
      <c r="D732" s="3" t="s">
        <v>1561</v>
      </c>
      <c r="E732" s="1461" t="s">
        <v>213</v>
      </c>
      <c r="F732" s="856">
        <v>2024</v>
      </c>
      <c r="G732" s="1099">
        <v>45348</v>
      </c>
      <c r="H732" s="3">
        <v>300020898</v>
      </c>
      <c r="I732" s="1337" t="s">
        <v>1567</v>
      </c>
      <c r="J732" s="851">
        <v>3</v>
      </c>
      <c r="K732" s="3" t="s">
        <v>128</v>
      </c>
      <c r="L732" s="7"/>
      <c r="M732" s="786">
        <v>442.2</v>
      </c>
      <c r="N732" s="1020"/>
      <c r="O732" s="958">
        <v>45364</v>
      </c>
      <c r="P732" s="1205"/>
      <c r="Q732" s="785" t="s">
        <v>1568</v>
      </c>
      <c r="R732" s="785"/>
      <c r="S732" s="851" t="s">
        <v>62</v>
      </c>
      <c r="T732" s="3" t="s">
        <v>130</v>
      </c>
      <c r="U732" s="851" t="s">
        <v>75</v>
      </c>
      <c r="V732" s="762">
        <v>329.6</v>
      </c>
      <c r="W732" s="851">
        <v>460.42</v>
      </c>
      <c r="X732" s="958">
        <v>45365</v>
      </c>
      <c r="Y732" s="1179">
        <v>44999</v>
      </c>
      <c r="Z732" s="856" t="s">
        <v>62</v>
      </c>
      <c r="AA732" s="1076" t="s">
        <v>1243</v>
      </c>
      <c r="AB732" s="1099">
        <v>45369</v>
      </c>
      <c r="AC732" s="1099">
        <v>45370</v>
      </c>
      <c r="AD732" s="1176">
        <f>110+640</f>
        <v>750</v>
      </c>
      <c r="AE732" s="1264">
        <f t="shared" si="79"/>
        <v>0.96153846153846156</v>
      </c>
      <c r="AF732" s="1315" t="s">
        <v>1564</v>
      </c>
      <c r="AG732" s="1318">
        <v>1</v>
      </c>
      <c r="AH732" s="767" t="s">
        <v>103</v>
      </c>
      <c r="AI732" s="1257">
        <v>45377</v>
      </c>
      <c r="AJ732" s="1257">
        <v>45377</v>
      </c>
      <c r="AK732" s="1267">
        <f>90000+6051</f>
        <v>96051</v>
      </c>
      <c r="AL732" s="1218">
        <f t="shared" si="80"/>
        <v>0.96050999999999997</v>
      </c>
      <c r="AM732" s="1252" t="s">
        <v>62</v>
      </c>
      <c r="AN732" s="1261">
        <v>1</v>
      </c>
      <c r="AO732" s="1276">
        <v>2429</v>
      </c>
      <c r="AP732" s="1277">
        <v>45436</v>
      </c>
      <c r="AQ732" s="1276" t="s">
        <v>103</v>
      </c>
      <c r="AR732" s="1278"/>
      <c r="AS732" s="1278"/>
    </row>
    <row r="733" spans="1:49">
      <c r="A733" s="1097" t="s">
        <v>53</v>
      </c>
      <c r="K733" s="3"/>
      <c r="L733" s="7"/>
      <c r="M733" s="786"/>
      <c r="N733" s="958"/>
      <c r="O733" s="958"/>
      <c r="Q733" s="1058"/>
      <c r="R733" s="1058"/>
      <c r="S733" s="851"/>
      <c r="T733" s="8"/>
      <c r="V733" s="8"/>
      <c r="X733" s="1391"/>
      <c r="AO733" s="1422"/>
      <c r="AP733" s="1422"/>
      <c r="AQ733" s="1423"/>
    </row>
    <row r="734" spans="1:49" ht="15.6">
      <c r="A734" s="1097" t="s">
        <v>53</v>
      </c>
      <c r="B734" s="4" t="s">
        <v>1559</v>
      </c>
      <c r="C734" s="1098" t="s">
        <v>1560</v>
      </c>
      <c r="D734" s="3" t="s">
        <v>1561</v>
      </c>
      <c r="E734" s="1461" t="s">
        <v>277</v>
      </c>
      <c r="F734" s="856">
        <v>2024</v>
      </c>
      <c r="G734" s="1099">
        <v>45385</v>
      </c>
      <c r="H734" s="3">
        <v>300021120</v>
      </c>
      <c r="I734" s="973" t="s">
        <v>1569</v>
      </c>
      <c r="J734" s="851">
        <v>1</v>
      </c>
      <c r="K734" s="3" t="s">
        <v>60</v>
      </c>
      <c r="L734" s="7"/>
      <c r="M734" s="786">
        <v>438.6</v>
      </c>
      <c r="N734" s="1388"/>
      <c r="O734" s="958">
        <v>45405</v>
      </c>
      <c r="P734" s="1205"/>
      <c r="Q734" s="3" t="s">
        <v>1570</v>
      </c>
      <c r="R734" s="3"/>
      <c r="S734" s="851" t="s">
        <v>62</v>
      </c>
      <c r="T734" s="3" t="s">
        <v>130</v>
      </c>
      <c r="U734" s="851" t="s">
        <v>69</v>
      </c>
      <c r="V734" s="762">
        <v>329.9</v>
      </c>
      <c r="W734" s="851">
        <v>456.5</v>
      </c>
      <c r="X734" s="958">
        <v>45404</v>
      </c>
      <c r="Y734" s="1179">
        <v>45405</v>
      </c>
      <c r="Z734" s="856" t="s">
        <v>62</v>
      </c>
      <c r="AA734" s="1076" t="s">
        <v>1243</v>
      </c>
      <c r="AB734" s="1099">
        <v>45411</v>
      </c>
      <c r="AC734" s="1099">
        <v>45411</v>
      </c>
      <c r="AD734" s="1176">
        <f>262+491</f>
        <v>753</v>
      </c>
      <c r="AE734" s="1264">
        <f t="shared" ref="AE734:AE740" si="81">AD734/780</f>
        <v>0.9653846153846154</v>
      </c>
      <c r="AF734" s="1315" t="s">
        <v>1564</v>
      </c>
      <c r="AG734" s="1318">
        <v>1</v>
      </c>
      <c r="AH734" s="851" t="s">
        <v>103</v>
      </c>
      <c r="AI734" s="1257">
        <v>45414</v>
      </c>
      <c r="AJ734" s="1257">
        <v>45436</v>
      </c>
      <c r="AK734" s="1288">
        <f>5800+83800+903+6250</f>
        <v>96753</v>
      </c>
      <c r="AL734" s="1218">
        <f t="shared" ref="AL734:AL740" si="82">AK734/100000</f>
        <v>0.96753</v>
      </c>
      <c r="AM734" s="1252" t="s">
        <v>62</v>
      </c>
      <c r="AN734" s="1261">
        <v>1</v>
      </c>
      <c r="AO734" s="1276"/>
      <c r="AP734" s="1277"/>
      <c r="AQ734" s="1276"/>
      <c r="AR734" s="1278"/>
      <c r="AS734" s="1278"/>
    </row>
    <row r="735" spans="1:49" ht="15.6">
      <c r="A735" s="1097" t="s">
        <v>53</v>
      </c>
      <c r="B735" s="4" t="s">
        <v>1559</v>
      </c>
      <c r="C735" s="1098" t="s">
        <v>1560</v>
      </c>
      <c r="D735" s="3" t="s">
        <v>1561</v>
      </c>
      <c r="E735" s="1461" t="s">
        <v>277</v>
      </c>
      <c r="F735" s="856">
        <v>2024</v>
      </c>
      <c r="G735" s="1099">
        <v>45385</v>
      </c>
      <c r="H735" s="3">
        <v>300021121</v>
      </c>
      <c r="I735" s="973" t="s">
        <v>1571</v>
      </c>
      <c r="J735" s="851">
        <v>2</v>
      </c>
      <c r="K735" s="3" t="s">
        <v>60</v>
      </c>
      <c r="L735" s="7"/>
      <c r="M735" s="786">
        <v>443.5</v>
      </c>
      <c r="N735" s="1388"/>
      <c r="O735" s="958">
        <v>45405</v>
      </c>
      <c r="P735" s="1205"/>
      <c r="Q735" s="784" t="s">
        <v>1572</v>
      </c>
      <c r="R735" s="784"/>
      <c r="S735" s="851" t="s">
        <v>62</v>
      </c>
      <c r="T735" s="3" t="s">
        <v>130</v>
      </c>
      <c r="U735" s="851" t="s">
        <v>69</v>
      </c>
      <c r="V735" s="762">
        <v>330</v>
      </c>
      <c r="W735" s="851">
        <v>461.18</v>
      </c>
      <c r="X735" s="958">
        <v>45404</v>
      </c>
      <c r="Y735" s="1179">
        <v>45405</v>
      </c>
      <c r="Z735" s="856" t="s">
        <v>62</v>
      </c>
      <c r="AA735" s="1076" t="s">
        <v>1243</v>
      </c>
      <c r="AB735" s="1099">
        <v>45411</v>
      </c>
      <c r="AC735" s="1099">
        <v>45411</v>
      </c>
      <c r="AD735" s="1176">
        <f>260+499</f>
        <v>759</v>
      </c>
      <c r="AE735" s="1264">
        <f t="shared" si="81"/>
        <v>0.97307692307692306</v>
      </c>
      <c r="AF735" s="1315" t="s">
        <v>1564</v>
      </c>
      <c r="AG735" s="1318">
        <v>1</v>
      </c>
      <c r="AH735" s="851" t="s">
        <v>103</v>
      </c>
      <c r="AI735" s="1257">
        <v>45415</v>
      </c>
      <c r="AJ735" s="1257">
        <v>45416</v>
      </c>
      <c r="AK735" s="1288">
        <f>20000+4500+40500+32152+5000</f>
        <v>102152</v>
      </c>
      <c r="AL735" s="1218">
        <f t="shared" si="82"/>
        <v>1.02152</v>
      </c>
      <c r="AM735" s="1252" t="s">
        <v>62</v>
      </c>
      <c r="AN735" s="1261">
        <v>1</v>
      </c>
      <c r="AO735" s="1276">
        <v>8900</v>
      </c>
      <c r="AP735" s="1277">
        <v>45436</v>
      </c>
      <c r="AQ735" s="1276" t="s">
        <v>103</v>
      </c>
      <c r="AR735" s="1278"/>
      <c r="AS735" s="1278"/>
    </row>
    <row r="736" spans="1:49" ht="15.6">
      <c r="A736" s="1097" t="s">
        <v>53</v>
      </c>
      <c r="B736" s="4" t="s">
        <v>1559</v>
      </c>
      <c r="C736" s="1098" t="s">
        <v>1560</v>
      </c>
      <c r="D736" s="3" t="s">
        <v>1561</v>
      </c>
      <c r="E736" s="1461" t="s">
        <v>277</v>
      </c>
      <c r="F736" s="856">
        <v>2024</v>
      </c>
      <c r="G736" s="1099">
        <v>45385</v>
      </c>
      <c r="H736" s="3">
        <v>300021122</v>
      </c>
      <c r="I736" s="973" t="s">
        <v>1573</v>
      </c>
      <c r="J736" s="851">
        <v>3</v>
      </c>
      <c r="K736" s="3" t="s">
        <v>60</v>
      </c>
      <c r="L736" s="7"/>
      <c r="M736" s="786">
        <v>441.3</v>
      </c>
      <c r="N736" s="1388"/>
      <c r="O736" s="958">
        <v>45405</v>
      </c>
      <c r="P736" s="1205"/>
      <c r="Q736" s="784" t="s">
        <v>1574</v>
      </c>
      <c r="R736" s="784"/>
      <c r="S736" s="851" t="s">
        <v>62</v>
      </c>
      <c r="T736" s="3" t="s">
        <v>130</v>
      </c>
      <c r="U736" s="851" t="s">
        <v>69</v>
      </c>
      <c r="V736" s="762">
        <v>329.7</v>
      </c>
      <c r="W736" s="851">
        <v>459.51</v>
      </c>
      <c r="X736" s="958">
        <v>45405</v>
      </c>
      <c r="Y736" s="1179">
        <v>45405</v>
      </c>
      <c r="Z736" s="856" t="s">
        <v>62</v>
      </c>
      <c r="AA736" s="1076" t="s">
        <v>1243</v>
      </c>
      <c r="AB736" s="1099">
        <v>45411</v>
      </c>
      <c r="AC736" s="1099">
        <v>45412</v>
      </c>
      <c r="AD736" s="1176">
        <f>130+628</f>
        <v>758</v>
      </c>
      <c r="AE736" s="1264">
        <f t="shared" si="81"/>
        <v>0.97179487179487178</v>
      </c>
      <c r="AF736" s="1315" t="s">
        <v>1564</v>
      </c>
      <c r="AG736" s="1318">
        <v>1</v>
      </c>
      <c r="AH736" s="851" t="s">
        <v>103</v>
      </c>
      <c r="AI736" s="1257">
        <v>45416</v>
      </c>
      <c r="AJ736" s="1257">
        <v>45416</v>
      </c>
      <c r="AK736" s="1288">
        <f>53000+44052</f>
        <v>97052</v>
      </c>
      <c r="AL736" s="1218">
        <f t="shared" si="82"/>
        <v>0.97052000000000005</v>
      </c>
      <c r="AM736" s="1252" t="s">
        <v>62</v>
      </c>
      <c r="AN736" s="1261">
        <v>1</v>
      </c>
      <c r="AO736" s="1276"/>
      <c r="AP736" s="1277"/>
      <c r="AQ736" s="1276"/>
      <c r="AR736" s="1278"/>
      <c r="AS736" s="1278"/>
    </row>
    <row r="737" spans="1:45" ht="15.6">
      <c r="A737" s="1097" t="s">
        <v>53</v>
      </c>
      <c r="B737" s="826" t="s">
        <v>1559</v>
      </c>
      <c r="C737" s="1142" t="s">
        <v>1560</v>
      </c>
      <c r="D737" s="13" t="s">
        <v>1561</v>
      </c>
      <c r="E737" s="1471" t="s">
        <v>277</v>
      </c>
      <c r="F737" s="856">
        <v>2024</v>
      </c>
      <c r="G737" s="1217">
        <v>45385</v>
      </c>
      <c r="H737" s="2">
        <v>300021123</v>
      </c>
      <c r="I737" s="959" t="s">
        <v>1575</v>
      </c>
      <c r="J737" s="1178">
        <v>4</v>
      </c>
      <c r="K737" s="3" t="s">
        <v>60</v>
      </c>
      <c r="L737" s="7"/>
      <c r="M737" s="786">
        <v>447.1</v>
      </c>
      <c r="N737" s="1019"/>
      <c r="O737" s="958">
        <v>45405</v>
      </c>
      <c r="P737" s="1389"/>
      <c r="Q737" s="784" t="s">
        <v>1576</v>
      </c>
      <c r="R737" s="784"/>
      <c r="S737" s="851" t="s">
        <v>62</v>
      </c>
      <c r="T737" s="3" t="s">
        <v>130</v>
      </c>
      <c r="U737" s="1178" t="s">
        <v>69</v>
      </c>
      <c r="V737" s="762">
        <v>330</v>
      </c>
      <c r="W737" s="1178">
        <v>465.15</v>
      </c>
      <c r="X737" s="958">
        <v>45405</v>
      </c>
      <c r="Y737" s="1196">
        <v>45405</v>
      </c>
      <c r="Z737" s="856" t="s">
        <v>62</v>
      </c>
      <c r="AA737" s="1076" t="s">
        <v>1243</v>
      </c>
      <c r="AB737" s="1099">
        <v>45412</v>
      </c>
      <c r="AC737" s="1099">
        <v>45412</v>
      </c>
      <c r="AD737" s="1176">
        <f>195+570</f>
        <v>765</v>
      </c>
      <c r="AE737" s="1398">
        <f t="shared" si="81"/>
        <v>0.98076923076923073</v>
      </c>
      <c r="AF737" s="1315" t="s">
        <v>1564</v>
      </c>
      <c r="AG737" s="1318">
        <v>1</v>
      </c>
      <c r="AH737" s="851" t="s">
        <v>103</v>
      </c>
      <c r="AI737" s="1257">
        <v>45416</v>
      </c>
      <c r="AJ737" s="1257">
        <v>45416</v>
      </c>
      <c r="AK737" s="1288">
        <f>70000+27989</f>
        <v>97989</v>
      </c>
      <c r="AL737" s="1218">
        <f t="shared" si="82"/>
        <v>0.97989000000000004</v>
      </c>
      <c r="AM737" s="1252" t="s">
        <v>62</v>
      </c>
      <c r="AN737" s="1261">
        <v>1</v>
      </c>
      <c r="AO737" s="1424">
        <v>1148</v>
      </c>
      <c r="AP737" s="1425">
        <v>45485</v>
      </c>
      <c r="AQ737" s="1276" t="s">
        <v>103</v>
      </c>
      <c r="AR737" s="1278"/>
      <c r="AS737" s="1278"/>
    </row>
    <row r="738" spans="1:45" ht="15.6">
      <c r="A738" s="1097" t="s">
        <v>53</v>
      </c>
      <c r="B738" s="4" t="s">
        <v>1559</v>
      </c>
      <c r="C738" s="1098" t="s">
        <v>1560</v>
      </c>
      <c r="D738" s="3" t="s">
        <v>1561</v>
      </c>
      <c r="E738" s="1461" t="s">
        <v>277</v>
      </c>
      <c r="F738" s="856">
        <v>2024</v>
      </c>
      <c r="G738" s="1217">
        <v>45385</v>
      </c>
      <c r="H738" s="3">
        <v>300021124</v>
      </c>
      <c r="I738" s="973" t="s">
        <v>1577</v>
      </c>
      <c r="J738" s="1178">
        <v>5</v>
      </c>
      <c r="K738" s="3" t="s">
        <v>60</v>
      </c>
      <c r="L738" s="7"/>
      <c r="M738" s="786">
        <v>441.2</v>
      </c>
      <c r="N738" s="1388"/>
      <c r="O738" s="958">
        <v>45407</v>
      </c>
      <c r="P738" s="1389"/>
      <c r="Q738" s="784" t="s">
        <v>1578</v>
      </c>
      <c r="R738" s="784"/>
      <c r="S738" s="851" t="s">
        <v>62</v>
      </c>
      <c r="T738" s="3" t="s">
        <v>130</v>
      </c>
      <c r="U738" s="784" t="s">
        <v>63</v>
      </c>
      <c r="V738" s="762">
        <v>330.3</v>
      </c>
      <c r="W738" s="784">
        <v>459.18</v>
      </c>
      <c r="X738" s="958">
        <v>45405</v>
      </c>
      <c r="Y738" s="1196">
        <v>45407</v>
      </c>
      <c r="Z738" s="856" t="s">
        <v>62</v>
      </c>
      <c r="AA738" s="1076" t="s">
        <v>1243</v>
      </c>
      <c r="AB738" s="1099">
        <v>45412</v>
      </c>
      <c r="AC738" s="1099">
        <v>45412</v>
      </c>
      <c r="AD738" s="1176">
        <f>180+581</f>
        <v>761</v>
      </c>
      <c r="AE738" s="1398">
        <f t="shared" si="81"/>
        <v>0.97564102564102562</v>
      </c>
      <c r="AF738" s="1315" t="s">
        <v>1564</v>
      </c>
      <c r="AG738" s="1318">
        <v>1</v>
      </c>
      <c r="AH738" s="851" t="s">
        <v>103</v>
      </c>
      <c r="AI738" s="1257">
        <v>45416</v>
      </c>
      <c r="AJ738" s="1257">
        <v>45418</v>
      </c>
      <c r="AK738" s="1288">
        <f>74900+22229</f>
        <v>97129</v>
      </c>
      <c r="AL738" s="1218">
        <f t="shared" si="82"/>
        <v>0.97128999999999999</v>
      </c>
      <c r="AM738" s="1252" t="s">
        <v>62</v>
      </c>
      <c r="AN738" s="1261">
        <v>1</v>
      </c>
      <c r="AO738" s="1423"/>
      <c r="AP738" s="1423"/>
      <c r="AQ738" s="1423"/>
    </row>
    <row r="739" spans="1:45" ht="15.6">
      <c r="A739" s="1097" t="s">
        <v>53</v>
      </c>
      <c r="B739" s="4" t="s">
        <v>1559</v>
      </c>
      <c r="C739" s="1098" t="s">
        <v>1560</v>
      </c>
      <c r="D739" s="3" t="s">
        <v>1561</v>
      </c>
      <c r="E739" s="1461" t="s">
        <v>277</v>
      </c>
      <c r="F739" s="856">
        <v>2024</v>
      </c>
      <c r="G739" s="1217">
        <v>45385</v>
      </c>
      <c r="H739" s="3">
        <v>300021125</v>
      </c>
      <c r="I739" s="973" t="s">
        <v>1579</v>
      </c>
      <c r="J739" s="1178">
        <v>6</v>
      </c>
      <c r="K739" s="3" t="s">
        <v>60</v>
      </c>
      <c r="L739" s="7"/>
      <c r="M739" s="786">
        <v>441.7</v>
      </c>
      <c r="N739" s="1388"/>
      <c r="O739" s="958">
        <v>45407</v>
      </c>
      <c r="P739" s="1389"/>
      <c r="Q739" s="784" t="s">
        <v>1580</v>
      </c>
      <c r="R739" s="784"/>
      <c r="S739" s="851" t="s">
        <v>62</v>
      </c>
      <c r="T739" s="3" t="s">
        <v>130</v>
      </c>
      <c r="U739" s="784" t="s">
        <v>63</v>
      </c>
      <c r="V739" s="762">
        <v>330</v>
      </c>
      <c r="W739" s="784">
        <v>459.74</v>
      </c>
      <c r="X739" s="958">
        <v>45406</v>
      </c>
      <c r="Y739" s="1196">
        <v>45407</v>
      </c>
      <c r="Z739" s="856" t="s">
        <v>62</v>
      </c>
      <c r="AA739" s="1076" t="s">
        <v>1243</v>
      </c>
      <c r="AB739" s="1099">
        <v>45412</v>
      </c>
      <c r="AC739" s="1099">
        <v>45414</v>
      </c>
      <c r="AD739" s="1176">
        <f>195+570</f>
        <v>765</v>
      </c>
      <c r="AE739" s="1398">
        <f t="shared" si="81"/>
        <v>0.98076923076923073</v>
      </c>
      <c r="AF739" s="1315" t="s">
        <v>1564</v>
      </c>
      <c r="AG739" s="1318">
        <v>1</v>
      </c>
      <c r="AH739" s="851" t="s">
        <v>103</v>
      </c>
      <c r="AI739" s="1257">
        <v>45418</v>
      </c>
      <c r="AJ739" s="1257">
        <v>45418</v>
      </c>
      <c r="AK739" s="1288">
        <f>69000+29016</f>
        <v>98016</v>
      </c>
      <c r="AL739" s="1218">
        <f t="shared" si="82"/>
        <v>0.98016000000000003</v>
      </c>
      <c r="AM739" s="1252" t="s">
        <v>62</v>
      </c>
      <c r="AN739" s="1261">
        <v>1</v>
      </c>
      <c r="AO739" s="1423"/>
      <c r="AP739" s="1423"/>
      <c r="AQ739" s="1423"/>
    </row>
    <row r="740" spans="1:45" ht="15.6">
      <c r="A740" s="1097" t="s">
        <v>53</v>
      </c>
      <c r="B740" s="4" t="s">
        <v>1559</v>
      </c>
      <c r="C740" s="1098" t="s">
        <v>1560</v>
      </c>
      <c r="D740" s="3" t="s">
        <v>1561</v>
      </c>
      <c r="E740" s="1461" t="s">
        <v>277</v>
      </c>
      <c r="F740" s="856">
        <v>2024</v>
      </c>
      <c r="G740" s="1217">
        <v>45385</v>
      </c>
      <c r="H740" s="3">
        <v>300021126</v>
      </c>
      <c r="I740" s="973" t="s">
        <v>1581</v>
      </c>
      <c r="J740" s="851">
        <v>7</v>
      </c>
      <c r="K740" s="3" t="s">
        <v>60</v>
      </c>
      <c r="L740" s="7"/>
      <c r="M740" s="786">
        <v>442.5</v>
      </c>
      <c r="N740" s="1388"/>
      <c r="O740" s="958">
        <v>45407</v>
      </c>
      <c r="P740" s="1389"/>
      <c r="Q740" s="784" t="s">
        <v>1582</v>
      </c>
      <c r="R740" s="784"/>
      <c r="S740" s="851" t="s">
        <v>62</v>
      </c>
      <c r="T740" s="3" t="s">
        <v>130</v>
      </c>
      <c r="U740" s="784" t="s">
        <v>63</v>
      </c>
      <c r="V740" s="762">
        <v>330</v>
      </c>
      <c r="W740" s="784">
        <v>460.74</v>
      </c>
      <c r="X740" s="958">
        <v>45407</v>
      </c>
      <c r="Y740" s="1196">
        <v>45408</v>
      </c>
      <c r="Z740" s="856" t="s">
        <v>62</v>
      </c>
      <c r="AA740" s="1076" t="s">
        <v>1243</v>
      </c>
      <c r="AB740" s="1099">
        <v>45414</v>
      </c>
      <c r="AC740" s="1099">
        <v>45414</v>
      </c>
      <c r="AD740" s="1176">
        <f>175+587</f>
        <v>762</v>
      </c>
      <c r="AE740" s="1264">
        <f t="shared" si="81"/>
        <v>0.97692307692307689</v>
      </c>
      <c r="AF740" s="1315" t="s">
        <v>1564</v>
      </c>
      <c r="AG740" s="1318">
        <v>1</v>
      </c>
      <c r="AH740" s="851" t="s">
        <v>103</v>
      </c>
      <c r="AI740" s="1257">
        <v>45418</v>
      </c>
      <c r="AJ740" s="1257">
        <v>45418</v>
      </c>
      <c r="AK740" s="1288">
        <f>77000+20733</f>
        <v>97733</v>
      </c>
      <c r="AL740" s="1218">
        <f t="shared" si="82"/>
        <v>0.97733000000000003</v>
      </c>
      <c r="AM740" s="1252" t="s">
        <v>62</v>
      </c>
      <c r="AN740" s="1261">
        <v>1</v>
      </c>
      <c r="AO740" s="1423"/>
      <c r="AP740" s="1423"/>
      <c r="AQ740" s="1423"/>
    </row>
    <row r="741" spans="1:45">
      <c r="A741" s="1097" t="s">
        <v>53</v>
      </c>
      <c r="K741" s="8"/>
      <c r="L741" s="8"/>
      <c r="M741" s="8"/>
      <c r="N741" s="958"/>
      <c r="O741" s="958"/>
      <c r="Q741" s="1058"/>
      <c r="R741" s="1058"/>
      <c r="T741" s="8"/>
      <c r="V741" s="8"/>
      <c r="X741" s="1391"/>
      <c r="AO741" s="1422"/>
      <c r="AP741" s="1422"/>
      <c r="AQ741" s="1426"/>
      <c r="AR741" s="1427"/>
      <c r="AS741" s="1427"/>
    </row>
    <row r="742" spans="1:45" ht="15.6">
      <c r="A742" s="1097" t="s">
        <v>53</v>
      </c>
      <c r="B742" s="4" t="s">
        <v>1559</v>
      </c>
      <c r="C742" s="1098" t="s">
        <v>1560</v>
      </c>
      <c r="D742" s="3" t="s">
        <v>1561</v>
      </c>
      <c r="E742" s="784" t="s">
        <v>57</v>
      </c>
      <c r="F742" s="856">
        <v>2024</v>
      </c>
      <c r="G742" s="1217">
        <v>45420</v>
      </c>
      <c r="H742" s="3">
        <v>300021203</v>
      </c>
      <c r="I742" s="1064" t="s">
        <v>1583</v>
      </c>
      <c r="J742" s="784">
        <v>1</v>
      </c>
      <c r="K742" s="3" t="s">
        <v>60</v>
      </c>
      <c r="L742" s="7"/>
      <c r="M742" s="786">
        <v>437.4</v>
      </c>
      <c r="N742" s="1019"/>
      <c r="O742" s="958">
        <v>45429</v>
      </c>
      <c r="P742" s="1389"/>
      <c r="Q742" s="3" t="s">
        <v>1584</v>
      </c>
      <c r="R742" s="3"/>
      <c r="S742" s="851" t="s">
        <v>62</v>
      </c>
      <c r="T742" s="3" t="s">
        <v>130</v>
      </c>
      <c r="U742" s="784" t="s">
        <v>75</v>
      </c>
      <c r="V742" s="762">
        <v>330</v>
      </c>
      <c r="W742" s="784">
        <v>455.66</v>
      </c>
      <c r="X742" s="958">
        <v>45428</v>
      </c>
      <c r="Y742" s="1179">
        <v>45429</v>
      </c>
      <c r="Z742" s="856" t="s">
        <v>62</v>
      </c>
      <c r="AA742" s="1076" t="s">
        <v>1243</v>
      </c>
      <c r="AB742" s="1099">
        <v>45432</v>
      </c>
      <c r="AC742" s="1099">
        <v>45432</v>
      </c>
      <c r="AD742" s="1176">
        <f>758</f>
        <v>758</v>
      </c>
      <c r="AE742" s="1264">
        <f t="shared" ref="AE742:AE745" si="83">AD742/780</f>
        <v>0.97179487179487178</v>
      </c>
      <c r="AF742" s="1315" t="s">
        <v>1564</v>
      </c>
      <c r="AG742" s="1318">
        <v>1</v>
      </c>
      <c r="AH742" s="851" t="s">
        <v>103</v>
      </c>
      <c r="AI742" s="1257">
        <v>45436</v>
      </c>
      <c r="AJ742" s="1257">
        <v>45436</v>
      </c>
      <c r="AK742" s="1288">
        <f>8500+85000+4235</f>
        <v>97735</v>
      </c>
      <c r="AL742" s="1218">
        <f t="shared" ref="AL742:AL745" si="84">AK742/100000</f>
        <v>0.97735000000000005</v>
      </c>
      <c r="AM742" s="1252" t="s">
        <v>62</v>
      </c>
      <c r="AN742" s="1261">
        <v>1</v>
      </c>
      <c r="AO742" s="1423"/>
      <c r="AP742" s="1423"/>
      <c r="AQ742" s="1423"/>
    </row>
    <row r="743" spans="1:45" ht="15.6">
      <c r="A743" s="1097" t="s">
        <v>53</v>
      </c>
      <c r="B743" s="4" t="s">
        <v>1559</v>
      </c>
      <c r="C743" s="1098" t="s">
        <v>1560</v>
      </c>
      <c r="D743" s="3" t="s">
        <v>1561</v>
      </c>
      <c r="E743" s="784" t="s">
        <v>57</v>
      </c>
      <c r="F743" s="856">
        <v>2024</v>
      </c>
      <c r="G743" s="1217">
        <v>45420</v>
      </c>
      <c r="H743" s="3">
        <v>300021204</v>
      </c>
      <c r="I743" s="1064" t="s">
        <v>1585</v>
      </c>
      <c r="J743" s="784">
        <v>2</v>
      </c>
      <c r="K743" s="3" t="s">
        <v>60</v>
      </c>
      <c r="L743" s="7"/>
      <c r="M743" s="786">
        <v>441.3</v>
      </c>
      <c r="N743" s="1388"/>
      <c r="O743" s="958">
        <v>45429</v>
      </c>
      <c r="P743" s="1389"/>
      <c r="Q743" s="3" t="s">
        <v>1586</v>
      </c>
      <c r="R743" s="3"/>
      <c r="S743" s="851" t="s">
        <v>62</v>
      </c>
      <c r="T743" s="3" t="s">
        <v>130</v>
      </c>
      <c r="U743" s="784" t="s">
        <v>75</v>
      </c>
      <c r="V743" s="762">
        <v>329.9</v>
      </c>
      <c r="W743" s="784">
        <v>459.58</v>
      </c>
      <c r="X743" s="958">
        <v>45428</v>
      </c>
      <c r="Y743" s="1179">
        <v>45429</v>
      </c>
      <c r="Z743" s="856" t="s">
        <v>62</v>
      </c>
      <c r="AA743" s="1076" t="s">
        <v>1243</v>
      </c>
      <c r="AB743" s="1099">
        <v>45432</v>
      </c>
      <c r="AC743" s="1099">
        <v>45432</v>
      </c>
      <c r="AD743" s="1176">
        <f>765</f>
        <v>765</v>
      </c>
      <c r="AE743" s="1264">
        <f t="shared" si="83"/>
        <v>0.98076923076923073</v>
      </c>
      <c r="AF743" s="1315" t="s">
        <v>1564</v>
      </c>
      <c r="AG743" s="1318">
        <v>1</v>
      </c>
      <c r="AH743" s="851" t="s">
        <v>103</v>
      </c>
      <c r="AI743" s="1257">
        <v>45436</v>
      </c>
      <c r="AJ743" s="1257">
        <v>45436</v>
      </c>
      <c r="AK743" s="1288">
        <f>98669</f>
        <v>98669</v>
      </c>
      <c r="AL743" s="1218">
        <f t="shared" si="84"/>
        <v>0.98668999999999996</v>
      </c>
      <c r="AM743" s="1252" t="s">
        <v>62</v>
      </c>
      <c r="AN743" s="1261">
        <v>1</v>
      </c>
      <c r="AO743" s="1423"/>
      <c r="AP743" s="1423"/>
      <c r="AQ743" s="1423"/>
    </row>
    <row r="744" spans="1:45" ht="15.6">
      <c r="A744" s="1097" t="s">
        <v>53</v>
      </c>
      <c r="B744" s="4" t="s">
        <v>1559</v>
      </c>
      <c r="C744" s="1098" t="s">
        <v>1560</v>
      </c>
      <c r="D744" s="3" t="s">
        <v>1561</v>
      </c>
      <c r="E744" s="784" t="s">
        <v>57</v>
      </c>
      <c r="F744" s="856">
        <v>2024</v>
      </c>
      <c r="G744" s="1217">
        <v>45420</v>
      </c>
      <c r="H744" s="3">
        <v>300021205</v>
      </c>
      <c r="I744" s="1064" t="s">
        <v>1587</v>
      </c>
      <c r="J744" s="784">
        <v>3</v>
      </c>
      <c r="K744" s="3" t="s">
        <v>60</v>
      </c>
      <c r="L744" s="7"/>
      <c r="M744" s="786">
        <v>442.6</v>
      </c>
      <c r="N744" s="1388"/>
      <c r="O744" s="958">
        <v>45429</v>
      </c>
      <c r="P744" s="1389"/>
      <c r="Q744" s="3" t="s">
        <v>1588</v>
      </c>
      <c r="R744" s="3"/>
      <c r="S744" s="851" t="s">
        <v>62</v>
      </c>
      <c r="T744" s="3" t="s">
        <v>130</v>
      </c>
      <c r="U744" s="784" t="s">
        <v>75</v>
      </c>
      <c r="V744" s="762">
        <v>330</v>
      </c>
      <c r="W744" s="784">
        <v>460.88</v>
      </c>
      <c r="X744" s="958">
        <v>45429</v>
      </c>
      <c r="Y744" s="1179">
        <v>45429</v>
      </c>
      <c r="Z744" s="856" t="s">
        <v>62</v>
      </c>
      <c r="AA744" s="1076" t="s">
        <v>1243</v>
      </c>
      <c r="AB744" s="1099">
        <v>45432</v>
      </c>
      <c r="AC744" s="1099">
        <v>45432</v>
      </c>
      <c r="AD744" s="1176">
        <f>765</f>
        <v>765</v>
      </c>
      <c r="AE744" s="1264">
        <f t="shared" si="83"/>
        <v>0.98076923076923073</v>
      </c>
      <c r="AF744" s="1315" t="s">
        <v>1564</v>
      </c>
      <c r="AG744" s="1318">
        <v>1</v>
      </c>
      <c r="AH744" s="851" t="s">
        <v>103</v>
      </c>
      <c r="AI744" s="1257">
        <v>45437</v>
      </c>
      <c r="AJ744" s="1257">
        <v>45437</v>
      </c>
      <c r="AK744" s="1288">
        <f>98495</f>
        <v>98495</v>
      </c>
      <c r="AL744" s="1218">
        <f t="shared" si="84"/>
        <v>0.98494999999999999</v>
      </c>
      <c r="AM744" s="1252" t="s">
        <v>62</v>
      </c>
      <c r="AN744" s="1261">
        <v>1</v>
      </c>
      <c r="AO744" s="1423"/>
      <c r="AP744" s="1423"/>
      <c r="AQ744" s="1423"/>
    </row>
    <row r="745" spans="1:45" ht="15.6">
      <c r="A745" s="1097" t="s">
        <v>53</v>
      </c>
      <c r="B745" s="826" t="s">
        <v>1559</v>
      </c>
      <c r="C745" s="1142" t="s">
        <v>1560</v>
      </c>
      <c r="D745" s="13" t="s">
        <v>1561</v>
      </c>
      <c r="E745" s="935" t="s">
        <v>57</v>
      </c>
      <c r="F745" s="856">
        <v>2024</v>
      </c>
      <c r="G745" s="1217">
        <v>45420</v>
      </c>
      <c r="H745" s="13">
        <v>300021206</v>
      </c>
      <c r="I745" s="1390" t="s">
        <v>1589</v>
      </c>
      <c r="J745" s="935">
        <v>4</v>
      </c>
      <c r="K745" s="3" t="s">
        <v>60</v>
      </c>
      <c r="L745" s="7"/>
      <c r="M745" s="786">
        <v>445.6</v>
      </c>
      <c r="N745" s="1388"/>
      <c r="O745" s="958">
        <v>45429</v>
      </c>
      <c r="P745" s="1389"/>
      <c r="Q745" s="3" t="s">
        <v>1590</v>
      </c>
      <c r="R745" s="3"/>
      <c r="S745" s="851" t="s">
        <v>62</v>
      </c>
      <c r="T745" s="3" t="s">
        <v>130</v>
      </c>
      <c r="U745" s="935" t="s">
        <v>75</v>
      </c>
      <c r="V745" s="762">
        <v>330</v>
      </c>
      <c r="W745" s="932">
        <v>463.44</v>
      </c>
      <c r="X745" s="958">
        <v>45429</v>
      </c>
      <c r="Y745" s="1196">
        <v>45432</v>
      </c>
      <c r="Z745" s="856" t="s">
        <v>62</v>
      </c>
      <c r="AA745" s="1077" t="s">
        <v>1243</v>
      </c>
      <c r="AB745" s="1217">
        <v>45433</v>
      </c>
      <c r="AC745" s="1217">
        <v>45433</v>
      </c>
      <c r="AD745" s="1399">
        <f>768</f>
        <v>768</v>
      </c>
      <c r="AE745" s="1398">
        <f t="shared" si="83"/>
        <v>0.98461538461538467</v>
      </c>
      <c r="AF745" s="1400" t="s">
        <v>1564</v>
      </c>
      <c r="AG745" s="1414">
        <v>1</v>
      </c>
      <c r="AH745" s="1178" t="s">
        <v>103</v>
      </c>
      <c r="AI745" s="1415">
        <v>45437</v>
      </c>
      <c r="AJ745" s="1415">
        <v>45437</v>
      </c>
      <c r="AK745" s="1416">
        <f>98467</f>
        <v>98467</v>
      </c>
      <c r="AL745" s="1218">
        <f t="shared" si="84"/>
        <v>0.98467000000000005</v>
      </c>
      <c r="AM745" s="1417" t="s">
        <v>62</v>
      </c>
      <c r="AN745" s="1418">
        <v>1</v>
      </c>
      <c r="AO745" s="1428"/>
      <c r="AP745" s="1428"/>
      <c r="AQ745" s="1428"/>
      <c r="AR745" s="935"/>
      <c r="AS745" s="935"/>
    </row>
    <row r="746" spans="1:45">
      <c r="A746" s="1097" t="s">
        <v>53</v>
      </c>
      <c r="B746" s="927"/>
      <c r="C746" s="927"/>
      <c r="D746" s="784"/>
      <c r="E746" s="927"/>
      <c r="F746" s="927"/>
      <c r="G746" s="927"/>
      <c r="H746" s="784"/>
      <c r="I746" s="784"/>
      <c r="J746" s="927"/>
      <c r="K746" s="8"/>
      <c r="L746" s="8"/>
      <c r="M746" s="8"/>
      <c r="N746" s="958"/>
      <c r="O746" s="958"/>
      <c r="P746" s="1389"/>
      <c r="Q746" s="1058"/>
      <c r="R746" s="1058"/>
      <c r="S746" s="1178"/>
      <c r="T746" s="8"/>
      <c r="U746" s="927"/>
      <c r="V746" s="8"/>
      <c r="W746" s="927"/>
      <c r="X746" s="1391"/>
      <c r="Y746" s="1401"/>
      <c r="Z746" s="927"/>
      <c r="AA746" s="927"/>
      <c r="AB746" s="927"/>
      <c r="AC746" s="927"/>
      <c r="AD746" s="927"/>
      <c r="AE746" s="927"/>
      <c r="AF746" s="927"/>
      <c r="AG746" s="927"/>
      <c r="AH746" s="927"/>
      <c r="AI746" s="927"/>
      <c r="AJ746" s="927"/>
      <c r="AK746" s="927"/>
      <c r="AL746" s="927"/>
      <c r="AM746" s="927"/>
      <c r="AN746" s="927"/>
      <c r="AO746" s="1423"/>
      <c r="AP746" s="1423"/>
      <c r="AQ746" s="1423"/>
    </row>
    <row r="747" spans="1:45" ht="15.6">
      <c r="A747" s="1097" t="s">
        <v>53</v>
      </c>
      <c r="B747" s="4" t="s">
        <v>1559</v>
      </c>
      <c r="C747" s="1098" t="s">
        <v>1560</v>
      </c>
      <c r="D747" s="3" t="s">
        <v>1561</v>
      </c>
      <c r="E747" s="1484" t="s">
        <v>433</v>
      </c>
      <c r="F747" s="856">
        <v>2024</v>
      </c>
      <c r="G747" s="1217">
        <v>45463</v>
      </c>
      <c r="H747" s="3">
        <v>300021407</v>
      </c>
      <c r="I747" s="1280" t="s">
        <v>1591</v>
      </c>
      <c r="J747" s="784">
        <v>1</v>
      </c>
      <c r="K747" s="3" t="s">
        <v>60</v>
      </c>
      <c r="L747" s="7"/>
      <c r="M747" s="858">
        <v>438.7</v>
      </c>
      <c r="N747" s="1388"/>
      <c r="O747" s="958">
        <v>45476</v>
      </c>
      <c r="P747" s="1389"/>
      <c r="Q747" s="3" t="s">
        <v>1592</v>
      </c>
      <c r="R747" s="3"/>
      <c r="S747" s="851" t="s">
        <v>62</v>
      </c>
      <c r="T747" s="3" t="s">
        <v>130</v>
      </c>
      <c r="U747" s="784" t="s">
        <v>63</v>
      </c>
      <c r="V747" s="858">
        <v>330.2</v>
      </c>
      <c r="W747" s="784">
        <v>456.98</v>
      </c>
      <c r="X747" s="958">
        <v>45477</v>
      </c>
      <c r="Y747" s="1196">
        <v>45478</v>
      </c>
      <c r="Z747" s="856" t="s">
        <v>62</v>
      </c>
      <c r="AA747" s="784" t="s">
        <v>1487</v>
      </c>
      <c r="AB747" s="1217">
        <v>45481</v>
      </c>
      <c r="AC747" s="1217">
        <v>45481</v>
      </c>
      <c r="AD747" s="1399">
        <f>680+85</f>
        <v>765</v>
      </c>
      <c r="AE747" s="1398">
        <f t="shared" ref="AE747:AE759" si="85">AD747/780</f>
        <v>0.98076923076923073</v>
      </c>
      <c r="AF747" s="1400" t="s">
        <v>1564</v>
      </c>
      <c r="AG747" s="1414">
        <v>1</v>
      </c>
      <c r="AH747" s="1178" t="s">
        <v>103</v>
      </c>
      <c r="AI747" s="1415">
        <v>45483</v>
      </c>
      <c r="AJ747" s="1415">
        <v>45483</v>
      </c>
      <c r="AK747" s="1416">
        <f>36500+61649</f>
        <v>98149</v>
      </c>
      <c r="AL747" s="1218">
        <f t="shared" ref="AL747:AL759" si="86">AK747/100000</f>
        <v>0.98148999999999997</v>
      </c>
      <c r="AM747" s="1417" t="s">
        <v>62</v>
      </c>
      <c r="AN747" s="1418">
        <v>1</v>
      </c>
      <c r="AO747" s="1423"/>
      <c r="AP747" s="1423"/>
      <c r="AQ747" s="1423"/>
    </row>
    <row r="748" spans="1:45" ht="15.6">
      <c r="A748" s="1097" t="s">
        <v>53</v>
      </c>
      <c r="B748" s="4" t="s">
        <v>1559</v>
      </c>
      <c r="C748" s="1098" t="s">
        <v>1560</v>
      </c>
      <c r="D748" s="3" t="s">
        <v>1561</v>
      </c>
      <c r="E748" s="1484" t="s">
        <v>433</v>
      </c>
      <c r="F748" s="856">
        <v>2024</v>
      </c>
      <c r="G748" s="1217">
        <v>45463</v>
      </c>
      <c r="H748" s="3">
        <v>300021408</v>
      </c>
      <c r="I748" s="1280" t="s">
        <v>1593</v>
      </c>
      <c r="J748" s="784">
        <v>2</v>
      </c>
      <c r="K748" s="3" t="s">
        <v>60</v>
      </c>
      <c r="L748" s="7"/>
      <c r="M748" s="858">
        <v>437</v>
      </c>
      <c r="N748" s="1388"/>
      <c r="O748" s="958">
        <v>45476</v>
      </c>
      <c r="P748" s="1389"/>
      <c r="Q748" s="3" t="s">
        <v>1594</v>
      </c>
      <c r="R748" s="3"/>
      <c r="S748" s="851" t="s">
        <v>62</v>
      </c>
      <c r="T748" s="3" t="s">
        <v>130</v>
      </c>
      <c r="U748" s="784" t="s">
        <v>63</v>
      </c>
      <c r="V748" s="858">
        <v>329.7</v>
      </c>
      <c r="W748" s="784">
        <v>455.26</v>
      </c>
      <c r="X748" s="958">
        <v>45478</v>
      </c>
      <c r="Y748" s="1196">
        <v>45478</v>
      </c>
      <c r="Z748" s="856" t="s">
        <v>62</v>
      </c>
      <c r="AA748" s="784" t="s">
        <v>1487</v>
      </c>
      <c r="AB748" s="1217">
        <v>45481</v>
      </c>
      <c r="AC748" s="1217">
        <v>45481</v>
      </c>
      <c r="AD748" s="1399">
        <f>595+167</f>
        <v>762</v>
      </c>
      <c r="AE748" s="1398">
        <f t="shared" si="85"/>
        <v>0.97692307692307689</v>
      </c>
      <c r="AF748" s="1400" t="s">
        <v>1564</v>
      </c>
      <c r="AG748" s="1414">
        <v>1</v>
      </c>
      <c r="AH748" s="1178" t="s">
        <v>103</v>
      </c>
      <c r="AI748" s="1415">
        <v>45483</v>
      </c>
      <c r="AJ748" s="1415">
        <v>45483</v>
      </c>
      <c r="AK748" s="1416">
        <f>26418+71131</f>
        <v>97549</v>
      </c>
      <c r="AL748" s="1218">
        <f t="shared" si="86"/>
        <v>0.97548999999999997</v>
      </c>
      <c r="AM748" s="1417" t="s">
        <v>62</v>
      </c>
      <c r="AN748" s="1418">
        <v>1</v>
      </c>
      <c r="AO748" s="1423"/>
      <c r="AP748" s="1423"/>
      <c r="AQ748" s="1423"/>
    </row>
    <row r="749" spans="1:45" ht="15.6">
      <c r="A749" s="1097" t="s">
        <v>53</v>
      </c>
      <c r="B749" s="4" t="s">
        <v>1559</v>
      </c>
      <c r="C749" s="1098" t="s">
        <v>1560</v>
      </c>
      <c r="D749" s="3" t="s">
        <v>1561</v>
      </c>
      <c r="E749" s="1484" t="s">
        <v>433</v>
      </c>
      <c r="F749" s="856">
        <v>2024</v>
      </c>
      <c r="G749" s="1217">
        <v>45463</v>
      </c>
      <c r="H749" s="3">
        <v>300021409</v>
      </c>
      <c r="I749" s="1280" t="s">
        <v>1595</v>
      </c>
      <c r="J749" s="784">
        <v>3</v>
      </c>
      <c r="K749" s="3" t="s">
        <v>60</v>
      </c>
      <c r="L749" s="7"/>
      <c r="M749" s="858">
        <v>443.66</v>
      </c>
      <c r="N749" s="1388"/>
      <c r="O749" s="958">
        <v>45476</v>
      </c>
      <c r="P749" s="1389"/>
      <c r="Q749" s="3" t="s">
        <v>1596</v>
      </c>
      <c r="R749" s="3"/>
      <c r="S749" s="851" t="s">
        <v>62</v>
      </c>
      <c r="T749" s="3" t="s">
        <v>130</v>
      </c>
      <c r="U749" s="784" t="s">
        <v>63</v>
      </c>
      <c r="V749" s="858">
        <v>330.3</v>
      </c>
      <c r="W749" s="784">
        <v>461.96</v>
      </c>
      <c r="X749" s="958">
        <v>45478</v>
      </c>
      <c r="Y749" s="1196">
        <v>45478</v>
      </c>
      <c r="Z749" s="856" t="s">
        <v>62</v>
      </c>
      <c r="AA749" s="784" t="s">
        <v>1487</v>
      </c>
      <c r="AB749" s="1217">
        <v>45481</v>
      </c>
      <c r="AC749" s="1217">
        <v>45482</v>
      </c>
      <c r="AD749" s="1399">
        <f>550+222</f>
        <v>772</v>
      </c>
      <c r="AE749" s="1398">
        <f t="shared" si="85"/>
        <v>0.98974358974358978</v>
      </c>
      <c r="AF749" s="1400" t="s">
        <v>1564</v>
      </c>
      <c r="AG749" s="1414">
        <v>1</v>
      </c>
      <c r="AH749" s="1178" t="s">
        <v>103</v>
      </c>
      <c r="AI749" s="1415">
        <v>45483</v>
      </c>
      <c r="AJ749" s="1415">
        <v>45484</v>
      </c>
      <c r="AK749" s="1416">
        <f>37500+61389</f>
        <v>98889</v>
      </c>
      <c r="AL749" s="1218">
        <f t="shared" si="86"/>
        <v>0.98889000000000005</v>
      </c>
      <c r="AM749" s="1417" t="s">
        <v>62</v>
      </c>
      <c r="AN749" s="1418">
        <v>1</v>
      </c>
      <c r="AO749" s="1423"/>
      <c r="AP749" s="1423"/>
      <c r="AQ749" s="1423"/>
    </row>
    <row r="750" spans="1:45" ht="15.6">
      <c r="A750" s="1097" t="s">
        <v>53</v>
      </c>
      <c r="B750" s="4" t="s">
        <v>1559</v>
      </c>
      <c r="C750" s="1098" t="s">
        <v>1560</v>
      </c>
      <c r="D750" s="3" t="s">
        <v>1561</v>
      </c>
      <c r="E750" s="1484" t="s">
        <v>433</v>
      </c>
      <c r="F750" s="856">
        <v>2024</v>
      </c>
      <c r="G750" s="1217">
        <v>45463</v>
      </c>
      <c r="H750" s="3">
        <v>300021410</v>
      </c>
      <c r="I750" s="1280" t="s">
        <v>1597</v>
      </c>
      <c r="J750" s="784">
        <v>4</v>
      </c>
      <c r="K750" s="3" t="s">
        <v>60</v>
      </c>
      <c r="L750" s="7"/>
      <c r="M750" s="865">
        <v>438.3</v>
      </c>
      <c r="N750" s="1388"/>
      <c r="O750" s="958">
        <v>45477</v>
      </c>
      <c r="P750" s="1389"/>
      <c r="Q750" s="3" t="s">
        <v>1598</v>
      </c>
      <c r="R750" s="3"/>
      <c r="S750" s="851" t="s">
        <v>62</v>
      </c>
      <c r="T750" s="3" t="s">
        <v>130</v>
      </c>
      <c r="U750" s="784" t="s">
        <v>75</v>
      </c>
      <c r="V750" s="858">
        <v>330</v>
      </c>
      <c r="W750" s="784">
        <v>456.14</v>
      </c>
      <c r="X750" s="958">
        <v>45478</v>
      </c>
      <c r="Y750" s="1196">
        <v>45481</v>
      </c>
      <c r="Z750" s="856" t="s">
        <v>62</v>
      </c>
      <c r="AA750" s="784" t="s">
        <v>1487</v>
      </c>
      <c r="AB750" s="1217">
        <v>45482</v>
      </c>
      <c r="AC750" s="1217">
        <v>45482</v>
      </c>
      <c r="AD750" s="1399">
        <f>505+260</f>
        <v>765</v>
      </c>
      <c r="AE750" s="1398">
        <f t="shared" si="85"/>
        <v>0.98076923076923073</v>
      </c>
      <c r="AF750" s="1400" t="s">
        <v>1564</v>
      </c>
      <c r="AG750" s="1414">
        <v>1</v>
      </c>
      <c r="AH750" s="1178" t="s">
        <v>103</v>
      </c>
      <c r="AI750" s="1415">
        <v>45484</v>
      </c>
      <c r="AJ750" s="1415">
        <v>45484</v>
      </c>
      <c r="AK750" s="1416">
        <f>39300+58739</f>
        <v>98039</v>
      </c>
      <c r="AL750" s="1218">
        <f t="shared" si="86"/>
        <v>0.98038999999999998</v>
      </c>
      <c r="AM750" s="1417" t="s">
        <v>62</v>
      </c>
      <c r="AN750" s="1418">
        <v>1</v>
      </c>
      <c r="AO750" s="1423"/>
      <c r="AP750" s="1423"/>
      <c r="AQ750" s="1423"/>
    </row>
    <row r="751" spans="1:45" ht="15.6">
      <c r="A751" s="1097" t="s">
        <v>53</v>
      </c>
      <c r="B751" s="4" t="s">
        <v>1559</v>
      </c>
      <c r="C751" s="1098" t="s">
        <v>1560</v>
      </c>
      <c r="D751" s="3" t="s">
        <v>1561</v>
      </c>
      <c r="E751" s="1484" t="s">
        <v>433</v>
      </c>
      <c r="F751" s="856">
        <v>2024</v>
      </c>
      <c r="G751" s="1217">
        <v>45463</v>
      </c>
      <c r="H751" s="3">
        <v>300021411</v>
      </c>
      <c r="I751" s="1280" t="s">
        <v>1599</v>
      </c>
      <c r="J751" s="784">
        <v>5</v>
      </c>
      <c r="K751" s="3" t="s">
        <v>60</v>
      </c>
      <c r="L751" s="7"/>
      <c r="M751" s="858">
        <v>440.28</v>
      </c>
      <c r="N751" s="1388"/>
      <c r="O751" s="958">
        <v>45481</v>
      </c>
      <c r="P751" s="1389"/>
      <c r="Q751" s="785" t="s">
        <v>1600</v>
      </c>
      <c r="R751" s="785"/>
      <c r="S751" s="851" t="s">
        <v>62</v>
      </c>
      <c r="T751" s="3" t="s">
        <v>130</v>
      </c>
      <c r="U751" s="784" t="s">
        <v>75</v>
      </c>
      <c r="V751" s="858">
        <v>330.3</v>
      </c>
      <c r="W751" s="784">
        <v>548.04</v>
      </c>
      <c r="X751" s="958">
        <v>45481</v>
      </c>
      <c r="Y751" s="1196">
        <v>45481</v>
      </c>
      <c r="Z751" s="856" t="s">
        <v>62</v>
      </c>
      <c r="AA751" s="784" t="s">
        <v>1487</v>
      </c>
      <c r="AB751" s="1217">
        <v>45482</v>
      </c>
      <c r="AC751" s="1217">
        <v>45482</v>
      </c>
      <c r="AD751" s="1399">
        <f>490+270</f>
        <v>760</v>
      </c>
      <c r="AE751" s="1398">
        <f t="shared" si="85"/>
        <v>0.97435897435897434</v>
      </c>
      <c r="AF751" s="1400" t="s">
        <v>1564</v>
      </c>
      <c r="AG751" s="1414">
        <v>1</v>
      </c>
      <c r="AH751" s="1178" t="s">
        <v>103</v>
      </c>
      <c r="AI751" s="1415">
        <v>45484</v>
      </c>
      <c r="AJ751" s="1415">
        <v>45484</v>
      </c>
      <c r="AK751" s="1416">
        <f>41300+57107</f>
        <v>98407</v>
      </c>
      <c r="AL751" s="1218">
        <f t="shared" si="86"/>
        <v>0.98407</v>
      </c>
      <c r="AM751" s="1417" t="s">
        <v>62</v>
      </c>
      <c r="AN751" s="1418">
        <v>1</v>
      </c>
      <c r="AO751" s="1423"/>
      <c r="AP751" s="1423"/>
      <c r="AQ751" s="1423"/>
    </row>
    <row r="752" spans="1:45" ht="15.6">
      <c r="A752" s="1097" t="s">
        <v>53</v>
      </c>
      <c r="B752" s="4" t="s">
        <v>1559</v>
      </c>
      <c r="C752" s="1098" t="s">
        <v>1560</v>
      </c>
      <c r="D752" s="3" t="s">
        <v>1561</v>
      </c>
      <c r="E752" s="1484" t="s">
        <v>433</v>
      </c>
      <c r="F752" s="856">
        <v>2024</v>
      </c>
      <c r="G752" s="1217">
        <v>45463</v>
      </c>
      <c r="H752" s="3">
        <v>300021412</v>
      </c>
      <c r="I752" s="1280" t="s">
        <v>1601</v>
      </c>
      <c r="J752" s="784">
        <v>6</v>
      </c>
      <c r="K752" s="3" t="s">
        <v>60</v>
      </c>
      <c r="L752" s="7"/>
      <c r="M752" s="858">
        <v>440.8</v>
      </c>
      <c r="N752" s="1388"/>
      <c r="O752" s="958">
        <v>45482</v>
      </c>
      <c r="P752" s="1389"/>
      <c r="Q752" s="785" t="s">
        <v>1602</v>
      </c>
      <c r="R752" s="785"/>
      <c r="S752" s="851" t="s">
        <v>62</v>
      </c>
      <c r="T752" s="3" t="s">
        <v>130</v>
      </c>
      <c r="U752" s="784" t="s">
        <v>63</v>
      </c>
      <c r="V752" s="858">
        <v>330.2</v>
      </c>
      <c r="W752" s="784">
        <v>459.06</v>
      </c>
      <c r="X752" s="958">
        <v>45481</v>
      </c>
      <c r="Y752" s="1196">
        <v>45482</v>
      </c>
      <c r="Z752" s="856" t="s">
        <v>62</v>
      </c>
      <c r="AA752" s="784" t="s">
        <v>1487</v>
      </c>
      <c r="AB752" s="1217">
        <v>45482</v>
      </c>
      <c r="AC752" s="1217">
        <v>45483</v>
      </c>
      <c r="AD752" s="1399">
        <f>410+360</f>
        <v>770</v>
      </c>
      <c r="AE752" s="1398">
        <f t="shared" si="85"/>
        <v>0.98717948717948723</v>
      </c>
      <c r="AF752" s="1400" t="s">
        <v>1564</v>
      </c>
      <c r="AG752" s="1414">
        <v>1</v>
      </c>
      <c r="AH752" s="1178" t="s">
        <v>103</v>
      </c>
      <c r="AI752" s="1415">
        <v>45484</v>
      </c>
      <c r="AJ752" s="1415">
        <v>45485</v>
      </c>
      <c r="AK752" s="1416">
        <f>48330+50194</f>
        <v>98524</v>
      </c>
      <c r="AL752" s="1218">
        <f t="shared" si="86"/>
        <v>0.98524</v>
      </c>
      <c r="AM752" s="1417" t="s">
        <v>62</v>
      </c>
      <c r="AN752" s="1418">
        <v>1</v>
      </c>
      <c r="AO752" s="1423"/>
      <c r="AP752" s="1423"/>
      <c r="AQ752" s="1423"/>
    </row>
    <row r="753" spans="1:43" ht="15.6">
      <c r="A753" s="1097" t="s">
        <v>53</v>
      </c>
      <c r="B753" s="4" t="s">
        <v>1559</v>
      </c>
      <c r="C753" s="1098" t="s">
        <v>1560</v>
      </c>
      <c r="D753" s="3" t="s">
        <v>1561</v>
      </c>
      <c r="E753" s="1484" t="s">
        <v>433</v>
      </c>
      <c r="F753" s="856">
        <v>2024</v>
      </c>
      <c r="G753" s="1217">
        <v>45463</v>
      </c>
      <c r="H753" s="3">
        <v>300021413</v>
      </c>
      <c r="I753" s="1280" t="s">
        <v>1603</v>
      </c>
      <c r="J753" s="784">
        <v>7</v>
      </c>
      <c r="K753" s="3" t="s">
        <v>60</v>
      </c>
      <c r="L753" s="7"/>
      <c r="M753" s="858">
        <v>441.1</v>
      </c>
      <c r="N753" s="1388"/>
      <c r="O753" s="958">
        <v>45482</v>
      </c>
      <c r="P753" s="1389"/>
      <c r="Q753" s="3" t="s">
        <v>1604</v>
      </c>
      <c r="R753" s="3"/>
      <c r="S753" s="851" t="s">
        <v>62</v>
      </c>
      <c r="T753" s="3" t="s">
        <v>130</v>
      </c>
      <c r="U753" s="784" t="s">
        <v>63</v>
      </c>
      <c r="V753" s="858">
        <v>330.2</v>
      </c>
      <c r="W753" s="784">
        <v>459.36</v>
      </c>
      <c r="X753" s="958">
        <v>45481</v>
      </c>
      <c r="Y753" s="1196">
        <v>45482</v>
      </c>
      <c r="Z753" s="856" t="s">
        <v>62</v>
      </c>
      <c r="AA753" s="784" t="s">
        <v>1487</v>
      </c>
      <c r="AB753" s="1217">
        <v>45483</v>
      </c>
      <c r="AC753" s="1217">
        <v>45483</v>
      </c>
      <c r="AD753" s="1399">
        <f t="shared" ref="AD753:AD757" si="87">455+315</f>
        <v>770</v>
      </c>
      <c r="AE753" s="1398">
        <f t="shared" si="85"/>
        <v>0.98717948717948723</v>
      </c>
      <c r="AF753" s="1400" t="s">
        <v>1564</v>
      </c>
      <c r="AG753" s="1414">
        <v>1</v>
      </c>
      <c r="AH753" s="1178" t="s">
        <v>103</v>
      </c>
      <c r="AI753" s="1415">
        <v>45485</v>
      </c>
      <c r="AJ753" s="1415">
        <v>45485</v>
      </c>
      <c r="AK753" s="1416">
        <f>32100+66555</f>
        <v>98655</v>
      </c>
      <c r="AL753" s="1218">
        <f t="shared" si="86"/>
        <v>0.98655000000000004</v>
      </c>
      <c r="AM753" s="1417" t="s">
        <v>62</v>
      </c>
      <c r="AN753" s="1418">
        <v>1</v>
      </c>
      <c r="AO753" s="1423"/>
      <c r="AP753" s="1423"/>
      <c r="AQ753" s="1423"/>
    </row>
    <row r="754" spans="1:43" ht="15.6">
      <c r="A754" s="1097" t="s">
        <v>53</v>
      </c>
      <c r="B754" s="4" t="s">
        <v>1559</v>
      </c>
      <c r="C754" s="1098" t="s">
        <v>1560</v>
      </c>
      <c r="D754" s="3" t="s">
        <v>1561</v>
      </c>
      <c r="E754" s="1484" t="s">
        <v>433</v>
      </c>
      <c r="F754" s="856">
        <v>2024</v>
      </c>
      <c r="G754" s="1217">
        <v>45463</v>
      </c>
      <c r="H754" s="3">
        <v>300021414</v>
      </c>
      <c r="I754" s="1280" t="s">
        <v>1605</v>
      </c>
      <c r="J754" s="784">
        <v>8</v>
      </c>
      <c r="K754" s="3" t="s">
        <v>60</v>
      </c>
      <c r="L754" s="7"/>
      <c r="M754" s="865">
        <f>145.5+149.5+146.9</f>
        <v>441.9</v>
      </c>
      <c r="N754" s="1388"/>
      <c r="O754" s="958">
        <v>45482</v>
      </c>
      <c r="P754" s="1389"/>
      <c r="Q754" s="785" t="s">
        <v>1606</v>
      </c>
      <c r="R754" s="785"/>
      <c r="S754" s="851" t="s">
        <v>62</v>
      </c>
      <c r="T754" s="3" t="s">
        <v>130</v>
      </c>
      <c r="U754" s="784" t="s">
        <v>63</v>
      </c>
      <c r="V754" s="858">
        <v>329.8</v>
      </c>
      <c r="W754" s="784">
        <v>460.14</v>
      </c>
      <c r="X754" s="958">
        <v>45482</v>
      </c>
      <c r="Y754" s="1196">
        <v>45482</v>
      </c>
      <c r="Z754" s="856" t="s">
        <v>62</v>
      </c>
      <c r="AA754" s="784" t="s">
        <v>1487</v>
      </c>
      <c r="AB754" s="1217">
        <v>45483</v>
      </c>
      <c r="AC754" s="1217">
        <v>45483</v>
      </c>
      <c r="AD754" s="1399">
        <f t="shared" si="87"/>
        <v>770</v>
      </c>
      <c r="AE754" s="1398">
        <f t="shared" si="85"/>
        <v>0.98717948717948723</v>
      </c>
      <c r="AF754" s="1400" t="s">
        <v>1564</v>
      </c>
      <c r="AG754" s="1414">
        <v>1</v>
      </c>
      <c r="AH754" s="1178" t="s">
        <v>103</v>
      </c>
      <c r="AI754" s="1415">
        <v>45485</v>
      </c>
      <c r="AJ754" s="1415">
        <v>45485</v>
      </c>
      <c r="AK754" s="1416">
        <f>13500+85038</f>
        <v>98538</v>
      </c>
      <c r="AL754" s="1218">
        <f t="shared" si="86"/>
        <v>0.98538000000000003</v>
      </c>
      <c r="AM754" s="1417" t="s">
        <v>62</v>
      </c>
      <c r="AN754" s="1418">
        <v>1</v>
      </c>
      <c r="AO754" s="1423"/>
      <c r="AP754" s="1423"/>
      <c r="AQ754" s="1423"/>
    </row>
    <row r="755" spans="1:43" ht="15.6">
      <c r="A755" s="1097" t="s">
        <v>53</v>
      </c>
      <c r="B755" s="4" t="s">
        <v>1559</v>
      </c>
      <c r="C755" s="1098" t="s">
        <v>1560</v>
      </c>
      <c r="D755" s="3" t="s">
        <v>1561</v>
      </c>
      <c r="E755" s="1484" t="s">
        <v>433</v>
      </c>
      <c r="F755" s="856">
        <v>2024</v>
      </c>
      <c r="G755" s="1217">
        <v>45463</v>
      </c>
      <c r="H755" s="3">
        <v>300021415</v>
      </c>
      <c r="I755" s="1280" t="s">
        <v>1607</v>
      </c>
      <c r="J755" s="784">
        <v>9</v>
      </c>
      <c r="K755" s="3" t="s">
        <v>60</v>
      </c>
      <c r="L755" s="7"/>
      <c r="M755" s="865">
        <f>143.6+147.6+151.2</f>
        <v>442.4</v>
      </c>
      <c r="N755" s="1388"/>
      <c r="O755" s="958">
        <v>45482</v>
      </c>
      <c r="P755" s="1389"/>
      <c r="Q755" s="3" t="s">
        <v>1608</v>
      </c>
      <c r="R755" s="3"/>
      <c r="S755" s="851" t="s">
        <v>62</v>
      </c>
      <c r="T755" s="3" t="s">
        <v>130</v>
      </c>
      <c r="U755" s="784" t="s">
        <v>63</v>
      </c>
      <c r="V755" s="858">
        <v>330.1</v>
      </c>
      <c r="W755" s="784">
        <v>460.66</v>
      </c>
      <c r="X755" s="958">
        <v>45483</v>
      </c>
      <c r="Y755" s="1196">
        <v>45482</v>
      </c>
      <c r="Z755" s="856" t="s">
        <v>62</v>
      </c>
      <c r="AA755" s="784" t="s">
        <v>1487</v>
      </c>
      <c r="AB755" s="1217">
        <v>45483</v>
      </c>
      <c r="AC755" s="1217">
        <v>45484</v>
      </c>
      <c r="AD755" s="1399">
        <f>435+337</f>
        <v>772</v>
      </c>
      <c r="AE755" s="1398">
        <f t="shared" si="85"/>
        <v>0.98974358974358978</v>
      </c>
      <c r="AF755" s="1400" t="s">
        <v>1564</v>
      </c>
      <c r="AG755" s="1414">
        <v>1</v>
      </c>
      <c r="AH755" s="1178" t="s">
        <v>103</v>
      </c>
      <c r="AI755" s="1415">
        <v>45485</v>
      </c>
      <c r="AJ755" s="1415">
        <v>45488</v>
      </c>
      <c r="AK755" s="1416">
        <f>3400+90000+5404</f>
        <v>98804</v>
      </c>
      <c r="AL755" s="1218">
        <f t="shared" si="86"/>
        <v>0.98804000000000003</v>
      </c>
      <c r="AM755" s="1417" t="s">
        <v>62</v>
      </c>
      <c r="AN755" s="1418">
        <v>1</v>
      </c>
      <c r="AO755" s="1423"/>
      <c r="AP755" s="1423"/>
      <c r="AQ755" s="1423"/>
    </row>
    <row r="756" spans="1:43" ht="15.6">
      <c r="A756" s="1097" t="s">
        <v>53</v>
      </c>
      <c r="B756" s="4" t="s">
        <v>1559</v>
      </c>
      <c r="C756" s="1098" t="s">
        <v>1560</v>
      </c>
      <c r="D756" s="3" t="s">
        <v>1561</v>
      </c>
      <c r="E756" s="1484" t="s">
        <v>433</v>
      </c>
      <c r="F756" s="856">
        <v>2024</v>
      </c>
      <c r="G756" s="1099">
        <v>45470</v>
      </c>
      <c r="H756" s="3">
        <v>300021416</v>
      </c>
      <c r="I756" s="1325" t="s">
        <v>1609</v>
      </c>
      <c r="J756" s="784">
        <v>10</v>
      </c>
      <c r="K756" s="3" t="s">
        <v>60</v>
      </c>
      <c r="L756" s="7"/>
      <c r="M756" s="858">
        <f>148.1+144.2+148.2</f>
        <v>440.49999999999994</v>
      </c>
      <c r="N756" s="1388"/>
      <c r="O756" s="958">
        <v>45483</v>
      </c>
      <c r="P756" s="1389"/>
      <c r="Q756" s="785" t="s">
        <v>1610</v>
      </c>
      <c r="R756" s="785"/>
      <c r="S756" s="851" t="s">
        <v>62</v>
      </c>
      <c r="T756" s="3" t="s">
        <v>130</v>
      </c>
      <c r="U756" s="784" t="s">
        <v>75</v>
      </c>
      <c r="V756" s="858">
        <v>330.1</v>
      </c>
      <c r="W756" s="784">
        <v>458.66</v>
      </c>
      <c r="X756" s="958">
        <v>45483</v>
      </c>
      <c r="Y756" s="1196">
        <v>45483</v>
      </c>
      <c r="Z756" s="856" t="s">
        <v>62</v>
      </c>
      <c r="AA756" s="784" t="s">
        <v>1487</v>
      </c>
      <c r="AB756" s="1217">
        <v>45484</v>
      </c>
      <c r="AC756" s="1217">
        <v>45484</v>
      </c>
      <c r="AD756" s="1399">
        <f>475+293</f>
        <v>768</v>
      </c>
      <c r="AE756" s="1398">
        <f t="shared" si="85"/>
        <v>0.98461538461538467</v>
      </c>
      <c r="AF756" s="1400" t="s">
        <v>1564</v>
      </c>
      <c r="AG756" s="1414">
        <v>1</v>
      </c>
      <c r="AH756" s="1178" t="s">
        <v>103</v>
      </c>
      <c r="AI756" s="1415">
        <v>45488</v>
      </c>
      <c r="AJ756" s="1415">
        <v>45488</v>
      </c>
      <c r="AK756" s="1416">
        <f>86200+12658</f>
        <v>98858</v>
      </c>
      <c r="AL756" s="1218">
        <f t="shared" si="86"/>
        <v>0.98858000000000001</v>
      </c>
      <c r="AM756" s="1417" t="s">
        <v>62</v>
      </c>
      <c r="AN756" s="1418">
        <v>1</v>
      </c>
      <c r="AO756" s="1423"/>
      <c r="AP756" s="1423"/>
      <c r="AQ756" s="1423"/>
    </row>
    <row r="757" spans="1:43" ht="15.6">
      <c r="A757" s="1097" t="s">
        <v>53</v>
      </c>
      <c r="B757" s="4" t="s">
        <v>1559</v>
      </c>
      <c r="C757" s="1098" t="s">
        <v>1560</v>
      </c>
      <c r="D757" s="3" t="s">
        <v>1561</v>
      </c>
      <c r="E757" s="1484" t="s">
        <v>433</v>
      </c>
      <c r="F757" s="856">
        <v>2024</v>
      </c>
      <c r="G757" s="1099">
        <v>45470</v>
      </c>
      <c r="H757" s="3">
        <v>300021467</v>
      </c>
      <c r="I757" s="1325" t="s">
        <v>1611</v>
      </c>
      <c r="J757" s="784">
        <v>11</v>
      </c>
      <c r="K757" s="3" t="s">
        <v>60</v>
      </c>
      <c r="L757" s="7"/>
      <c r="M757" s="858">
        <f>146.6+145.9+149.2</f>
        <v>441.7</v>
      </c>
      <c r="N757" s="1388"/>
      <c r="O757" s="958">
        <v>45483</v>
      </c>
      <c r="P757" s="1389"/>
      <c r="Q757" s="860" t="s">
        <v>1612</v>
      </c>
      <c r="R757" s="860"/>
      <c r="S757" s="851" t="s">
        <v>62</v>
      </c>
      <c r="T757" s="3" t="s">
        <v>130</v>
      </c>
      <c r="U757" s="784" t="s">
        <v>75</v>
      </c>
      <c r="V757" s="858">
        <v>330.2</v>
      </c>
      <c r="W757" s="784">
        <v>459.76</v>
      </c>
      <c r="X757" s="958">
        <v>45483</v>
      </c>
      <c r="Y757" s="1196">
        <v>45483</v>
      </c>
      <c r="Z757" s="856" t="s">
        <v>62</v>
      </c>
      <c r="AA757" s="784" t="s">
        <v>1487</v>
      </c>
      <c r="AB757" s="1217">
        <v>45484</v>
      </c>
      <c r="AC757" s="1217">
        <v>45484</v>
      </c>
      <c r="AD757" s="1399">
        <f t="shared" si="87"/>
        <v>770</v>
      </c>
      <c r="AE757" s="1398">
        <f t="shared" si="85"/>
        <v>0.98717948717948723</v>
      </c>
      <c r="AF757" s="1400" t="s">
        <v>1564</v>
      </c>
      <c r="AG757" s="1414">
        <v>1</v>
      </c>
      <c r="AH757" s="1178" t="s">
        <v>103</v>
      </c>
      <c r="AI757" s="1415">
        <v>45488</v>
      </c>
      <c r="AJ757" s="1415">
        <v>45489</v>
      </c>
      <c r="AK757" s="1416">
        <f>90000+9092</f>
        <v>99092</v>
      </c>
      <c r="AL757" s="1218">
        <f t="shared" si="86"/>
        <v>0.99092000000000002</v>
      </c>
      <c r="AM757" s="1417" t="s">
        <v>62</v>
      </c>
      <c r="AN757" s="1418">
        <v>1</v>
      </c>
      <c r="AO757" s="1423"/>
      <c r="AP757" s="1423"/>
      <c r="AQ757" s="1423"/>
    </row>
    <row r="758" spans="1:43" ht="15.6">
      <c r="A758" s="1097" t="s">
        <v>53</v>
      </c>
      <c r="B758" s="4" t="s">
        <v>1559</v>
      </c>
      <c r="C758" s="1098" t="s">
        <v>1560</v>
      </c>
      <c r="D758" s="3" t="s">
        <v>1561</v>
      </c>
      <c r="E758" s="1484" t="s">
        <v>433</v>
      </c>
      <c r="F758" s="856">
        <v>2024</v>
      </c>
      <c r="G758" s="1099">
        <v>45470</v>
      </c>
      <c r="H758" s="3">
        <v>300021468</v>
      </c>
      <c r="I758" s="1325" t="s">
        <v>1613</v>
      </c>
      <c r="J758" s="784">
        <v>12</v>
      </c>
      <c r="K758" s="3" t="s">
        <v>60</v>
      </c>
      <c r="L758" s="7"/>
      <c r="M758" s="858">
        <f>147.4+143.3+148.4</f>
        <v>439.1</v>
      </c>
      <c r="N758" s="1388"/>
      <c r="O758" s="958">
        <v>45483</v>
      </c>
      <c r="P758" s="1389"/>
      <c r="Q758" s="3" t="s">
        <v>1614</v>
      </c>
      <c r="R758" s="3"/>
      <c r="S758" s="851" t="s">
        <v>62</v>
      </c>
      <c r="T758" s="3" t="s">
        <v>130</v>
      </c>
      <c r="U758" s="784" t="s">
        <v>75</v>
      </c>
      <c r="V758" s="858">
        <v>330.3</v>
      </c>
      <c r="W758" s="927">
        <v>457.26</v>
      </c>
      <c r="X758" s="958">
        <v>45483</v>
      </c>
      <c r="Y758" s="1196">
        <v>45483</v>
      </c>
      <c r="Z758" s="856" t="s">
        <v>62</v>
      </c>
      <c r="AA758" s="784" t="s">
        <v>1487</v>
      </c>
      <c r="AB758" s="1217">
        <v>45484</v>
      </c>
      <c r="AC758" s="1217">
        <v>45485</v>
      </c>
      <c r="AD758" s="1399">
        <f>215+552</f>
        <v>767</v>
      </c>
      <c r="AE758" s="1398">
        <f t="shared" si="85"/>
        <v>0.98333333333333328</v>
      </c>
      <c r="AF758" s="1400" t="s">
        <v>1564</v>
      </c>
      <c r="AG758" s="1414">
        <v>1</v>
      </c>
      <c r="AH758" s="1178" t="s">
        <v>103</v>
      </c>
      <c r="AI758" s="1415">
        <v>45489</v>
      </c>
      <c r="AJ758" s="1415">
        <v>45489</v>
      </c>
      <c r="AK758" s="1416">
        <f>92000+6777</f>
        <v>98777</v>
      </c>
      <c r="AL758" s="1218">
        <f t="shared" si="86"/>
        <v>0.98777000000000004</v>
      </c>
      <c r="AM758" s="1417" t="s">
        <v>62</v>
      </c>
      <c r="AN758" s="1418">
        <v>1</v>
      </c>
      <c r="AO758" s="1423"/>
      <c r="AP758" s="1423"/>
      <c r="AQ758" s="1423"/>
    </row>
    <row r="759" spans="1:43" ht="15.6">
      <c r="A759" s="1097" t="s">
        <v>53</v>
      </c>
      <c r="B759" s="4" t="s">
        <v>1559</v>
      </c>
      <c r="C759" s="1098" t="s">
        <v>1560</v>
      </c>
      <c r="D759" s="3" t="s">
        <v>1561</v>
      </c>
      <c r="E759" s="1484" t="s">
        <v>433</v>
      </c>
      <c r="F759" s="856">
        <v>2024</v>
      </c>
      <c r="G759" s="1099">
        <v>45470</v>
      </c>
      <c r="H759" s="3">
        <v>300021469</v>
      </c>
      <c r="I759" s="1325" t="s">
        <v>1615</v>
      </c>
      <c r="J759" s="784">
        <v>13</v>
      </c>
      <c r="K759" s="3" t="s">
        <v>60</v>
      </c>
      <c r="L759" s="7"/>
      <c r="M759" s="858">
        <f>148.2+145.8+153.2</f>
        <v>447.2</v>
      </c>
      <c r="N759" s="1388"/>
      <c r="O759" s="958">
        <v>45483</v>
      </c>
      <c r="P759" s="1389"/>
      <c r="Q759" s="3" t="s">
        <v>1616</v>
      </c>
      <c r="R759" s="3"/>
      <c r="S759" s="851" t="s">
        <v>62</v>
      </c>
      <c r="T759" s="3" t="s">
        <v>130</v>
      </c>
      <c r="U759" s="784" t="s">
        <v>75</v>
      </c>
      <c r="V759" s="858">
        <v>330</v>
      </c>
      <c r="W759" s="927">
        <v>465.36</v>
      </c>
      <c r="X759" s="958">
        <v>45484</v>
      </c>
      <c r="Y759" s="1196">
        <v>45483</v>
      </c>
      <c r="Z759" s="856" t="s">
        <v>62</v>
      </c>
      <c r="AA759" s="784" t="s">
        <v>1487</v>
      </c>
      <c r="AB759" s="1217">
        <v>45485</v>
      </c>
      <c r="AC759" s="1217">
        <v>45485</v>
      </c>
      <c r="AD759" s="1399">
        <f>80+695</f>
        <v>775</v>
      </c>
      <c r="AE759" s="1398">
        <f t="shared" si="85"/>
        <v>0.99358974358974361</v>
      </c>
      <c r="AF759" s="1400" t="s">
        <v>1564</v>
      </c>
      <c r="AG759" s="1414">
        <v>1</v>
      </c>
      <c r="AH759" s="1178" t="s">
        <v>103</v>
      </c>
      <c r="AI759" s="1415">
        <v>45489</v>
      </c>
      <c r="AJ759" s="1415">
        <v>45490</v>
      </c>
      <c r="AK759" s="1416">
        <f>88861+10904</f>
        <v>99765</v>
      </c>
      <c r="AL759" s="1218">
        <f t="shared" si="86"/>
        <v>0.99765000000000004</v>
      </c>
      <c r="AM759" s="1417" t="s">
        <v>62</v>
      </c>
      <c r="AN759" s="1418">
        <v>1</v>
      </c>
      <c r="AO759" s="1423"/>
      <c r="AP759" s="1423"/>
      <c r="AQ759" s="1423"/>
    </row>
    <row r="760" spans="1:43">
      <c r="A760" s="1097"/>
      <c r="B760" s="4"/>
      <c r="C760" s="1098"/>
      <c r="D760" s="3"/>
      <c r="E760" s="935"/>
      <c r="F760" s="856"/>
      <c r="G760" s="927"/>
      <c r="H760" s="927"/>
      <c r="I760" s="927"/>
      <c r="J760" s="784"/>
      <c r="K760" s="1178"/>
      <c r="L760" s="1178"/>
      <c r="M760" s="1178"/>
      <c r="N760" s="1178"/>
      <c r="O760" s="1389"/>
      <c r="P760" s="1389"/>
      <c r="Q760" s="1178"/>
      <c r="R760" s="1178"/>
      <c r="S760" s="1178"/>
      <c r="T760" s="1178"/>
      <c r="U760" s="927"/>
      <c r="V760" s="1178"/>
      <c r="W760" s="927"/>
      <c r="X760" s="1389"/>
      <c r="Y760" s="1401"/>
      <c r="Z760" s="1178"/>
      <c r="AA760" s="927"/>
      <c r="AB760" s="927"/>
      <c r="AC760" s="927"/>
      <c r="AD760" s="927"/>
      <c r="AE760" s="1398"/>
      <c r="AF760" s="927"/>
      <c r="AG760" s="927"/>
      <c r="AH760" s="927"/>
      <c r="AI760" s="927"/>
      <c r="AJ760" s="927"/>
      <c r="AK760" s="927"/>
      <c r="AL760" s="1218"/>
      <c r="AM760" s="927"/>
      <c r="AN760" s="927"/>
      <c r="AO760" s="1423"/>
      <c r="AP760" s="1423"/>
      <c r="AQ760" s="1423"/>
    </row>
    <row r="761" spans="1:43">
      <c r="A761" s="1097"/>
      <c r="B761" s="992" t="s">
        <v>1617</v>
      </c>
      <c r="C761" s="1098" t="s">
        <v>1618</v>
      </c>
      <c r="D761" s="3" t="s">
        <v>1619</v>
      </c>
      <c r="E761" s="935" t="s">
        <v>100</v>
      </c>
      <c r="F761" s="856">
        <v>2024</v>
      </c>
      <c r="G761" s="3" t="s">
        <v>1620</v>
      </c>
      <c r="H761" s="3">
        <v>200106891</v>
      </c>
      <c r="I761" s="11">
        <v>81814</v>
      </c>
      <c r="J761" s="784">
        <v>1</v>
      </c>
      <c r="K761" s="3" t="s">
        <v>1621</v>
      </c>
      <c r="L761" s="7"/>
      <c r="M761" s="858">
        <v>177.88</v>
      </c>
      <c r="N761" s="984"/>
      <c r="O761" s="958">
        <v>45517</v>
      </c>
      <c r="P761" s="1389"/>
      <c r="Q761" s="3">
        <v>1.75</v>
      </c>
      <c r="R761" s="1178"/>
      <c r="S761" s="851" t="s">
        <v>62</v>
      </c>
      <c r="T761" s="3" t="s">
        <v>130</v>
      </c>
      <c r="U761" s="3" t="s">
        <v>905</v>
      </c>
      <c r="V761" s="865">
        <v>179.1</v>
      </c>
      <c r="W761" s="865">
        <v>148.41999999999999</v>
      </c>
      <c r="X761" s="958">
        <v>45518</v>
      </c>
      <c r="Y761" s="958">
        <v>45518</v>
      </c>
      <c r="Z761" s="856" t="s">
        <v>62</v>
      </c>
      <c r="AA761" s="927"/>
      <c r="AB761" s="927"/>
      <c r="AC761" s="927"/>
      <c r="AD761" s="927"/>
      <c r="AE761" s="1398"/>
      <c r="AF761" s="927"/>
      <c r="AG761" s="927"/>
      <c r="AH761" s="927"/>
      <c r="AI761" s="927"/>
      <c r="AJ761" s="927"/>
      <c r="AK761" s="927"/>
      <c r="AL761" s="1218"/>
      <c r="AM761" s="927"/>
      <c r="AN761" s="927"/>
      <c r="AO761" s="1423"/>
      <c r="AP761" s="1423"/>
      <c r="AQ761" s="1423"/>
    </row>
    <row r="762" spans="1:43">
      <c r="A762" s="1097"/>
      <c r="B762" s="992" t="s">
        <v>1617</v>
      </c>
      <c r="C762" s="1098" t="s">
        <v>1618</v>
      </c>
      <c r="D762" s="3" t="s">
        <v>1619</v>
      </c>
      <c r="E762" s="935" t="s">
        <v>100</v>
      </c>
      <c r="F762" s="856">
        <v>2024</v>
      </c>
      <c r="G762" s="3" t="s">
        <v>1620</v>
      </c>
      <c r="H762" s="3">
        <v>200106892</v>
      </c>
      <c r="I762" s="11">
        <v>81824</v>
      </c>
      <c r="J762" s="784">
        <v>2</v>
      </c>
      <c r="K762" s="3" t="s">
        <v>1621</v>
      </c>
      <c r="L762" s="7"/>
      <c r="M762" s="858">
        <v>180.32</v>
      </c>
      <c r="N762" s="984"/>
      <c r="O762" s="958">
        <v>45525</v>
      </c>
      <c r="P762" s="1389"/>
      <c r="Q762" s="3">
        <v>1.52</v>
      </c>
      <c r="R762" s="1178"/>
      <c r="S762" s="851" t="s">
        <v>62</v>
      </c>
      <c r="T762" s="3" t="s">
        <v>130</v>
      </c>
      <c r="U762" s="3" t="s">
        <v>905</v>
      </c>
      <c r="V762" s="858">
        <v>187.8</v>
      </c>
      <c r="W762" s="865">
        <v>148.5</v>
      </c>
      <c r="X762" s="958">
        <v>45526</v>
      </c>
      <c r="Y762" s="958">
        <v>45525</v>
      </c>
      <c r="Z762" s="856" t="s">
        <v>62</v>
      </c>
      <c r="AA762" s="927"/>
      <c r="AB762" s="927"/>
      <c r="AC762" s="927"/>
      <c r="AD762" s="927"/>
      <c r="AE762" s="1398"/>
      <c r="AF762" s="927"/>
      <c r="AG762" s="927"/>
      <c r="AH762" s="927"/>
      <c r="AI762" s="927"/>
      <c r="AJ762" s="927"/>
      <c r="AK762" s="927"/>
      <c r="AL762" s="1218"/>
      <c r="AM762" s="927"/>
      <c r="AN762" s="927"/>
      <c r="AO762" s="1423"/>
      <c r="AP762" s="1423"/>
      <c r="AQ762" s="1423"/>
    </row>
    <row r="763" spans="1:43">
      <c r="A763" s="1097"/>
      <c r="B763" s="992" t="s">
        <v>1617</v>
      </c>
      <c r="C763" s="1098" t="s">
        <v>1618</v>
      </c>
      <c r="D763" s="3" t="s">
        <v>1619</v>
      </c>
      <c r="E763" s="935" t="s">
        <v>100</v>
      </c>
      <c r="F763" s="856">
        <v>2024</v>
      </c>
      <c r="G763" s="3" t="s">
        <v>1620</v>
      </c>
      <c r="H763" s="3">
        <v>200106893</v>
      </c>
      <c r="I763" s="11">
        <v>81834</v>
      </c>
      <c r="J763" s="784">
        <v>3</v>
      </c>
      <c r="K763" s="3" t="s">
        <v>1621</v>
      </c>
      <c r="L763" s="7"/>
      <c r="M763" s="858">
        <v>187</v>
      </c>
      <c r="N763" s="984"/>
      <c r="O763" s="958">
        <v>45525</v>
      </c>
      <c r="P763" s="1389"/>
      <c r="Q763" s="3">
        <v>1.55</v>
      </c>
      <c r="R763" s="1178"/>
      <c r="S763" s="851" t="s">
        <v>62</v>
      </c>
      <c r="T763" s="3" t="s">
        <v>130</v>
      </c>
      <c r="U763" s="3" t="s">
        <v>905</v>
      </c>
      <c r="V763" s="858">
        <v>180.6</v>
      </c>
      <c r="W763" s="865">
        <v>148.5</v>
      </c>
      <c r="X763" s="958">
        <v>45526</v>
      </c>
      <c r="Y763" s="958">
        <v>45525</v>
      </c>
      <c r="Z763" s="856" t="s">
        <v>62</v>
      </c>
      <c r="AA763" s="927"/>
      <c r="AB763" s="927"/>
      <c r="AC763" s="927"/>
      <c r="AD763" s="927"/>
      <c r="AE763" s="1398"/>
      <c r="AF763" s="927"/>
      <c r="AG763" s="927"/>
      <c r="AH763" s="927"/>
      <c r="AI763" s="927"/>
      <c r="AJ763" s="927"/>
      <c r="AK763" s="927"/>
      <c r="AL763" s="1218"/>
      <c r="AM763" s="927"/>
      <c r="AN763" s="927"/>
      <c r="AO763" s="1423"/>
      <c r="AP763" s="1423"/>
      <c r="AQ763" s="1423"/>
    </row>
    <row r="764" spans="1:43">
      <c r="A764" s="1097"/>
      <c r="B764" s="4"/>
      <c r="C764" s="1098"/>
      <c r="D764" s="3"/>
      <c r="E764" s="935"/>
      <c r="F764" s="856"/>
      <c r="G764" s="927"/>
      <c r="H764" s="927"/>
      <c r="I764" s="927"/>
      <c r="J764" s="784"/>
      <c r="K764" s="1178"/>
      <c r="L764" s="1178"/>
      <c r="M764" s="1178"/>
      <c r="N764" s="1178"/>
      <c r="O764" s="1389"/>
      <c r="P764" s="1389"/>
      <c r="Q764" s="1178"/>
      <c r="R764" s="1178"/>
      <c r="S764" s="1178"/>
      <c r="T764" s="1178"/>
      <c r="U764" s="927"/>
      <c r="V764" s="1178"/>
      <c r="W764" s="927"/>
      <c r="X764" s="1389"/>
      <c r="Y764" s="1401"/>
      <c r="Z764" s="1178"/>
      <c r="AA764" s="927"/>
      <c r="AB764" s="927"/>
      <c r="AC764" s="927"/>
      <c r="AD764" s="927"/>
      <c r="AE764" s="1398"/>
      <c r="AF764" s="927"/>
      <c r="AG764" s="927"/>
      <c r="AH764" s="927"/>
      <c r="AI764" s="927"/>
      <c r="AJ764" s="927"/>
      <c r="AK764" s="927"/>
      <c r="AL764" s="1218"/>
      <c r="AM764" s="927"/>
      <c r="AN764" s="927"/>
      <c r="AO764" s="1423"/>
      <c r="AP764" s="1423"/>
      <c r="AQ764" s="1423"/>
    </row>
    <row r="765" spans="1:43">
      <c r="A765" s="1097"/>
      <c r="B765" s="4"/>
      <c r="C765" s="1098"/>
      <c r="D765" s="3"/>
      <c r="E765" s="935"/>
      <c r="F765" s="856"/>
      <c r="G765" s="927"/>
      <c r="H765" s="927"/>
      <c r="I765" s="927"/>
      <c r="J765" s="784"/>
      <c r="K765" s="1178"/>
      <c r="L765" s="1178"/>
      <c r="M765" s="1178"/>
      <c r="N765" s="1178"/>
      <c r="O765" s="1389"/>
      <c r="P765" s="1389"/>
      <c r="Q765" s="1178"/>
      <c r="R765" s="1178"/>
      <c r="S765" s="1178"/>
      <c r="T765" s="1178"/>
      <c r="U765" s="927"/>
      <c r="V765" s="1178"/>
      <c r="W765" s="927"/>
      <c r="X765" s="1389"/>
      <c r="Y765" s="1401"/>
      <c r="Z765" s="1178"/>
      <c r="AA765" s="927"/>
      <c r="AB765" s="927"/>
      <c r="AC765" s="927"/>
      <c r="AD765" s="927"/>
      <c r="AE765" s="1398"/>
      <c r="AF765" s="927"/>
      <c r="AG765" s="927"/>
      <c r="AH765" s="927"/>
      <c r="AI765" s="927"/>
      <c r="AJ765" s="927"/>
      <c r="AK765" s="927"/>
      <c r="AL765" s="1218"/>
      <c r="AM765" s="927"/>
      <c r="AN765" s="927"/>
      <c r="AO765" s="1423"/>
      <c r="AP765" s="1423"/>
      <c r="AQ765" s="1423"/>
    </row>
    <row r="766" spans="1:43">
      <c r="A766" s="1097"/>
      <c r="B766" s="4"/>
      <c r="C766" s="1098"/>
      <c r="D766" s="3"/>
      <c r="E766" s="935"/>
      <c r="F766" s="856"/>
      <c r="G766" s="927"/>
      <c r="H766" s="927"/>
      <c r="I766" s="927"/>
      <c r="J766" s="784"/>
      <c r="K766" s="1178"/>
      <c r="L766" s="1178"/>
      <c r="M766" s="1178"/>
      <c r="N766" s="1178"/>
      <c r="O766" s="1389"/>
      <c r="P766" s="1389"/>
      <c r="Q766" s="1178"/>
      <c r="R766" s="1178"/>
      <c r="S766" s="1178"/>
      <c r="T766" s="1178"/>
      <c r="U766" s="927"/>
      <c r="V766" s="1178"/>
      <c r="W766" s="927"/>
      <c r="X766" s="1389"/>
      <c r="Y766" s="1401"/>
      <c r="Z766" s="1178"/>
      <c r="AA766" s="927"/>
      <c r="AB766" s="927"/>
      <c r="AC766" s="927"/>
      <c r="AD766" s="927"/>
      <c r="AE766" s="1398"/>
      <c r="AF766" s="927"/>
      <c r="AG766" s="927"/>
      <c r="AH766" s="927"/>
      <c r="AI766" s="927"/>
      <c r="AJ766" s="927"/>
      <c r="AK766" s="927"/>
      <c r="AL766" s="1218"/>
      <c r="AM766" s="927"/>
      <c r="AN766" s="927"/>
      <c r="AO766" s="1423"/>
      <c r="AP766" s="1423"/>
      <c r="AQ766" s="1423"/>
    </row>
    <row r="767" spans="1:43">
      <c r="A767" s="1097"/>
      <c r="B767" s="4"/>
      <c r="C767" s="1098"/>
      <c r="D767" s="3"/>
      <c r="E767" s="935"/>
      <c r="F767" s="856"/>
      <c r="G767" s="927"/>
      <c r="H767" s="927"/>
      <c r="I767" s="927"/>
      <c r="J767" s="784"/>
      <c r="K767" s="1178"/>
      <c r="L767" s="1178"/>
      <c r="M767" s="1178"/>
      <c r="N767" s="1178"/>
      <c r="O767" s="1389"/>
      <c r="P767" s="1389"/>
      <c r="Q767" s="1178"/>
      <c r="R767" s="1178"/>
      <c r="S767" s="1178"/>
      <c r="T767" s="1178"/>
      <c r="U767" s="927"/>
      <c r="V767" s="1178"/>
      <c r="W767" s="927"/>
      <c r="X767" s="1389"/>
      <c r="Y767" s="1401"/>
      <c r="Z767" s="1178"/>
      <c r="AA767" s="927"/>
      <c r="AB767" s="927"/>
      <c r="AC767" s="927"/>
      <c r="AD767" s="927"/>
      <c r="AE767" s="1398"/>
      <c r="AF767" s="927"/>
      <c r="AG767" s="927"/>
      <c r="AH767" s="927"/>
      <c r="AI767" s="927"/>
      <c r="AJ767" s="927"/>
      <c r="AK767" s="927"/>
      <c r="AL767" s="1218"/>
      <c r="AM767" s="927"/>
      <c r="AN767" s="927"/>
      <c r="AO767" s="1423"/>
      <c r="AP767" s="1423"/>
      <c r="AQ767" s="1423"/>
    </row>
    <row r="768" spans="1:43">
      <c r="A768" s="1097"/>
      <c r="B768" s="4"/>
      <c r="C768" s="1098"/>
      <c r="D768" s="3"/>
      <c r="E768" s="784"/>
      <c r="F768" s="856"/>
      <c r="G768" s="927"/>
      <c r="H768" s="927"/>
      <c r="I768" s="927"/>
      <c r="J768" s="784"/>
      <c r="K768" s="851"/>
      <c r="L768" s="851"/>
      <c r="M768" s="851"/>
      <c r="N768" s="851"/>
      <c r="O768" s="1205"/>
      <c r="P768" s="1205"/>
      <c r="Q768" s="851"/>
      <c r="R768" s="851"/>
      <c r="S768" s="851"/>
      <c r="T768" s="851"/>
      <c r="U768" s="927"/>
      <c r="V768" s="851"/>
      <c r="W768" s="927"/>
      <c r="X768" s="1205"/>
      <c r="Y768" s="1401"/>
      <c r="Z768" s="851"/>
      <c r="AA768" s="927"/>
      <c r="AB768" s="927"/>
      <c r="AC768" s="927"/>
      <c r="AD768" s="927"/>
      <c r="AE768" s="1264"/>
      <c r="AF768" s="927"/>
      <c r="AG768" s="927"/>
      <c r="AH768" s="927"/>
      <c r="AI768" s="927"/>
      <c r="AJ768" s="927"/>
      <c r="AK768" s="927"/>
      <c r="AL768" s="1227"/>
      <c r="AM768" s="927"/>
      <c r="AN768" s="927"/>
      <c r="AO768" s="1423"/>
      <c r="AP768" s="1423"/>
      <c r="AQ768" s="1423"/>
    </row>
    <row r="769" spans="1:44">
      <c r="A769" s="1097" t="s">
        <v>53</v>
      </c>
      <c r="AQ769" s="1429"/>
    </row>
    <row r="770" spans="1:44">
      <c r="A770" s="1097" t="s">
        <v>53</v>
      </c>
      <c r="AQ770" s="934"/>
    </row>
    <row r="771" spans="1:44">
      <c r="AQ771" s="934"/>
    </row>
    <row r="772" spans="1:44">
      <c r="AQ772" s="934"/>
    </row>
    <row r="773" spans="1:44">
      <c r="AQ773" s="934"/>
    </row>
    <row r="774" spans="1:44">
      <c r="AQ774" s="934"/>
    </row>
    <row r="775" spans="1:44">
      <c r="AQ775" s="934"/>
    </row>
    <row r="776" spans="1:44">
      <c r="AQ776" s="934"/>
    </row>
    <row r="777" spans="1:44">
      <c r="AQ777" s="934"/>
    </row>
    <row r="778" spans="1:44">
      <c r="AQ778" s="934"/>
    </row>
    <row r="779" spans="1:44">
      <c r="AQ779" s="934"/>
    </row>
    <row r="780" spans="1:44">
      <c r="AQ780" s="934"/>
    </row>
    <row r="781" spans="1:44">
      <c r="AQ781" s="934"/>
    </row>
    <row r="782" spans="1:44">
      <c r="AQ782" s="934"/>
      <c r="AR782" s="1430"/>
    </row>
    <row r="783" spans="1:44">
      <c r="AQ783" s="934"/>
      <c r="AR783" s="1430"/>
    </row>
    <row r="784" spans="1:44">
      <c r="AQ784" s="934"/>
      <c r="AR784" s="1430"/>
    </row>
    <row r="785" spans="43:44">
      <c r="AQ785" s="934"/>
      <c r="AR785" s="1430"/>
    </row>
    <row r="786" spans="43:44">
      <c r="AQ786" s="934"/>
      <c r="AR786" s="1430"/>
    </row>
    <row r="787" spans="43:44">
      <c r="AQ787" s="934"/>
      <c r="AR787" s="1430"/>
    </row>
    <row r="788" spans="43:44">
      <c r="AQ788" s="934"/>
      <c r="AR788" s="1430"/>
    </row>
    <row r="789" spans="43:44">
      <c r="AQ789" s="934"/>
      <c r="AR789" s="1430"/>
    </row>
    <row r="790" spans="43:44">
      <c r="AQ790" s="934"/>
      <c r="AR790" s="1430"/>
    </row>
    <row r="791" spans="43:44">
      <c r="AQ791" s="934"/>
      <c r="AR791" s="1430"/>
    </row>
    <row r="792" spans="43:44">
      <c r="AQ792" s="934"/>
      <c r="AR792" s="1430"/>
    </row>
    <row r="793" spans="43:44">
      <c r="AQ793" s="934"/>
      <c r="AR793" s="1430"/>
    </row>
    <row r="794" spans="43:44">
      <c r="AQ794" s="934"/>
      <c r="AR794" s="1430"/>
    </row>
    <row r="795" spans="43:44">
      <c r="AQ795" s="934"/>
      <c r="AR795" s="1430"/>
    </row>
    <row r="796" spans="43:44">
      <c r="AQ796" s="934"/>
      <c r="AR796" s="1430"/>
    </row>
    <row r="797" spans="43:44">
      <c r="AQ797" s="934"/>
      <c r="AR797" s="1430"/>
    </row>
    <row r="798" spans="43:44">
      <c r="AQ798" s="934"/>
      <c r="AR798" s="1430"/>
    </row>
    <row r="799" spans="43:44">
      <c r="AQ799" s="934"/>
      <c r="AR799" s="1430"/>
    </row>
    <row r="800" spans="43:44">
      <c r="AQ800" s="934"/>
      <c r="AR800" s="1430"/>
    </row>
    <row r="801" spans="43:44">
      <c r="AQ801" s="934"/>
      <c r="AR801" s="1430"/>
    </row>
    <row r="802" spans="43:44">
      <c r="AQ802" s="934"/>
      <c r="AR802" s="1430"/>
    </row>
    <row r="803" spans="43:44">
      <c r="AQ803" s="934"/>
      <c r="AR803" s="1430"/>
    </row>
    <row r="804" spans="43:44">
      <c r="AQ804" s="934"/>
      <c r="AR804" s="1430"/>
    </row>
    <row r="805" spans="43:44">
      <c r="AQ805" s="934"/>
      <c r="AR805" s="1430"/>
    </row>
    <row r="806" spans="43:44">
      <c r="AQ806" s="934"/>
      <c r="AR806" s="1430"/>
    </row>
    <row r="807" spans="43:44">
      <c r="AQ807" s="934"/>
      <c r="AR807" s="1430"/>
    </row>
    <row r="808" spans="43:44">
      <c r="AQ808" s="934"/>
      <c r="AR808" s="1430"/>
    </row>
    <row r="809" spans="43:44">
      <c r="AQ809" s="934"/>
      <c r="AR809" s="1430"/>
    </row>
    <row r="810" spans="43:44">
      <c r="AQ810" s="934"/>
      <c r="AR810" s="1430"/>
    </row>
    <row r="811" spans="43:44">
      <c r="AQ811" s="934"/>
      <c r="AR811" s="1430"/>
    </row>
    <row r="812" spans="43:44">
      <c r="AQ812" s="934"/>
      <c r="AR812" s="1430"/>
    </row>
    <row r="813" spans="43:44">
      <c r="AQ813" s="934"/>
      <c r="AR813" s="1430"/>
    </row>
    <row r="814" spans="43:44">
      <c r="AQ814" s="934"/>
      <c r="AR814" s="1430"/>
    </row>
    <row r="815" spans="43:44">
      <c r="AQ815" s="934"/>
      <c r="AR815" s="1430"/>
    </row>
    <row r="816" spans="43:44">
      <c r="AQ816" s="934"/>
      <c r="AR816" s="1430"/>
    </row>
    <row r="817" spans="43:44">
      <c r="AQ817" s="934"/>
      <c r="AR817" s="1430"/>
    </row>
    <row r="818" spans="43:44">
      <c r="AQ818" s="934"/>
      <c r="AR818" s="1430"/>
    </row>
    <row r="819" spans="43:44">
      <c r="AQ819" s="934"/>
      <c r="AR819" s="1430"/>
    </row>
    <row r="820" spans="43:44">
      <c r="AQ820" s="934"/>
      <c r="AR820" s="1430"/>
    </row>
    <row r="821" spans="43:44">
      <c r="AQ821" s="934"/>
      <c r="AR821" s="1430"/>
    </row>
    <row r="822" spans="43:44">
      <c r="AQ822" s="934"/>
      <c r="AR822" s="1430"/>
    </row>
    <row r="823" spans="43:44">
      <c r="AQ823" s="934"/>
      <c r="AR823" s="1430"/>
    </row>
    <row r="824" spans="43:44">
      <c r="AQ824" s="934"/>
      <c r="AR824" s="1430"/>
    </row>
    <row r="825" spans="43:44">
      <c r="AQ825" s="934"/>
      <c r="AR825" s="1430"/>
    </row>
    <row r="826" spans="43:44">
      <c r="AQ826" s="934"/>
      <c r="AR826" s="1430"/>
    </row>
    <row r="827" spans="43:44">
      <c r="AQ827" s="934"/>
      <c r="AR827" s="1430"/>
    </row>
    <row r="828" spans="43:44">
      <c r="AQ828" s="934"/>
      <c r="AR828" s="1430"/>
    </row>
    <row r="829" spans="43:44">
      <c r="AQ829" s="934"/>
      <c r="AR829" s="1430"/>
    </row>
    <row r="830" spans="43:44">
      <c r="AQ830" s="934"/>
      <c r="AR830" s="1430"/>
    </row>
    <row r="831" spans="43:44">
      <c r="AQ831" s="934"/>
      <c r="AR831" s="1430"/>
    </row>
    <row r="832" spans="43:44">
      <c r="AQ832" s="934"/>
      <c r="AR832" s="1430"/>
    </row>
    <row r="833" spans="43:44">
      <c r="AQ833" s="934"/>
      <c r="AR833" s="1430"/>
    </row>
    <row r="834" spans="43:44">
      <c r="AQ834" s="934"/>
      <c r="AR834" s="1430"/>
    </row>
    <row r="835" spans="43:44">
      <c r="AQ835" s="934"/>
      <c r="AR835" s="1430"/>
    </row>
    <row r="836" spans="43:44">
      <c r="AQ836" s="934"/>
      <c r="AR836" s="1430"/>
    </row>
    <row r="837" spans="43:44">
      <c r="AQ837" s="934"/>
      <c r="AR837" s="1430"/>
    </row>
    <row r="838" spans="43:44">
      <c r="AQ838" s="934"/>
      <c r="AR838" s="1430"/>
    </row>
    <row r="839" spans="43:44">
      <c r="AQ839" s="934"/>
      <c r="AR839" s="1430"/>
    </row>
    <row r="840" spans="43:44">
      <c r="AQ840" s="934"/>
      <c r="AR840" s="1430"/>
    </row>
    <row r="841" spans="43:44">
      <c r="AQ841" s="934"/>
      <c r="AR841" s="1430"/>
    </row>
    <row r="842" spans="43:44">
      <c r="AQ842" s="934"/>
      <c r="AR842" s="1430"/>
    </row>
    <row r="843" spans="43:44">
      <c r="AQ843" s="934"/>
      <c r="AR843" s="1430"/>
    </row>
    <row r="844" spans="43:44">
      <c r="AQ844" s="934"/>
      <c r="AR844" s="1430"/>
    </row>
    <row r="845" spans="43:44">
      <c r="AQ845" s="934"/>
      <c r="AR845" s="1430"/>
    </row>
    <row r="846" spans="43:44">
      <c r="AQ846" s="934"/>
      <c r="AR846" s="1430"/>
    </row>
    <row r="847" spans="43:44">
      <c r="AQ847" s="934"/>
      <c r="AR847" s="1430"/>
    </row>
    <row r="848" spans="43:44">
      <c r="AQ848" s="934"/>
      <c r="AR848" s="1430"/>
    </row>
    <row r="849" spans="43:44">
      <c r="AQ849" s="934"/>
      <c r="AR849" s="1430"/>
    </row>
    <row r="850" spans="43:44">
      <c r="AQ850" s="934"/>
      <c r="AR850" s="1430"/>
    </row>
    <row r="851" spans="43:44">
      <c r="AQ851" s="934"/>
      <c r="AR851" s="1430"/>
    </row>
    <row r="852" spans="43:44">
      <c r="AQ852" s="934"/>
      <c r="AR852" s="1430"/>
    </row>
    <row r="853" spans="43:44">
      <c r="AQ853" s="934"/>
      <c r="AR853" s="1430"/>
    </row>
    <row r="854" spans="43:44">
      <c r="AQ854" s="934"/>
      <c r="AR854" s="1430"/>
    </row>
    <row r="855" spans="43:44">
      <c r="AQ855" s="934"/>
      <c r="AR855" s="1430"/>
    </row>
    <row r="856" spans="43:44">
      <c r="AQ856" s="934"/>
      <c r="AR856" s="1430"/>
    </row>
    <row r="857" spans="43:44">
      <c r="AQ857" s="934"/>
      <c r="AR857" s="1430"/>
    </row>
    <row r="858" spans="43:44">
      <c r="AQ858" s="934"/>
      <c r="AR858" s="1430"/>
    </row>
    <row r="859" spans="43:44">
      <c r="AQ859" s="934"/>
      <c r="AR859" s="1430"/>
    </row>
    <row r="860" spans="43:44">
      <c r="AQ860" s="934"/>
      <c r="AR860" s="1430"/>
    </row>
    <row r="861" spans="43:44">
      <c r="AQ861" s="934"/>
      <c r="AR861" s="1430"/>
    </row>
    <row r="862" spans="43:44">
      <c r="AQ862" s="934"/>
      <c r="AR862" s="1430"/>
    </row>
    <row r="863" spans="43:44">
      <c r="AQ863" s="934"/>
      <c r="AR863" s="1430"/>
    </row>
    <row r="864" spans="43:44">
      <c r="AQ864" s="934"/>
      <c r="AR864" s="1430"/>
    </row>
    <row r="865" spans="43:44">
      <c r="AQ865" s="934"/>
      <c r="AR865" s="1430"/>
    </row>
    <row r="866" spans="43:44">
      <c r="AQ866" s="934"/>
      <c r="AR866" s="1430"/>
    </row>
    <row r="867" spans="43:44">
      <c r="AQ867" s="934"/>
      <c r="AR867" s="1430"/>
    </row>
    <row r="868" spans="43:44">
      <c r="AQ868" s="934"/>
      <c r="AR868" s="1430"/>
    </row>
    <row r="869" spans="43:44">
      <c r="AQ869" s="934"/>
      <c r="AR869" s="1430"/>
    </row>
    <row r="870" spans="43:44">
      <c r="AQ870" s="934"/>
      <c r="AR870" s="1430"/>
    </row>
    <row r="871" spans="43:44">
      <c r="AQ871" s="934"/>
      <c r="AR871" s="1430"/>
    </row>
    <row r="872" spans="43:44">
      <c r="AQ872" s="934"/>
      <c r="AR872" s="1430"/>
    </row>
    <row r="873" spans="43:44">
      <c r="AQ873" s="934"/>
      <c r="AR873" s="1430"/>
    </row>
    <row r="874" spans="43:44">
      <c r="AQ874" s="934"/>
      <c r="AR874" s="1430"/>
    </row>
    <row r="875" spans="43:44">
      <c r="AQ875" s="934"/>
      <c r="AR875" s="1430"/>
    </row>
    <row r="876" spans="43:44">
      <c r="AQ876" s="934"/>
      <c r="AR876" s="1430"/>
    </row>
    <row r="877" spans="43:44">
      <c r="AQ877" s="934"/>
      <c r="AR877" s="1430"/>
    </row>
    <row r="878" spans="43:44">
      <c r="AQ878" s="1431"/>
    </row>
  </sheetData>
  <mergeCells count="7">
    <mergeCell ref="AR6:AS6"/>
    <mergeCell ref="B1:AM1"/>
    <mergeCell ref="B2:AM2"/>
    <mergeCell ref="K6:S6"/>
    <mergeCell ref="T6:Z6"/>
    <mergeCell ref="AA6:AG6"/>
    <mergeCell ref="AH6:AM6"/>
  </mergeCells>
  <pageMargins left="0.75" right="0.75" top="1" bottom="1" header="0.51180555555555596" footer="0.51180555555555596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6C16-91F3-42CB-8E14-51F0E1CB7421}">
  <dimension ref="A3:GK49"/>
  <sheetViews>
    <sheetView tabSelected="1" topLeftCell="B1" zoomScale="77" zoomScaleNormal="100" workbookViewId="0">
      <selection activeCell="J54" sqref="J54"/>
    </sheetView>
  </sheetViews>
  <sheetFormatPr defaultColWidth="8.77734375" defaultRowHeight="14.4"/>
  <cols>
    <col min="2" max="2" width="25.33203125" customWidth="1"/>
    <col min="12" max="12" width="11.44140625" customWidth="1"/>
    <col min="13" max="13" width="17.109375" customWidth="1"/>
    <col min="17" max="17" width="20" customWidth="1"/>
    <col min="18" max="18" width="26.109375" customWidth="1"/>
    <col min="20" max="20" width="13.77734375" customWidth="1"/>
    <col min="39" max="39" width="18" customWidth="1"/>
    <col min="40" max="40" width="14" customWidth="1"/>
    <col min="92" max="92" width="13.44140625" customWidth="1"/>
    <col min="93" max="93" width="15.44140625" customWidth="1"/>
    <col min="97" max="97" width="12.77734375" customWidth="1"/>
    <col min="103" max="103" width="17.44140625" customWidth="1"/>
    <col min="119" max="119" width="15.109375" customWidth="1"/>
    <col min="120" max="120" width="10.33203125" customWidth="1"/>
    <col min="138" max="138" width="10.33203125" customWidth="1"/>
    <col min="139" max="139" width="9.77734375" customWidth="1"/>
    <col min="140" max="140" width="10.109375" customWidth="1"/>
    <col min="141" max="141" width="10.44140625" customWidth="1"/>
    <col min="190" max="190" width="13.44140625" customWidth="1"/>
  </cols>
  <sheetData>
    <row r="3" spans="1:193" ht="109.2">
      <c r="A3" s="1070" t="s">
        <v>9</v>
      </c>
      <c r="B3" s="1071" t="s">
        <v>10</v>
      </c>
      <c r="C3" s="1071" t="s">
        <v>11</v>
      </c>
      <c r="D3" s="1071" t="s">
        <v>12</v>
      </c>
      <c r="E3" s="1071" t="s">
        <v>13</v>
      </c>
      <c r="F3" s="1071" t="s">
        <v>14</v>
      </c>
      <c r="G3" s="1071" t="s">
        <v>15</v>
      </c>
      <c r="H3" s="1071" t="s">
        <v>16</v>
      </c>
      <c r="I3" s="1078" t="s">
        <v>17</v>
      </c>
      <c r="J3" s="1071" t="s">
        <v>18</v>
      </c>
      <c r="K3" s="1079" t="s">
        <v>1623</v>
      </c>
      <c r="L3" s="1079" t="s">
        <v>1624</v>
      </c>
      <c r="M3" s="1079" t="s">
        <v>1625</v>
      </c>
      <c r="N3" s="1079" t="s">
        <v>1626</v>
      </c>
      <c r="O3" s="1079" t="s">
        <v>1627</v>
      </c>
      <c r="P3" s="1079" t="s">
        <v>1628</v>
      </c>
      <c r="Q3" s="1079" t="s">
        <v>1629</v>
      </c>
      <c r="R3" s="1079" t="s">
        <v>1630</v>
      </c>
      <c r="S3" s="1079" t="s">
        <v>1631</v>
      </c>
      <c r="T3" s="1079" t="s">
        <v>1632</v>
      </c>
      <c r="U3" s="1079" t="s">
        <v>1633</v>
      </c>
      <c r="V3" s="1079" t="s">
        <v>1634</v>
      </c>
      <c r="W3" s="1079" t="s">
        <v>1635</v>
      </c>
      <c r="X3" s="1079" t="s">
        <v>1636</v>
      </c>
      <c r="Y3" s="1079" t="s">
        <v>1637</v>
      </c>
      <c r="Z3" s="1079" t="s">
        <v>1638</v>
      </c>
      <c r="AA3" s="1079" t="s">
        <v>1639</v>
      </c>
      <c r="AB3" s="1079" t="s">
        <v>1640</v>
      </c>
      <c r="AC3" s="1081" t="s">
        <v>1641</v>
      </c>
      <c r="AD3" s="1081" t="s">
        <v>1642</v>
      </c>
      <c r="AE3" s="1081" t="s">
        <v>1643</v>
      </c>
      <c r="AF3" s="1081" t="s">
        <v>1644</v>
      </c>
      <c r="AG3" s="1081" t="s">
        <v>1645</v>
      </c>
      <c r="AH3" s="1081" t="s">
        <v>1646</v>
      </c>
      <c r="AI3" s="1081" t="s">
        <v>1647</v>
      </c>
      <c r="AJ3" s="1081" t="s">
        <v>1648</v>
      </c>
      <c r="AK3" s="1082" t="s">
        <v>1649</v>
      </c>
      <c r="AL3" s="1083" t="s">
        <v>1650</v>
      </c>
      <c r="AM3" s="1083" t="s">
        <v>1651</v>
      </c>
      <c r="AN3" s="1084" t="s">
        <v>1652</v>
      </c>
      <c r="AO3" s="1079" t="s">
        <v>1653</v>
      </c>
      <c r="AP3" s="1079" t="s">
        <v>1654</v>
      </c>
      <c r="AQ3" s="1079" t="s">
        <v>1655</v>
      </c>
      <c r="AR3" s="1079" t="s">
        <v>1656</v>
      </c>
      <c r="AS3" s="1085" t="s">
        <v>1657</v>
      </c>
      <c r="AT3" s="1079" t="s">
        <v>1658</v>
      </c>
      <c r="AU3" s="1079" t="s">
        <v>1659</v>
      </c>
      <c r="AV3" s="1079" t="s">
        <v>1660</v>
      </c>
      <c r="AW3" s="1079" t="s">
        <v>1661</v>
      </c>
      <c r="AX3" s="1079" t="s">
        <v>1662</v>
      </c>
      <c r="AY3" s="1079" t="s">
        <v>1663</v>
      </c>
      <c r="AZ3" s="1079" t="s">
        <v>1664</v>
      </c>
      <c r="BA3" s="1079" t="s">
        <v>1665</v>
      </c>
      <c r="BB3" s="1079" t="s">
        <v>1666</v>
      </c>
      <c r="BC3" s="1079" t="s">
        <v>1667</v>
      </c>
      <c r="BD3" s="1079" t="s">
        <v>1668</v>
      </c>
      <c r="BE3" s="1079" t="s">
        <v>1669</v>
      </c>
      <c r="BF3" s="1079" t="s">
        <v>1670</v>
      </c>
      <c r="BG3" s="1079" t="s">
        <v>1671</v>
      </c>
      <c r="BH3" s="1079" t="s">
        <v>1672</v>
      </c>
      <c r="BI3" s="1079" t="s">
        <v>1673</v>
      </c>
      <c r="BJ3" s="1079" t="s">
        <v>1674</v>
      </c>
      <c r="BK3" s="1079" t="s">
        <v>1675</v>
      </c>
      <c r="BL3" s="1079" t="s">
        <v>1676</v>
      </c>
      <c r="BM3" s="1079" t="s">
        <v>1677</v>
      </c>
      <c r="BN3" s="1079" t="s">
        <v>1678</v>
      </c>
      <c r="BO3" s="1079" t="s">
        <v>1679</v>
      </c>
      <c r="BP3" s="1079" t="s">
        <v>1680</v>
      </c>
      <c r="BQ3" s="1079" t="s">
        <v>1681</v>
      </c>
      <c r="BR3" s="1079" t="s">
        <v>1682</v>
      </c>
      <c r="BS3" s="1079" t="s">
        <v>1683</v>
      </c>
      <c r="BT3" s="1079" t="s">
        <v>1682</v>
      </c>
      <c r="BU3" s="1079" t="s">
        <v>1683</v>
      </c>
      <c r="BV3" s="1079" t="s">
        <v>1682</v>
      </c>
      <c r="BW3" s="1079" t="s">
        <v>1683</v>
      </c>
      <c r="BX3" s="1079" t="s">
        <v>1682</v>
      </c>
      <c r="BY3" s="1079" t="s">
        <v>1683</v>
      </c>
      <c r="BZ3" s="1079" t="s">
        <v>1682</v>
      </c>
      <c r="CA3" s="1079" t="s">
        <v>1683</v>
      </c>
      <c r="CB3" s="1079" t="s">
        <v>1682</v>
      </c>
      <c r="CC3" s="1079" t="s">
        <v>1683</v>
      </c>
      <c r="CD3" s="1079" t="s">
        <v>1684</v>
      </c>
      <c r="CE3" s="1079" t="s">
        <v>1685</v>
      </c>
      <c r="CF3" s="1079" t="s">
        <v>1686</v>
      </c>
      <c r="CG3" s="1079" t="s">
        <v>1687</v>
      </c>
      <c r="CH3" s="1079" t="s">
        <v>1688</v>
      </c>
      <c r="CI3" s="1079" t="s">
        <v>1689</v>
      </c>
      <c r="CJ3" s="1079" t="s">
        <v>1690</v>
      </c>
      <c r="CK3" s="1079" t="s">
        <v>1691</v>
      </c>
      <c r="CL3" s="1079" t="s">
        <v>1692</v>
      </c>
      <c r="CM3" s="1086" t="s">
        <v>1693</v>
      </c>
      <c r="CN3" s="1079" t="s">
        <v>1694</v>
      </c>
      <c r="CO3" s="1079" t="s">
        <v>1695</v>
      </c>
      <c r="CP3" s="1079" t="s">
        <v>1627</v>
      </c>
      <c r="CQ3" s="1082" t="s">
        <v>1696</v>
      </c>
      <c r="CR3" s="1082" t="s">
        <v>1650</v>
      </c>
      <c r="CS3" s="1082" t="s">
        <v>1697</v>
      </c>
      <c r="CT3" s="1082" t="s">
        <v>7245</v>
      </c>
      <c r="CU3" s="1091" t="s">
        <v>1699</v>
      </c>
      <c r="CV3" s="1079" t="s">
        <v>27</v>
      </c>
      <c r="CW3" s="1083" t="s">
        <v>1700</v>
      </c>
      <c r="CX3" s="1083" t="s">
        <v>1701</v>
      </c>
      <c r="CY3" s="1083" t="s">
        <v>1625</v>
      </c>
      <c r="CZ3" s="1083" t="s">
        <v>1626</v>
      </c>
      <c r="DA3" s="1083" t="s">
        <v>1627</v>
      </c>
      <c r="DB3" s="1083" t="s">
        <v>1628</v>
      </c>
      <c r="DC3" s="1083" t="s">
        <v>1629</v>
      </c>
      <c r="DD3" s="1083" t="s">
        <v>1631</v>
      </c>
      <c r="DE3" s="1083" t="s">
        <v>1633</v>
      </c>
      <c r="DF3" s="1083" t="s">
        <v>1634</v>
      </c>
      <c r="DG3" s="1083" t="s">
        <v>1635</v>
      </c>
      <c r="DH3" s="1083" t="s">
        <v>1636</v>
      </c>
      <c r="DI3" s="1083" t="s">
        <v>1637</v>
      </c>
      <c r="DJ3" s="1083" t="s">
        <v>1638</v>
      </c>
      <c r="DK3" s="1083" t="s">
        <v>1639</v>
      </c>
      <c r="DL3" s="1083" t="s">
        <v>1640</v>
      </c>
      <c r="DM3" s="1093" t="s">
        <v>1649</v>
      </c>
      <c r="DN3" s="1083" t="s">
        <v>1650</v>
      </c>
      <c r="DO3" s="1083" t="s">
        <v>1651</v>
      </c>
      <c r="DP3" s="1083" t="s">
        <v>1698</v>
      </c>
      <c r="DQ3" s="1083" t="s">
        <v>1653</v>
      </c>
      <c r="DR3" s="1083" t="s">
        <v>1654</v>
      </c>
      <c r="DS3" s="1083" t="s">
        <v>1655</v>
      </c>
      <c r="DT3" s="1083" t="s">
        <v>1656</v>
      </c>
      <c r="DU3" s="1085" t="s">
        <v>1702</v>
      </c>
      <c r="DV3" s="1081" t="s">
        <v>1641</v>
      </c>
      <c r="DW3" s="1081" t="s">
        <v>1642</v>
      </c>
      <c r="DX3" s="1081" t="s">
        <v>1643</v>
      </c>
      <c r="DY3" s="1081" t="s">
        <v>1644</v>
      </c>
      <c r="DZ3" s="1081" t="s">
        <v>1645</v>
      </c>
      <c r="EA3" s="1081" t="s">
        <v>1646</v>
      </c>
      <c r="EB3" s="1081" t="s">
        <v>1647</v>
      </c>
      <c r="EC3" s="1081" t="s">
        <v>1648</v>
      </c>
      <c r="ED3" s="1083" t="s">
        <v>1658</v>
      </c>
      <c r="EE3" s="1083" t="s">
        <v>1659</v>
      </c>
      <c r="EF3" s="1083" t="s">
        <v>1660</v>
      </c>
      <c r="EG3" s="1083" t="s">
        <v>1661</v>
      </c>
      <c r="EH3" s="1083" t="s">
        <v>1662</v>
      </c>
      <c r="EI3" s="1083" t="s">
        <v>1663</v>
      </c>
      <c r="EJ3" s="1083" t="s">
        <v>1664</v>
      </c>
      <c r="EK3" s="1083" t="s">
        <v>1665</v>
      </c>
      <c r="EL3" s="1079" t="s">
        <v>1666</v>
      </c>
      <c r="EM3" s="1079" t="s">
        <v>1667</v>
      </c>
      <c r="EN3" s="1079" t="s">
        <v>1668</v>
      </c>
      <c r="EO3" s="1079" t="s">
        <v>1669</v>
      </c>
      <c r="EP3" s="1079" t="s">
        <v>1670</v>
      </c>
      <c r="EQ3" s="1079" t="s">
        <v>1671</v>
      </c>
      <c r="ER3" s="1079" t="s">
        <v>1672</v>
      </c>
      <c r="ES3" s="1079" t="s">
        <v>1703</v>
      </c>
      <c r="ET3" s="1079" t="s">
        <v>1674</v>
      </c>
      <c r="EU3" s="1079" t="s">
        <v>1675</v>
      </c>
      <c r="EV3" s="1079" t="s">
        <v>1676</v>
      </c>
      <c r="EW3" s="1079" t="s">
        <v>1704</v>
      </c>
      <c r="EX3" s="1079" t="s">
        <v>1678</v>
      </c>
      <c r="EY3" s="1079" t="s">
        <v>1679</v>
      </c>
      <c r="EZ3" s="1079" t="s">
        <v>1680</v>
      </c>
      <c r="FA3" s="1079" t="s">
        <v>1681</v>
      </c>
      <c r="FB3" s="1079" t="s">
        <v>1682</v>
      </c>
      <c r="FC3" s="1079" t="s">
        <v>1683</v>
      </c>
      <c r="FD3" s="1079" t="s">
        <v>1682</v>
      </c>
      <c r="FE3" s="1079" t="s">
        <v>1683</v>
      </c>
      <c r="FF3" s="1079" t="s">
        <v>1682</v>
      </c>
      <c r="FG3" s="1079" t="s">
        <v>1683</v>
      </c>
      <c r="FH3" s="1079" t="s">
        <v>1682</v>
      </c>
      <c r="FI3" s="1079" t="s">
        <v>1683</v>
      </c>
      <c r="FJ3" s="1079" t="s">
        <v>1682</v>
      </c>
      <c r="FK3" s="1079" t="s">
        <v>1683</v>
      </c>
      <c r="FL3" s="1079" t="s">
        <v>1682</v>
      </c>
      <c r="FM3" s="1079" t="s">
        <v>1683</v>
      </c>
      <c r="FN3" s="1079" t="s">
        <v>1682</v>
      </c>
      <c r="FO3" s="1079" t="s">
        <v>1683</v>
      </c>
      <c r="FP3" s="1079" t="s">
        <v>1682</v>
      </c>
      <c r="FQ3" s="1079" t="s">
        <v>1683</v>
      </c>
      <c r="FR3" s="1079" t="s">
        <v>1684</v>
      </c>
      <c r="FS3" s="1079" t="s">
        <v>1685</v>
      </c>
      <c r="FT3" s="1079" t="s">
        <v>1686</v>
      </c>
      <c r="FU3" s="1079" t="s">
        <v>1687</v>
      </c>
      <c r="FV3" s="1079" t="s">
        <v>1688</v>
      </c>
      <c r="FW3" s="1079" t="s">
        <v>1689</v>
      </c>
      <c r="FX3" s="1079" t="s">
        <v>1690</v>
      </c>
      <c r="FY3" s="1079" t="s">
        <v>1691</v>
      </c>
      <c r="FZ3" s="1079" t="s">
        <v>1692</v>
      </c>
      <c r="GA3" s="1086" t="s">
        <v>1693</v>
      </c>
      <c r="GB3" s="1083" t="s">
        <v>27</v>
      </c>
      <c r="GC3" s="1094" t="s">
        <v>1705</v>
      </c>
      <c r="GD3" s="1095" t="s">
        <v>1695</v>
      </c>
      <c r="GE3" s="1083" t="s">
        <v>1627</v>
      </c>
      <c r="GF3" s="1083" t="s">
        <v>1706</v>
      </c>
      <c r="GG3" s="1083" t="s">
        <v>1707</v>
      </c>
      <c r="GH3" s="1083" t="s">
        <v>1651</v>
      </c>
      <c r="GI3" s="1083" t="s">
        <v>1698</v>
      </c>
      <c r="GJ3" s="1096" t="s">
        <v>1708</v>
      </c>
      <c r="GK3" s="1096" t="s">
        <v>27</v>
      </c>
    </row>
    <row r="4" spans="1:193">
      <c r="B4" s="1103" t="s">
        <v>583</v>
      </c>
      <c r="C4" s="1098"/>
      <c r="D4" s="1098"/>
      <c r="E4" s="1076"/>
      <c r="F4" s="856"/>
      <c r="G4" s="936"/>
      <c r="H4" s="3"/>
      <c r="I4" s="1469"/>
      <c r="J4" s="1109">
        <v>1</v>
      </c>
      <c r="K4" s="1089" t="s">
        <v>1709</v>
      </c>
      <c r="L4" s="1089" t="s">
        <v>1710</v>
      </c>
      <c r="M4" s="1102">
        <v>45993</v>
      </c>
      <c r="N4" s="1110">
        <v>1</v>
      </c>
      <c r="O4" s="1111" t="s">
        <v>1041</v>
      </c>
      <c r="P4" s="1090" t="s">
        <v>1727</v>
      </c>
      <c r="Q4" s="1089" t="s">
        <v>1711</v>
      </c>
      <c r="R4" s="1089"/>
      <c r="S4" s="1089">
        <f>38*2</f>
        <v>76</v>
      </c>
      <c r="T4" s="1089"/>
      <c r="U4" s="1089">
        <v>71.599999999999994</v>
      </c>
      <c r="V4" s="1089">
        <v>71.2</v>
      </c>
      <c r="W4" s="1110">
        <v>71.900000000000006</v>
      </c>
      <c r="X4" s="1110">
        <v>71.5</v>
      </c>
      <c r="Y4" s="1114"/>
      <c r="Z4" s="1114"/>
      <c r="AA4" s="1114"/>
      <c r="AB4" s="1114"/>
      <c r="AC4" s="851"/>
      <c r="AD4" s="851"/>
      <c r="AE4" s="851"/>
      <c r="AF4" s="851"/>
      <c r="AG4" s="1115"/>
      <c r="AH4" s="1115"/>
      <c r="AI4" s="1115"/>
      <c r="AJ4" s="1115"/>
      <c r="AK4" s="1116">
        <f>150.84+154.65</f>
        <v>305.49</v>
      </c>
      <c r="AL4" s="1110">
        <v>299</v>
      </c>
      <c r="AM4" s="1110" t="s">
        <v>1728</v>
      </c>
      <c r="AN4" s="1117">
        <f t="shared" ref="AN4:AN47" si="0">AK4/AL4*100</f>
        <v>102.17056856187293</v>
      </c>
      <c r="AO4" s="1116">
        <v>5.08</v>
      </c>
      <c r="AP4" s="1116">
        <v>5.04</v>
      </c>
      <c r="AQ4" s="1114"/>
      <c r="AR4" s="1114"/>
      <c r="AS4" s="1118">
        <f t="shared" ref="AS4:AS47" si="1">AVERAGE(AO4:AR4)</f>
        <v>5.0600000000000005</v>
      </c>
      <c r="AT4" s="1119">
        <v>19.3</v>
      </c>
      <c r="AU4" s="1119">
        <v>19.2</v>
      </c>
      <c r="AV4" s="1114"/>
      <c r="AW4" s="1114"/>
      <c r="AX4" s="1119">
        <v>10.9</v>
      </c>
      <c r="AY4" s="1120">
        <v>11</v>
      </c>
      <c r="AZ4" s="1114"/>
      <c r="BA4" s="1114"/>
      <c r="BB4" s="1119">
        <v>86.9</v>
      </c>
      <c r="BC4" s="1119">
        <v>81.7</v>
      </c>
      <c r="BD4" s="1119">
        <v>82.6</v>
      </c>
      <c r="BE4" s="1119">
        <v>83.2</v>
      </c>
      <c r="BF4" s="1114"/>
      <c r="BG4" s="1114"/>
      <c r="BH4" s="1114"/>
      <c r="BI4" s="1114"/>
      <c r="BJ4" s="1119">
        <v>38.299999999999997</v>
      </c>
      <c r="BK4" s="1119">
        <v>36.4</v>
      </c>
      <c r="BL4" s="1119">
        <v>38.299999999999997</v>
      </c>
      <c r="BM4" s="1119">
        <v>36.200000000000003</v>
      </c>
      <c r="BN4" s="1114"/>
      <c r="BO4" s="1114"/>
      <c r="BP4" s="1114"/>
      <c r="BQ4" s="1114"/>
      <c r="BR4" s="1110">
        <v>16</v>
      </c>
      <c r="BS4" s="1110">
        <v>22</v>
      </c>
      <c r="BT4" s="1110">
        <v>1</v>
      </c>
      <c r="BU4" s="1110">
        <v>50</v>
      </c>
      <c r="BV4" s="1110">
        <v>16</v>
      </c>
      <c r="BW4" s="1110">
        <v>18</v>
      </c>
      <c r="BX4" s="1110">
        <v>1</v>
      </c>
      <c r="BY4" s="1110">
        <v>46</v>
      </c>
      <c r="BZ4" s="1114"/>
      <c r="CA4" s="1114"/>
      <c r="CB4" s="1114"/>
      <c r="CC4" s="1114"/>
      <c r="CD4" s="1121">
        <f t="shared" ref="CD4:CD47" si="2">BR4+(BS4/60)</f>
        <v>16.366666666666667</v>
      </c>
      <c r="CE4" s="1117">
        <f t="shared" ref="CE4:CE47" si="3">BT4+(BU4/60)</f>
        <v>1.8333333333333335</v>
      </c>
      <c r="CF4" s="1117">
        <f t="shared" ref="CF4:CF47" si="4">BV4+(BW4/60)</f>
        <v>16.3</v>
      </c>
      <c r="CG4" s="1117">
        <f t="shared" ref="CG4:CG47" si="5">BX4+(BY4/60)</f>
        <v>1.7666666666666666</v>
      </c>
      <c r="CH4" s="1114"/>
      <c r="CI4" s="1114"/>
      <c r="CJ4" s="1114"/>
      <c r="CK4" s="1114"/>
      <c r="CL4" s="1110">
        <v>52</v>
      </c>
      <c r="CM4" s="1122">
        <v>1.5</v>
      </c>
      <c r="CN4" s="1116" t="s">
        <v>1710</v>
      </c>
      <c r="CO4" s="1123">
        <v>45993</v>
      </c>
      <c r="CP4" s="1090" t="s">
        <v>1547</v>
      </c>
      <c r="CQ4" s="1116">
        <v>321.3</v>
      </c>
      <c r="CR4" s="1119">
        <v>315</v>
      </c>
      <c r="CS4" s="1119" t="s">
        <v>1729</v>
      </c>
      <c r="CT4" s="1088">
        <f t="shared" ref="CT4:CT12" si="6">CQ4/CR4*100</f>
        <v>102</v>
      </c>
      <c r="CU4" s="1116">
        <v>5</v>
      </c>
      <c r="CV4" s="1032" t="s">
        <v>62</v>
      </c>
      <c r="CW4" s="1125" t="s">
        <v>1730</v>
      </c>
      <c r="CX4" s="1126" t="s">
        <v>1710</v>
      </c>
      <c r="CY4" s="1127" t="s">
        <v>1731</v>
      </c>
      <c r="CZ4" s="773" t="s">
        <v>1732</v>
      </c>
      <c r="DA4" s="1125" t="s">
        <v>932</v>
      </c>
      <c r="DB4" s="1128" t="s">
        <v>1733</v>
      </c>
      <c r="DC4" s="1125" t="s">
        <v>1711</v>
      </c>
      <c r="DD4" s="1125">
        <f>50*4</f>
        <v>200</v>
      </c>
      <c r="DE4" s="1125">
        <v>71.599999999999994</v>
      </c>
      <c r="DF4" s="1125">
        <v>71.900000000000006</v>
      </c>
      <c r="DG4" s="1125">
        <v>71.5</v>
      </c>
      <c r="DH4" s="1125">
        <v>71.099999999999994</v>
      </c>
      <c r="DI4" s="1125">
        <v>71.3</v>
      </c>
      <c r="DJ4" s="1125">
        <v>71.7</v>
      </c>
      <c r="DK4" s="1125">
        <v>71.8</v>
      </c>
      <c r="DL4" s="1125">
        <v>71</v>
      </c>
      <c r="DM4" s="1129">
        <v>538.6</v>
      </c>
      <c r="DN4" s="1130">
        <v>531.53</v>
      </c>
      <c r="DO4" s="1131" t="s">
        <v>1734</v>
      </c>
      <c r="DP4" s="1132">
        <f t="shared" ref="DP4" si="7">DM4/DN4*100</f>
        <v>101.3301224766241</v>
      </c>
      <c r="DQ4" s="1125">
        <v>3.44</v>
      </c>
      <c r="DR4" s="1125">
        <v>3.44</v>
      </c>
      <c r="DS4" s="1133">
        <v>3.19</v>
      </c>
      <c r="DT4" s="1125">
        <v>3.46</v>
      </c>
      <c r="DU4" s="1134">
        <v>3.44</v>
      </c>
      <c r="DV4" s="1134"/>
      <c r="DW4" s="1134"/>
      <c r="DX4" s="1134"/>
      <c r="DY4" s="1134"/>
      <c r="DZ4" s="1134"/>
      <c r="EA4" s="1134"/>
      <c r="EB4" s="1134"/>
      <c r="EC4" s="1134"/>
      <c r="ED4" s="1125">
        <v>19.5</v>
      </c>
      <c r="EE4" s="1125">
        <v>19.899999999999999</v>
      </c>
      <c r="EF4" s="1125">
        <v>19.399999999999999</v>
      </c>
      <c r="EG4" s="1125">
        <v>19.5</v>
      </c>
      <c r="EH4" s="1125">
        <v>11.6</v>
      </c>
      <c r="EI4" s="1125">
        <v>11.7</v>
      </c>
      <c r="EJ4" s="1125">
        <v>11.1</v>
      </c>
      <c r="EK4" s="1125">
        <v>11.3</v>
      </c>
      <c r="EL4" s="1125">
        <v>86.2</v>
      </c>
      <c r="EM4" s="1135"/>
      <c r="EN4" s="1125">
        <v>82.6</v>
      </c>
      <c r="EO4" s="1135"/>
      <c r="EP4" s="1125">
        <v>80.7</v>
      </c>
      <c r="EQ4" s="1135"/>
      <c r="ER4" s="1125">
        <v>82</v>
      </c>
      <c r="ES4" s="1135"/>
      <c r="ET4" s="1125">
        <v>39.5</v>
      </c>
      <c r="EU4" s="1135"/>
      <c r="EV4" s="1125">
        <v>39.4</v>
      </c>
      <c r="EW4" s="1135"/>
      <c r="EX4" s="1125">
        <v>39.5</v>
      </c>
      <c r="EY4" s="1135"/>
      <c r="EZ4" s="1125">
        <v>39.299999999999997</v>
      </c>
      <c r="FA4" s="1135"/>
      <c r="FB4" s="1125">
        <v>32</v>
      </c>
      <c r="FC4" s="1125">
        <v>10</v>
      </c>
      <c r="FD4" s="1125">
        <v>32</v>
      </c>
      <c r="FE4" s="1125">
        <v>3</v>
      </c>
      <c r="FF4" s="1125">
        <v>32</v>
      </c>
      <c r="FG4" s="1125">
        <v>25</v>
      </c>
      <c r="FH4" s="1125">
        <v>32</v>
      </c>
      <c r="FI4" s="1125">
        <v>13</v>
      </c>
      <c r="FJ4" s="1125"/>
      <c r="FK4" s="1125"/>
      <c r="FL4" s="1125"/>
      <c r="FM4" s="1125"/>
      <c r="FN4" s="1125"/>
      <c r="FO4" s="1125"/>
      <c r="FP4" s="1125"/>
      <c r="FQ4" s="1125"/>
      <c r="FR4" s="1137">
        <f t="shared" ref="FR4" si="8">FB4+(FC4/60)</f>
        <v>32.166666666666664</v>
      </c>
      <c r="FS4" s="1092"/>
      <c r="FT4" s="1136">
        <f t="shared" ref="FT4" si="9">FD4+(FE4/60)</f>
        <v>32.049999999999997</v>
      </c>
      <c r="FU4" s="1092"/>
      <c r="FV4" s="1136">
        <f t="shared" ref="FV4" si="10">FF4+(FG4/60)</f>
        <v>32.416666666666664</v>
      </c>
      <c r="FW4" s="1092"/>
      <c r="FX4" s="1136">
        <f>FH4+(FI4/60)</f>
        <v>32.216666666666669</v>
      </c>
      <c r="FY4" s="1092"/>
      <c r="FZ4" s="1125">
        <v>52</v>
      </c>
      <c r="GA4" s="1138">
        <v>1.5</v>
      </c>
      <c r="GB4" s="1125" t="s">
        <v>62</v>
      </c>
      <c r="GC4" s="1135"/>
      <c r="GD4" s="1139"/>
      <c r="GE4" s="1135"/>
      <c r="GF4" s="1140"/>
      <c r="GG4" s="1140"/>
      <c r="GH4" s="1103" t="s">
        <v>583</v>
      </c>
      <c r="GI4" s="1098" t="s">
        <v>584</v>
      </c>
      <c r="GJ4" s="1098" t="s">
        <v>585</v>
      </c>
      <c r="GK4" s="1076">
        <v>4038</v>
      </c>
    </row>
    <row r="5" spans="1:193">
      <c r="B5" s="1104" t="s">
        <v>583</v>
      </c>
      <c r="C5" s="1105"/>
      <c r="D5" s="1105"/>
      <c r="E5" s="1106"/>
      <c r="F5" s="1107"/>
      <c r="G5" s="1108"/>
      <c r="H5" s="807"/>
      <c r="I5" s="1438"/>
      <c r="J5" s="1109"/>
      <c r="K5" s="1089" t="s">
        <v>1709</v>
      </c>
      <c r="L5" s="1089" t="s">
        <v>1710</v>
      </c>
      <c r="M5" s="1102">
        <v>46017</v>
      </c>
      <c r="N5" s="1110">
        <v>1</v>
      </c>
      <c r="O5" s="1111" t="s">
        <v>1041</v>
      </c>
      <c r="P5" s="1090" t="s">
        <v>1727</v>
      </c>
      <c r="Q5" s="1089" t="s">
        <v>1735</v>
      </c>
      <c r="R5" s="1089"/>
      <c r="S5" s="1089">
        <f>60+54</f>
        <v>114</v>
      </c>
      <c r="T5" s="1089"/>
      <c r="U5" s="1089">
        <v>80.400000000000006</v>
      </c>
      <c r="V5" s="1089">
        <v>80.900000000000006</v>
      </c>
      <c r="W5" s="1110">
        <v>71.099999999999994</v>
      </c>
      <c r="X5" s="1110">
        <v>80.599999999999994</v>
      </c>
      <c r="Y5" s="1114"/>
      <c r="Z5" s="1114"/>
      <c r="AA5" s="1114"/>
      <c r="AB5" s="1114"/>
      <c r="AC5" s="851"/>
      <c r="AD5" s="851"/>
      <c r="AE5" s="851"/>
      <c r="AF5" s="851"/>
      <c r="AG5" s="1115"/>
      <c r="AH5" s="1115"/>
      <c r="AI5" s="1115"/>
      <c r="AJ5" s="1115"/>
      <c r="AK5" s="1116">
        <v>297.17</v>
      </c>
      <c r="AL5" s="1110">
        <v>299</v>
      </c>
      <c r="AM5" s="1110" t="s">
        <v>1728</v>
      </c>
      <c r="AN5" s="1117">
        <f t="shared" si="0"/>
        <v>99.38795986622074</v>
      </c>
      <c r="AO5" s="1116">
        <v>4.9800000000000004</v>
      </c>
      <c r="AP5" s="1116">
        <v>4.99</v>
      </c>
      <c r="AQ5" s="1114"/>
      <c r="AR5" s="1114"/>
      <c r="AS5" s="1118">
        <f t="shared" si="1"/>
        <v>4.9850000000000003</v>
      </c>
      <c r="AT5" s="1119">
        <v>21.9</v>
      </c>
      <c r="AU5" s="1119">
        <v>20.2</v>
      </c>
      <c r="AV5" s="1114"/>
      <c r="AW5" s="1114"/>
      <c r="AX5" s="1119">
        <v>11.4</v>
      </c>
      <c r="AY5" s="1120">
        <v>11.2</v>
      </c>
      <c r="AZ5" s="1114"/>
      <c r="BA5" s="1114"/>
      <c r="BB5" s="1119">
        <v>80.099999999999994</v>
      </c>
      <c r="BC5" s="1119">
        <v>78.900000000000006</v>
      </c>
      <c r="BD5" s="1119"/>
      <c r="BE5" s="1119"/>
      <c r="BF5" s="1114"/>
      <c r="BG5" s="1114"/>
      <c r="BH5" s="1114"/>
      <c r="BI5" s="1114"/>
      <c r="BJ5" s="1119">
        <v>41.6</v>
      </c>
      <c r="BK5" s="1119">
        <v>41.2</v>
      </c>
      <c r="BL5" s="1119"/>
      <c r="BM5" s="1119"/>
      <c r="BN5" s="1114"/>
      <c r="BO5" s="1114"/>
      <c r="BP5" s="1114"/>
      <c r="BQ5" s="1114"/>
      <c r="BR5" s="1110">
        <v>46</v>
      </c>
      <c r="BS5" s="1110">
        <v>30</v>
      </c>
      <c r="BT5" s="1110">
        <v>41</v>
      </c>
      <c r="BU5" s="1110">
        <v>40</v>
      </c>
      <c r="BV5" s="1110"/>
      <c r="BW5" s="1110"/>
      <c r="BX5" s="1110"/>
      <c r="BY5" s="1110"/>
      <c r="BZ5" s="1114"/>
      <c r="CA5" s="1114"/>
      <c r="CB5" s="1114"/>
      <c r="CC5" s="1114"/>
      <c r="CD5" s="1121">
        <f t="shared" si="2"/>
        <v>46.5</v>
      </c>
      <c r="CE5" s="1117">
        <f t="shared" si="3"/>
        <v>41.666666666666664</v>
      </c>
      <c r="CF5" s="1117">
        <f t="shared" si="4"/>
        <v>0</v>
      </c>
      <c r="CG5" s="1117">
        <f t="shared" si="5"/>
        <v>0</v>
      </c>
      <c r="CH5" s="1114"/>
      <c r="CI5" s="1114"/>
      <c r="CJ5" s="1114"/>
      <c r="CK5" s="1114"/>
      <c r="CL5" s="1110">
        <v>52</v>
      </c>
      <c r="CM5" s="1122">
        <v>1.5</v>
      </c>
      <c r="CN5" s="1116" t="s">
        <v>1710</v>
      </c>
      <c r="CO5" s="1123">
        <v>46017</v>
      </c>
      <c r="CP5" s="1090" t="s">
        <v>1547</v>
      </c>
      <c r="CQ5" s="1116">
        <v>313.10000000000002</v>
      </c>
      <c r="CR5" s="1119">
        <v>315</v>
      </c>
      <c r="CS5" s="1119" t="s">
        <v>1729</v>
      </c>
      <c r="CT5" s="1088">
        <f t="shared" si="6"/>
        <v>99.396825396825406</v>
      </c>
      <c r="CU5" s="1116">
        <v>5.57</v>
      </c>
      <c r="CV5" s="1032" t="s">
        <v>62</v>
      </c>
      <c r="CW5" s="1125" t="s">
        <v>1730</v>
      </c>
      <c r="CX5" s="1126"/>
      <c r="CY5" s="1127"/>
      <c r="CZ5" s="773"/>
      <c r="DA5" s="1125"/>
      <c r="DB5" s="1128"/>
      <c r="DC5" s="1125"/>
      <c r="DD5" s="1125"/>
      <c r="DE5" s="1125"/>
      <c r="DF5" s="1125"/>
      <c r="DG5" s="1125"/>
      <c r="DH5" s="1125"/>
      <c r="DI5" s="1125"/>
      <c r="DJ5" s="1125"/>
      <c r="DK5" s="1125"/>
      <c r="DL5" s="1125"/>
      <c r="DM5" s="1129"/>
      <c r="DN5" s="1130"/>
      <c r="DO5" s="1131"/>
      <c r="DP5" s="1132"/>
      <c r="DQ5" s="1125"/>
      <c r="DR5" s="1125"/>
      <c r="DS5" s="1133"/>
      <c r="DT5" s="1125"/>
      <c r="DU5" s="1134"/>
      <c r="DV5" s="1134"/>
      <c r="DW5" s="1134"/>
      <c r="DX5" s="1134"/>
      <c r="DY5" s="1134"/>
      <c r="DZ5" s="1134"/>
      <c r="EA5" s="1134"/>
      <c r="EB5" s="1134"/>
      <c r="EC5" s="1134"/>
      <c r="ED5" s="1125"/>
      <c r="EE5" s="1125"/>
      <c r="EF5" s="1125"/>
      <c r="EG5" s="1125"/>
      <c r="EH5" s="1125"/>
      <c r="EI5" s="1125"/>
      <c r="EJ5" s="1125"/>
      <c r="EK5" s="1125"/>
      <c r="EL5" s="1125"/>
      <c r="EM5" s="1135"/>
      <c r="EN5" s="1125"/>
      <c r="EO5" s="1135"/>
      <c r="EP5" s="1125"/>
      <c r="EQ5" s="1135"/>
      <c r="ER5" s="1125"/>
      <c r="ES5" s="1135"/>
      <c r="ET5" s="1125"/>
      <c r="EU5" s="1135"/>
      <c r="EV5" s="1125"/>
      <c r="EW5" s="1135"/>
      <c r="EX5" s="1125"/>
      <c r="EY5" s="1135"/>
      <c r="EZ5" s="1125"/>
      <c r="FA5" s="1135"/>
      <c r="FB5" s="1125"/>
      <c r="FC5" s="1125"/>
      <c r="FD5" s="1125"/>
      <c r="FE5" s="1125"/>
      <c r="FF5" s="1125"/>
      <c r="FG5" s="1125"/>
      <c r="FH5" s="1125"/>
      <c r="FI5" s="1125"/>
      <c r="FJ5" s="1125"/>
      <c r="FK5" s="1125"/>
      <c r="FL5" s="1125"/>
      <c r="FM5" s="1125"/>
      <c r="FN5" s="1125"/>
      <c r="FO5" s="1125"/>
      <c r="FP5" s="1125"/>
      <c r="FQ5" s="1125"/>
      <c r="FR5" s="1137"/>
      <c r="FS5" s="1092"/>
      <c r="FT5" s="1136"/>
      <c r="FU5" s="1092"/>
      <c r="FV5" s="1136"/>
      <c r="FW5" s="1092"/>
      <c r="FX5" s="1136"/>
      <c r="FY5" s="1092"/>
      <c r="FZ5" s="1125"/>
      <c r="GA5" s="1138"/>
      <c r="GB5" s="1125"/>
      <c r="GC5" s="1135"/>
      <c r="GD5" s="1139"/>
      <c r="GE5" s="1135"/>
      <c r="GF5" s="1140"/>
      <c r="GG5" s="1140"/>
      <c r="GH5" s="1104" t="s">
        <v>583</v>
      </c>
      <c r="GI5" s="1105" t="s">
        <v>584</v>
      </c>
      <c r="GJ5" s="1105" t="s">
        <v>585</v>
      </c>
      <c r="GK5" s="1106">
        <v>4038</v>
      </c>
    </row>
    <row r="6" spans="1:193">
      <c r="B6" s="1103" t="s">
        <v>583</v>
      </c>
      <c r="C6" s="1098"/>
      <c r="D6" s="1098"/>
      <c r="E6" s="1076"/>
      <c r="F6" s="856"/>
      <c r="G6" s="936"/>
      <c r="H6" s="3"/>
      <c r="I6" s="1469"/>
      <c r="J6" s="1109">
        <v>2</v>
      </c>
      <c r="K6" s="1089" t="s">
        <v>1709</v>
      </c>
      <c r="L6" s="1089" t="s">
        <v>1710</v>
      </c>
      <c r="M6" s="1102">
        <v>45992</v>
      </c>
      <c r="N6" s="1110">
        <v>1</v>
      </c>
      <c r="O6" s="1111" t="s">
        <v>1041</v>
      </c>
      <c r="P6" s="1090" t="s">
        <v>1727</v>
      </c>
      <c r="Q6" s="1089" t="s">
        <v>1711</v>
      </c>
      <c r="R6" s="1089"/>
      <c r="S6" s="1089">
        <f>38*2</f>
        <v>76</v>
      </c>
      <c r="T6" s="1089"/>
      <c r="U6" s="1089">
        <v>71.3</v>
      </c>
      <c r="V6" s="1089">
        <v>71.5</v>
      </c>
      <c r="W6" s="1110">
        <v>71</v>
      </c>
      <c r="X6" s="1110">
        <v>71.7</v>
      </c>
      <c r="Y6" s="1114"/>
      <c r="Z6" s="1114"/>
      <c r="AA6" s="1114"/>
      <c r="AB6" s="1114"/>
      <c r="AC6" s="851"/>
      <c r="AD6" s="851"/>
      <c r="AE6" s="851"/>
      <c r="AF6" s="851"/>
      <c r="AG6" s="1115"/>
      <c r="AH6" s="1115"/>
      <c r="AI6" s="1115"/>
      <c r="AJ6" s="1115"/>
      <c r="AK6" s="1116">
        <v>304.12</v>
      </c>
      <c r="AL6" s="1110">
        <v>299</v>
      </c>
      <c r="AM6" s="1110" t="s">
        <v>1728</v>
      </c>
      <c r="AN6" s="1117">
        <f t="shared" si="0"/>
        <v>101.7123745819398</v>
      </c>
      <c r="AO6" s="1116">
        <v>5.08</v>
      </c>
      <c r="AP6" s="1116">
        <v>5.04</v>
      </c>
      <c r="AQ6" s="1114"/>
      <c r="AR6" s="1114"/>
      <c r="AS6" s="1118">
        <f t="shared" si="1"/>
        <v>5.0600000000000005</v>
      </c>
      <c r="AT6" s="1119">
        <v>19.600000000000001</v>
      </c>
      <c r="AU6" s="1119">
        <v>19.3</v>
      </c>
      <c r="AV6" s="1114"/>
      <c r="AW6" s="1114"/>
      <c r="AX6" s="1119">
        <v>11.4</v>
      </c>
      <c r="AY6" s="1120">
        <v>11.1</v>
      </c>
      <c r="AZ6" s="1114"/>
      <c r="BA6" s="1114"/>
      <c r="BB6" s="1119">
        <v>84</v>
      </c>
      <c r="BC6" s="1119">
        <v>81.599999999999994</v>
      </c>
      <c r="BD6" s="1119">
        <v>81.8</v>
      </c>
      <c r="BE6" s="1119">
        <v>83</v>
      </c>
      <c r="BF6" s="1114"/>
      <c r="BG6" s="1114"/>
      <c r="BH6" s="1114"/>
      <c r="BI6" s="1114"/>
      <c r="BJ6" s="1119">
        <v>37.200000000000003</v>
      </c>
      <c r="BK6" s="1119">
        <v>35.5</v>
      </c>
      <c r="BL6" s="1119">
        <v>37.1</v>
      </c>
      <c r="BM6" s="1119">
        <v>35.4</v>
      </c>
      <c r="BN6" s="1114"/>
      <c r="BO6" s="1114"/>
      <c r="BP6" s="1114"/>
      <c r="BQ6" s="1114"/>
      <c r="BR6" s="1110">
        <v>6</v>
      </c>
      <c r="BS6" s="1110">
        <v>13</v>
      </c>
      <c r="BT6" s="1110">
        <v>4</v>
      </c>
      <c r="BU6" s="1110">
        <v>79</v>
      </c>
      <c r="BV6" s="1110">
        <v>6</v>
      </c>
      <c r="BW6" s="1110">
        <v>27</v>
      </c>
      <c r="BX6" s="1110">
        <v>4</v>
      </c>
      <c r="BY6" s="1110">
        <v>93</v>
      </c>
      <c r="BZ6" s="1114"/>
      <c r="CA6" s="1114"/>
      <c r="CB6" s="1114"/>
      <c r="CC6" s="1114"/>
      <c r="CD6" s="1121">
        <f t="shared" si="2"/>
        <v>6.2166666666666668</v>
      </c>
      <c r="CE6" s="1117">
        <f t="shared" si="3"/>
        <v>5.3166666666666664</v>
      </c>
      <c r="CF6" s="1117">
        <f t="shared" si="4"/>
        <v>6.45</v>
      </c>
      <c r="CG6" s="1117">
        <f t="shared" si="5"/>
        <v>5.55</v>
      </c>
      <c r="CH6" s="1114"/>
      <c r="CI6" s="1114"/>
      <c r="CJ6" s="1114"/>
      <c r="CK6" s="1114"/>
      <c r="CL6" s="1110">
        <v>52</v>
      </c>
      <c r="CM6" s="1122">
        <v>1.5</v>
      </c>
      <c r="CN6" s="1116" t="s">
        <v>1710</v>
      </c>
      <c r="CO6" s="1123">
        <v>45993</v>
      </c>
      <c r="CP6" s="1090" t="s">
        <v>1547</v>
      </c>
      <c r="CQ6" s="1116">
        <v>319.60000000000002</v>
      </c>
      <c r="CR6" s="1119">
        <v>315</v>
      </c>
      <c r="CS6" s="1119" t="s">
        <v>1729</v>
      </c>
      <c r="CT6" s="1088">
        <f t="shared" si="6"/>
        <v>101.46031746031747</v>
      </c>
      <c r="CU6" s="1116">
        <v>4.5199999999999996</v>
      </c>
      <c r="CV6" s="1032" t="s">
        <v>62</v>
      </c>
      <c r="CW6" s="1125" t="s">
        <v>1730</v>
      </c>
      <c r="CX6" s="1126" t="s">
        <v>1710</v>
      </c>
      <c r="CY6" s="1127" t="s">
        <v>1736</v>
      </c>
      <c r="CZ6" s="773" t="s">
        <v>1718</v>
      </c>
      <c r="DA6" s="1125" t="s">
        <v>932</v>
      </c>
      <c r="DB6" s="1128" t="s">
        <v>1737</v>
      </c>
      <c r="DC6" s="1125" t="s">
        <v>1713</v>
      </c>
      <c r="DD6" s="1125">
        <f t="shared" ref="DD6:DD12" si="11">50*4</f>
        <v>200</v>
      </c>
      <c r="DE6" s="1125">
        <v>70.7</v>
      </c>
      <c r="DF6" s="1125">
        <v>71.099999999999994</v>
      </c>
      <c r="DG6" s="1125">
        <v>70.599999999999994</v>
      </c>
      <c r="DH6" s="1125">
        <v>71.2</v>
      </c>
      <c r="DI6" s="1125">
        <v>71</v>
      </c>
      <c r="DJ6" s="1125">
        <v>71.400000000000006</v>
      </c>
      <c r="DK6" s="1125">
        <v>71.3</v>
      </c>
      <c r="DL6" s="1125">
        <v>71.5</v>
      </c>
      <c r="DM6" s="1129">
        <v>533.29999999999995</v>
      </c>
      <c r="DN6" s="1130">
        <v>531.53</v>
      </c>
      <c r="DO6" s="1131" t="s">
        <v>1734</v>
      </c>
      <c r="DP6" s="1132">
        <f>DM6/DN6*100</f>
        <v>100.33300095949429</v>
      </c>
      <c r="DQ6" s="1125">
        <v>3.15</v>
      </c>
      <c r="DR6" s="1125">
        <v>3.42</v>
      </c>
      <c r="DS6" s="1133">
        <v>3.17</v>
      </c>
      <c r="DT6" s="1125">
        <v>3.26</v>
      </c>
      <c r="DU6" s="1134">
        <f>AVERAGE(DQ6:DT6)</f>
        <v>3.25</v>
      </c>
      <c r="DV6" s="1134"/>
      <c r="DW6" s="1134"/>
      <c r="DX6" s="1134"/>
      <c r="DY6" s="1134"/>
      <c r="DZ6" s="1134"/>
      <c r="EA6" s="1134"/>
      <c r="EB6" s="1134"/>
      <c r="EC6" s="1134"/>
      <c r="ED6" s="1125">
        <v>18.600000000000001</v>
      </c>
      <c r="EE6" s="1125">
        <v>18.5</v>
      </c>
      <c r="EF6" s="1125">
        <v>18.5</v>
      </c>
      <c r="EG6" s="1125">
        <v>19.899999999999999</v>
      </c>
      <c r="EH6" s="1125">
        <v>10.5</v>
      </c>
      <c r="EI6" s="1125">
        <v>11</v>
      </c>
      <c r="EJ6" s="1125">
        <v>11.1</v>
      </c>
      <c r="EK6" s="1125">
        <v>11.6</v>
      </c>
      <c r="EL6" s="1125">
        <v>85.2</v>
      </c>
      <c r="EM6" s="1135"/>
      <c r="EN6" s="1125">
        <v>84.3</v>
      </c>
      <c r="EO6" s="1135"/>
      <c r="EP6" s="1125">
        <v>78.599999999999994</v>
      </c>
      <c r="EQ6" s="1135"/>
      <c r="ER6" s="1125">
        <v>84.6</v>
      </c>
      <c r="ES6" s="1135"/>
      <c r="ET6" s="1125">
        <v>40.1</v>
      </c>
      <c r="EU6" s="1135"/>
      <c r="EV6" s="1125">
        <v>40.299999999999997</v>
      </c>
      <c r="EW6" s="1135"/>
      <c r="EX6" s="1125">
        <v>40.200000000000003</v>
      </c>
      <c r="EY6" s="1135"/>
      <c r="EZ6" s="1125">
        <v>39.799999999999997</v>
      </c>
      <c r="FA6" s="1135"/>
      <c r="FB6" s="1125">
        <v>32</v>
      </c>
      <c r="FC6" s="1125">
        <v>13</v>
      </c>
      <c r="FD6" s="1125">
        <v>31</v>
      </c>
      <c r="FE6" s="1125">
        <v>27</v>
      </c>
      <c r="FF6" s="1125">
        <v>32</v>
      </c>
      <c r="FG6" s="1125">
        <v>18</v>
      </c>
      <c r="FH6" s="1125">
        <v>32</v>
      </c>
      <c r="FI6" s="1125">
        <v>8</v>
      </c>
      <c r="FJ6" s="1125"/>
      <c r="FK6" s="1125"/>
      <c r="FL6" s="1125"/>
      <c r="FM6" s="1125"/>
      <c r="FN6" s="1125"/>
      <c r="FO6" s="1125"/>
      <c r="FP6" s="1125"/>
      <c r="FQ6" s="1125"/>
      <c r="FR6" s="1137">
        <f>FB6+(FC6/60)</f>
        <v>32.216666666666669</v>
      </c>
      <c r="FS6" s="1092"/>
      <c r="FT6" s="1136">
        <f>FD6+(FE6/60)</f>
        <v>31.45</v>
      </c>
      <c r="FU6" s="1092"/>
      <c r="FV6" s="1136">
        <f>FF6+(FG6/60)</f>
        <v>32.299999999999997</v>
      </c>
      <c r="FW6" s="1092"/>
      <c r="FX6" s="1136">
        <f>FH6+(FI6/60)</f>
        <v>32.133333333333333</v>
      </c>
      <c r="FY6" s="1092"/>
      <c r="FZ6" s="1125">
        <v>52</v>
      </c>
      <c r="GA6" s="1138">
        <v>1.5</v>
      </c>
      <c r="GB6" s="1125" t="s">
        <v>62</v>
      </c>
      <c r="GC6" s="1135"/>
      <c r="GD6" s="1139"/>
      <c r="GE6" s="1135"/>
      <c r="GF6" s="1140"/>
      <c r="GG6" s="1140"/>
      <c r="GH6" s="1103" t="s">
        <v>583</v>
      </c>
      <c r="GI6" s="1098" t="s">
        <v>584</v>
      </c>
      <c r="GJ6" s="1098" t="s">
        <v>585</v>
      </c>
      <c r="GK6" s="1076">
        <v>4038</v>
      </c>
    </row>
    <row r="7" spans="1:193">
      <c r="B7" s="1104" t="s">
        <v>583</v>
      </c>
      <c r="C7" s="1105"/>
      <c r="D7" s="1105"/>
      <c r="E7" s="1106"/>
      <c r="F7" s="1107"/>
      <c r="G7" s="1108"/>
      <c r="H7" s="807"/>
      <c r="I7" s="1438"/>
      <c r="J7" s="1109"/>
      <c r="K7" s="1089" t="s">
        <v>1709</v>
      </c>
      <c r="L7" s="1089" t="s">
        <v>1710</v>
      </c>
      <c r="M7" s="1102">
        <v>46017</v>
      </c>
      <c r="N7" s="1110">
        <v>1</v>
      </c>
      <c r="O7" s="1111" t="s">
        <v>1041</v>
      </c>
      <c r="P7" s="1090" t="s">
        <v>1719</v>
      </c>
      <c r="Q7" s="1089" t="s">
        <v>1735</v>
      </c>
      <c r="R7" s="1089"/>
      <c r="S7" s="1089">
        <f>54+50</f>
        <v>104</v>
      </c>
      <c r="T7" s="1089"/>
      <c r="U7" s="1089">
        <v>80.3</v>
      </c>
      <c r="V7" s="1089">
        <v>80.8</v>
      </c>
      <c r="W7" s="1110"/>
      <c r="X7" s="1110"/>
      <c r="Y7" s="1114"/>
      <c r="Z7" s="1114"/>
      <c r="AA7" s="1114"/>
      <c r="AB7" s="1114"/>
      <c r="AC7" s="851"/>
      <c r="AD7" s="851"/>
      <c r="AE7" s="851"/>
      <c r="AF7" s="851"/>
      <c r="AG7" s="1115"/>
      <c r="AH7" s="1115"/>
      <c r="AI7" s="1115"/>
      <c r="AJ7" s="1115"/>
      <c r="AK7" s="1116">
        <v>283.64</v>
      </c>
      <c r="AL7" s="1110">
        <v>299</v>
      </c>
      <c r="AM7" s="1110" t="s">
        <v>1728</v>
      </c>
      <c r="AN7" s="1117">
        <f t="shared" si="0"/>
        <v>94.862876254180591</v>
      </c>
      <c r="AO7" s="1116">
        <v>4.9400000000000004</v>
      </c>
      <c r="AP7" s="1116">
        <v>50.01</v>
      </c>
      <c r="AQ7" s="1114"/>
      <c r="AR7" s="1114"/>
      <c r="AS7" s="1118">
        <f t="shared" si="1"/>
        <v>27.474999999999998</v>
      </c>
      <c r="AT7" s="1119">
        <v>20.5</v>
      </c>
      <c r="AU7" s="1119">
        <v>20</v>
      </c>
      <c r="AV7" s="1114"/>
      <c r="AW7" s="1114"/>
      <c r="AX7" s="1119">
        <v>10.4</v>
      </c>
      <c r="AY7" s="1120">
        <v>10.8</v>
      </c>
      <c r="AZ7" s="1114"/>
      <c r="BA7" s="1114"/>
      <c r="BB7" s="1119">
        <v>84.2</v>
      </c>
      <c r="BC7" s="1119">
        <v>82.2</v>
      </c>
      <c r="BD7" s="1119"/>
      <c r="BE7" s="1119"/>
      <c r="BF7" s="1114"/>
      <c r="BG7" s="1114"/>
      <c r="BH7" s="1114"/>
      <c r="BI7" s="1114"/>
      <c r="BJ7" s="1119">
        <v>44.2</v>
      </c>
      <c r="BK7" s="1119">
        <v>44</v>
      </c>
      <c r="BL7" s="1119"/>
      <c r="BM7" s="1119"/>
      <c r="BN7" s="1114"/>
      <c r="BO7" s="1114"/>
      <c r="BP7" s="1114"/>
      <c r="BQ7" s="1114"/>
      <c r="BR7" s="1110">
        <v>1</v>
      </c>
      <c r="BS7" s="1110">
        <v>20</v>
      </c>
      <c r="BT7" s="1110">
        <v>45</v>
      </c>
      <c r="BU7" s="1110">
        <v>10</v>
      </c>
      <c r="BV7" s="1110"/>
      <c r="BW7" s="1110"/>
      <c r="BX7" s="1110"/>
      <c r="BY7" s="1110"/>
      <c r="BZ7" s="1114"/>
      <c r="CA7" s="1114"/>
      <c r="CB7" s="1114"/>
      <c r="CC7" s="1114"/>
      <c r="CD7" s="1121">
        <f t="shared" si="2"/>
        <v>1.3333333333333333</v>
      </c>
      <c r="CE7" s="1117">
        <f t="shared" si="3"/>
        <v>45.166666666666664</v>
      </c>
      <c r="CF7" s="1117">
        <f t="shared" si="4"/>
        <v>0</v>
      </c>
      <c r="CG7" s="1117">
        <f t="shared" si="5"/>
        <v>0</v>
      </c>
      <c r="CH7" s="1114"/>
      <c r="CI7" s="1114"/>
      <c r="CJ7" s="1114"/>
      <c r="CK7" s="1114"/>
      <c r="CL7" s="1110">
        <v>52</v>
      </c>
      <c r="CM7" s="1122">
        <v>1.5</v>
      </c>
      <c r="CN7" s="1116" t="s">
        <v>1710</v>
      </c>
      <c r="CO7" s="1123">
        <v>46017</v>
      </c>
      <c r="CP7" s="1090" t="s">
        <v>1547</v>
      </c>
      <c r="CQ7" s="1116">
        <v>299.2</v>
      </c>
      <c r="CR7" s="1119">
        <v>315</v>
      </c>
      <c r="CS7" s="1119" t="s">
        <v>1729</v>
      </c>
      <c r="CT7" s="1088">
        <f t="shared" si="6"/>
        <v>94.984126984126988</v>
      </c>
      <c r="CU7" s="1116">
        <v>4.6100000000000003</v>
      </c>
      <c r="CV7" s="1032" t="s">
        <v>62</v>
      </c>
      <c r="CW7" s="1125" t="s">
        <v>1730</v>
      </c>
      <c r="CX7" s="1126"/>
      <c r="CY7" s="1127"/>
      <c r="CZ7" s="773"/>
      <c r="DA7" s="1125"/>
      <c r="DB7" s="1128"/>
      <c r="DC7" s="1125"/>
      <c r="DD7" s="1125"/>
      <c r="DE7" s="1125"/>
      <c r="DF7" s="1125"/>
      <c r="DG7" s="1125"/>
      <c r="DH7" s="1125"/>
      <c r="DI7" s="1125"/>
      <c r="DJ7" s="1125"/>
      <c r="DK7" s="1125"/>
      <c r="DL7" s="1125"/>
      <c r="DM7" s="1129"/>
      <c r="DN7" s="1130"/>
      <c r="DO7" s="1131"/>
      <c r="DP7" s="1132"/>
      <c r="DQ7" s="1125"/>
      <c r="DR7" s="1125"/>
      <c r="DS7" s="1133"/>
      <c r="DT7" s="1125"/>
      <c r="DU7" s="1134"/>
      <c r="DV7" s="1134"/>
      <c r="DW7" s="1134"/>
      <c r="DX7" s="1134"/>
      <c r="DY7" s="1134"/>
      <c r="DZ7" s="1134"/>
      <c r="EA7" s="1134"/>
      <c r="EB7" s="1134"/>
      <c r="EC7" s="1134"/>
      <c r="ED7" s="1125"/>
      <c r="EE7" s="1125"/>
      <c r="EF7" s="1125"/>
      <c r="EG7" s="1125"/>
      <c r="EH7" s="1125"/>
      <c r="EI7" s="1125"/>
      <c r="EJ7" s="1125"/>
      <c r="EK7" s="1125"/>
      <c r="EL7" s="1125"/>
      <c r="EM7" s="1135"/>
      <c r="EN7" s="1125"/>
      <c r="EO7" s="1135"/>
      <c r="EP7" s="1125"/>
      <c r="EQ7" s="1135"/>
      <c r="ER7" s="1125"/>
      <c r="ES7" s="1135"/>
      <c r="ET7" s="1125"/>
      <c r="EU7" s="1135"/>
      <c r="EV7" s="1125"/>
      <c r="EW7" s="1135"/>
      <c r="EX7" s="1125"/>
      <c r="EY7" s="1135"/>
      <c r="EZ7" s="1125"/>
      <c r="FA7" s="1135"/>
      <c r="FB7" s="1125"/>
      <c r="FC7" s="1125"/>
      <c r="FD7" s="1125"/>
      <c r="FE7" s="1125"/>
      <c r="FF7" s="1125"/>
      <c r="FG7" s="1125"/>
      <c r="FH7" s="1125"/>
      <c r="FI7" s="1125"/>
      <c r="FJ7" s="1125"/>
      <c r="FK7" s="1125"/>
      <c r="FL7" s="1125"/>
      <c r="FM7" s="1125"/>
      <c r="FN7" s="1125"/>
      <c r="FO7" s="1125"/>
      <c r="FP7" s="1125"/>
      <c r="FQ7" s="1125"/>
      <c r="FR7" s="1137"/>
      <c r="FS7" s="1092"/>
      <c r="FT7" s="1136"/>
      <c r="FU7" s="1092"/>
      <c r="FV7" s="1136"/>
      <c r="FW7" s="1092"/>
      <c r="FX7" s="1136"/>
      <c r="FY7" s="1092"/>
      <c r="FZ7" s="1125"/>
      <c r="GA7" s="1138"/>
      <c r="GB7" s="1125"/>
      <c r="GC7" s="1135"/>
      <c r="GD7" s="1139"/>
      <c r="GE7" s="1135"/>
      <c r="GF7" s="1140"/>
      <c r="GG7" s="1140"/>
      <c r="GH7" s="1104" t="s">
        <v>583</v>
      </c>
      <c r="GI7" s="1105" t="s">
        <v>584</v>
      </c>
      <c r="GJ7" s="1105" t="s">
        <v>585</v>
      </c>
      <c r="GK7" s="1106">
        <v>4038</v>
      </c>
    </row>
    <row r="8" spans="1:193">
      <c r="B8" s="1103" t="s">
        <v>583</v>
      </c>
      <c r="C8" s="1098"/>
      <c r="D8" s="1098"/>
      <c r="E8" s="1076"/>
      <c r="F8" s="856"/>
      <c r="G8" s="936"/>
      <c r="H8" s="4"/>
      <c r="I8" s="1469"/>
      <c r="J8" s="1109">
        <v>3</v>
      </c>
      <c r="K8" s="1089" t="s">
        <v>1709</v>
      </c>
      <c r="L8" s="1089" t="s">
        <v>1710</v>
      </c>
      <c r="M8" s="1102">
        <v>46008</v>
      </c>
      <c r="N8" s="1110">
        <v>1</v>
      </c>
      <c r="O8" s="1111" t="s">
        <v>1041</v>
      </c>
      <c r="P8" s="1090" t="s">
        <v>1727</v>
      </c>
      <c r="Q8" s="1089" t="s">
        <v>1717</v>
      </c>
      <c r="R8" s="1089"/>
      <c r="S8" s="1089">
        <f>38*2</f>
        <v>76</v>
      </c>
      <c r="T8" s="1089"/>
      <c r="U8" s="1089">
        <v>72.5</v>
      </c>
      <c r="V8" s="1089">
        <v>71.400000000000006</v>
      </c>
      <c r="W8" s="1110">
        <v>70.2</v>
      </c>
      <c r="X8" s="1110">
        <v>73.099999999999994</v>
      </c>
      <c r="Y8" s="1114"/>
      <c r="Z8" s="1114"/>
      <c r="AA8" s="1114"/>
      <c r="AB8" s="1114"/>
      <c r="AC8" s="851"/>
      <c r="AD8" s="851"/>
      <c r="AE8" s="851"/>
      <c r="AF8" s="851"/>
      <c r="AG8" s="1115"/>
      <c r="AH8" s="1115"/>
      <c r="AI8" s="1115"/>
      <c r="AJ8" s="1115"/>
      <c r="AK8" s="1116">
        <f>149.19+155.52</f>
        <v>304.71000000000004</v>
      </c>
      <c r="AL8" s="1110">
        <v>299</v>
      </c>
      <c r="AM8" s="1110" t="s">
        <v>1728</v>
      </c>
      <c r="AN8" s="1117">
        <f t="shared" si="0"/>
        <v>101.90969899665554</v>
      </c>
      <c r="AO8" s="1116">
        <v>4.83</v>
      </c>
      <c r="AP8" s="1116">
        <v>5.0599999999999996</v>
      </c>
      <c r="AQ8" s="1114"/>
      <c r="AR8" s="1114"/>
      <c r="AS8" s="1118">
        <f t="shared" si="1"/>
        <v>4.9450000000000003</v>
      </c>
      <c r="AT8" s="1119">
        <v>20.6</v>
      </c>
      <c r="AU8" s="1119">
        <v>20.3</v>
      </c>
      <c r="AV8" s="1114"/>
      <c r="AW8" s="1114"/>
      <c r="AX8" s="1119">
        <v>12.1</v>
      </c>
      <c r="AY8" s="1120">
        <v>11.9</v>
      </c>
      <c r="AZ8" s="1114"/>
      <c r="BA8" s="1114"/>
      <c r="BB8" s="1119">
        <v>84.4</v>
      </c>
      <c r="BC8" s="1119">
        <v>82.5</v>
      </c>
      <c r="BD8" s="1119">
        <v>84.2</v>
      </c>
      <c r="BE8" s="1119">
        <v>82</v>
      </c>
      <c r="BF8" s="1114"/>
      <c r="BG8" s="1114"/>
      <c r="BH8" s="1114"/>
      <c r="BI8" s="1114"/>
      <c r="BJ8" s="1119">
        <v>41.8</v>
      </c>
      <c r="BK8" s="1119">
        <v>39.799999999999997</v>
      </c>
      <c r="BL8" s="1119">
        <v>41.5</v>
      </c>
      <c r="BM8" s="1119">
        <v>38.700000000000003</v>
      </c>
      <c r="BN8" s="1114"/>
      <c r="BO8" s="1114"/>
      <c r="BP8" s="1114"/>
      <c r="BQ8" s="1114"/>
      <c r="BR8" s="1110">
        <v>15</v>
      </c>
      <c r="BS8" s="1110">
        <v>50</v>
      </c>
      <c r="BT8" s="1110">
        <v>3</v>
      </c>
      <c r="BU8" s="1110">
        <v>30</v>
      </c>
      <c r="BV8" s="1110">
        <v>15</v>
      </c>
      <c r="BW8" s="1110">
        <v>20</v>
      </c>
      <c r="BX8" s="1110">
        <v>2</v>
      </c>
      <c r="BY8" s="1110">
        <v>40</v>
      </c>
      <c r="BZ8" s="1114"/>
      <c r="CA8" s="1114"/>
      <c r="CB8" s="1114"/>
      <c r="CC8" s="1114"/>
      <c r="CD8" s="1121">
        <f t="shared" si="2"/>
        <v>15.833333333333334</v>
      </c>
      <c r="CE8" s="1117">
        <f t="shared" si="3"/>
        <v>3.5</v>
      </c>
      <c r="CF8" s="1117">
        <f t="shared" si="4"/>
        <v>15.333333333333334</v>
      </c>
      <c r="CG8" s="1117">
        <f t="shared" si="5"/>
        <v>2.6666666666666665</v>
      </c>
      <c r="CH8" s="1114"/>
      <c r="CI8" s="1114"/>
      <c r="CJ8" s="1114"/>
      <c r="CK8" s="1114"/>
      <c r="CL8" s="1110">
        <v>52</v>
      </c>
      <c r="CM8" s="1122">
        <v>1.5</v>
      </c>
      <c r="CN8" s="1116" t="s">
        <v>1710</v>
      </c>
      <c r="CO8" s="1123">
        <v>46003</v>
      </c>
      <c r="CP8" s="1090" t="s">
        <v>1547</v>
      </c>
      <c r="CQ8" s="1116">
        <v>320.7</v>
      </c>
      <c r="CR8" s="1119">
        <v>315</v>
      </c>
      <c r="CS8" s="1119" t="s">
        <v>1729</v>
      </c>
      <c r="CT8" s="1088">
        <f t="shared" si="6"/>
        <v>101.80952380952381</v>
      </c>
      <c r="CU8" s="1116">
        <v>4.84</v>
      </c>
      <c r="CV8" s="1032" t="s">
        <v>62</v>
      </c>
      <c r="CW8" s="1125" t="s">
        <v>1730</v>
      </c>
      <c r="CX8" s="1126" t="s">
        <v>1710</v>
      </c>
      <c r="CY8" s="1127" t="s">
        <v>1738</v>
      </c>
      <c r="CZ8" s="773" t="s">
        <v>1718</v>
      </c>
      <c r="DA8" s="1125" t="s">
        <v>932</v>
      </c>
      <c r="DB8" s="1128" t="s">
        <v>1739</v>
      </c>
      <c r="DC8" s="1125" t="s">
        <v>1717</v>
      </c>
      <c r="DD8" s="1125">
        <f t="shared" si="11"/>
        <v>200</v>
      </c>
      <c r="DE8" s="1125">
        <v>71.5</v>
      </c>
      <c r="DF8" s="1125">
        <v>72.2</v>
      </c>
      <c r="DG8" s="1125">
        <v>72.3</v>
      </c>
      <c r="DH8" s="1125">
        <v>71.5</v>
      </c>
      <c r="DI8" s="1125">
        <v>70.5</v>
      </c>
      <c r="DJ8" s="1125">
        <v>70.7</v>
      </c>
      <c r="DK8" s="1125">
        <v>71.099999999999994</v>
      </c>
      <c r="DL8" s="1125">
        <v>71.3</v>
      </c>
      <c r="DM8" s="1129">
        <f>128.7+135.18+129.79+138.79</f>
        <v>532.45999999999992</v>
      </c>
      <c r="DN8" s="1130">
        <v>531.53</v>
      </c>
      <c r="DO8" s="1131" t="s">
        <v>1734</v>
      </c>
      <c r="DP8" s="1132">
        <f>DM8/DN8*100</f>
        <v>100.17496660583598</v>
      </c>
      <c r="DQ8" s="1125"/>
      <c r="DR8" s="1125"/>
      <c r="DS8" s="1133">
        <v>3.35</v>
      </c>
      <c r="DT8" s="1125">
        <v>3.34</v>
      </c>
      <c r="DU8" s="1134">
        <f>AVERAGE(DQ8:DT8)</f>
        <v>3.3449999999999998</v>
      </c>
      <c r="DV8" s="1134"/>
      <c r="DW8" s="1134"/>
      <c r="DX8" s="1134"/>
      <c r="DY8" s="1134"/>
      <c r="DZ8" s="1134"/>
      <c r="EA8" s="1134"/>
      <c r="EB8" s="1134"/>
      <c r="EC8" s="1134"/>
      <c r="ED8" s="1125"/>
      <c r="EE8" s="1125"/>
      <c r="EF8" s="1125">
        <v>18.7</v>
      </c>
      <c r="EG8" s="1125">
        <v>19.3</v>
      </c>
      <c r="EH8" s="1125"/>
      <c r="EI8" s="1125"/>
      <c r="EJ8" s="1125">
        <v>10.9</v>
      </c>
      <c r="EK8" s="1125">
        <v>11.1</v>
      </c>
      <c r="EL8" s="1125"/>
      <c r="EM8" s="1135"/>
      <c r="EN8" s="1125"/>
      <c r="EO8" s="1135"/>
      <c r="EP8" s="1136">
        <v>85</v>
      </c>
      <c r="EQ8" s="1135"/>
      <c r="ER8" s="1125">
        <v>84.9</v>
      </c>
      <c r="ES8" s="1135"/>
      <c r="ET8" s="1125"/>
      <c r="EU8" s="1135"/>
      <c r="EV8" s="1125"/>
      <c r="EW8" s="1135"/>
      <c r="EX8" s="1125">
        <v>40.4</v>
      </c>
      <c r="EY8" s="1135"/>
      <c r="EZ8" s="1125">
        <v>40.5</v>
      </c>
      <c r="FA8" s="1135"/>
      <c r="FB8" s="1125"/>
      <c r="FC8" s="1125"/>
      <c r="FD8" s="1125"/>
      <c r="FE8" s="1125"/>
      <c r="FF8" s="1125">
        <v>31</v>
      </c>
      <c r="FG8" s="1125">
        <v>30</v>
      </c>
      <c r="FH8" s="1125">
        <v>31</v>
      </c>
      <c r="FI8" s="1125">
        <v>33</v>
      </c>
      <c r="FJ8" s="1125"/>
      <c r="FK8" s="1125"/>
      <c r="FL8" s="1125"/>
      <c r="FM8" s="1125"/>
      <c r="FN8" s="1125"/>
      <c r="FO8" s="1125"/>
      <c r="FP8" s="1125"/>
      <c r="FQ8" s="1125"/>
      <c r="FR8" s="1137">
        <f>FB8+(FC8/60)</f>
        <v>0</v>
      </c>
      <c r="FS8" s="1092"/>
      <c r="FT8" s="1136">
        <f>FD8+(FE8/60)</f>
        <v>0</v>
      </c>
      <c r="FU8" s="1092"/>
      <c r="FV8" s="1136">
        <f>FF8+(FG8/60)</f>
        <v>31.5</v>
      </c>
      <c r="FW8" s="1092"/>
      <c r="FX8" s="1136">
        <f>FH8+(FI8/60)</f>
        <v>31.55</v>
      </c>
      <c r="FY8" s="1092"/>
      <c r="FZ8" s="1125">
        <v>52</v>
      </c>
      <c r="GA8" s="1138">
        <v>1.5</v>
      </c>
      <c r="GB8" s="1125" t="s">
        <v>62</v>
      </c>
      <c r="GC8" s="1135"/>
      <c r="GD8" s="1139"/>
      <c r="GE8" s="1135"/>
      <c r="GF8" s="1140"/>
      <c r="GG8" s="1140"/>
      <c r="GH8" s="1103" t="s">
        <v>583</v>
      </c>
      <c r="GI8" s="1098" t="s">
        <v>584</v>
      </c>
      <c r="GJ8" s="1098" t="s">
        <v>585</v>
      </c>
      <c r="GK8" s="1076" t="s">
        <v>125</v>
      </c>
    </row>
    <row r="9" spans="1:193">
      <c r="B9" s="1103" t="s">
        <v>583</v>
      </c>
      <c r="C9" s="1098"/>
      <c r="D9" s="1098"/>
      <c r="E9" s="1076"/>
      <c r="F9" s="856"/>
      <c r="G9" s="936"/>
      <c r="H9" s="4"/>
      <c r="I9" s="1469"/>
      <c r="J9" s="1109">
        <v>4</v>
      </c>
      <c r="K9" s="1089" t="s">
        <v>1709</v>
      </c>
      <c r="L9" s="1089" t="s">
        <v>1710</v>
      </c>
      <c r="M9" s="1102">
        <v>46008</v>
      </c>
      <c r="N9" s="1110">
        <v>1</v>
      </c>
      <c r="O9" s="1111" t="s">
        <v>1041</v>
      </c>
      <c r="P9" s="1090" t="s">
        <v>1740</v>
      </c>
      <c r="Q9" s="1089" t="s">
        <v>1717</v>
      </c>
      <c r="R9" s="1089"/>
      <c r="S9" s="1089">
        <f>38*2</f>
        <v>76</v>
      </c>
      <c r="T9" s="1089"/>
      <c r="U9" s="1089">
        <v>73.400000000000006</v>
      </c>
      <c r="V9" s="1089">
        <v>74.8</v>
      </c>
      <c r="W9" s="1110">
        <v>74.3</v>
      </c>
      <c r="X9" s="1110">
        <v>73.099999999999994</v>
      </c>
      <c r="Y9" s="1114"/>
      <c r="Z9" s="1114"/>
      <c r="AA9" s="1114"/>
      <c r="AB9" s="1114"/>
      <c r="AC9" s="851"/>
      <c r="AD9" s="851"/>
      <c r="AE9" s="851"/>
      <c r="AF9" s="851"/>
      <c r="AG9" s="1115"/>
      <c r="AH9" s="1115"/>
      <c r="AI9" s="1115"/>
      <c r="AJ9" s="1115"/>
      <c r="AK9" s="1116">
        <f>152.74+153.83</f>
        <v>306.57000000000005</v>
      </c>
      <c r="AL9" s="1110">
        <v>299</v>
      </c>
      <c r="AM9" s="1110" t="s">
        <v>1728</v>
      </c>
      <c r="AN9" s="1117">
        <f t="shared" si="0"/>
        <v>102.53177257525086</v>
      </c>
      <c r="AO9" s="1116">
        <v>5.07</v>
      </c>
      <c r="AP9" s="1116">
        <v>4.96</v>
      </c>
      <c r="AQ9" s="1114"/>
      <c r="AR9" s="1114"/>
      <c r="AS9" s="1118">
        <f t="shared" si="1"/>
        <v>5.0150000000000006</v>
      </c>
      <c r="AT9" s="1119">
        <v>20.2</v>
      </c>
      <c r="AU9" s="1119">
        <v>20.7</v>
      </c>
      <c r="AV9" s="1114"/>
      <c r="AW9" s="1114"/>
      <c r="AX9" s="1119">
        <v>11.9</v>
      </c>
      <c r="AY9" s="1120">
        <v>12.5</v>
      </c>
      <c r="AZ9" s="1114"/>
      <c r="BA9" s="1114"/>
      <c r="BB9" s="1119">
        <v>83.8</v>
      </c>
      <c r="BC9" s="1119">
        <v>81.8</v>
      </c>
      <c r="BD9" s="1119">
        <v>83.9</v>
      </c>
      <c r="BE9" s="1119">
        <v>81</v>
      </c>
      <c r="BF9" s="1114"/>
      <c r="BG9" s="1114"/>
      <c r="BH9" s="1114"/>
      <c r="BI9" s="1114"/>
      <c r="BJ9" s="1119">
        <v>40.9</v>
      </c>
      <c r="BK9" s="1119">
        <v>38.5</v>
      </c>
      <c r="BL9" s="1119">
        <v>40</v>
      </c>
      <c r="BM9" s="1119">
        <v>37.9</v>
      </c>
      <c r="BN9" s="1114"/>
      <c r="BO9" s="1114"/>
      <c r="BP9" s="1114"/>
      <c r="BQ9" s="1114"/>
      <c r="BR9" s="1110">
        <v>15</v>
      </c>
      <c r="BS9" s="1110">
        <v>23</v>
      </c>
      <c r="BT9" s="1110">
        <v>2</v>
      </c>
      <c r="BU9" s="1110">
        <v>38</v>
      </c>
      <c r="BV9" s="1110">
        <v>16</v>
      </c>
      <c r="BW9" s="1110">
        <v>5</v>
      </c>
      <c r="BX9" s="1110">
        <v>2</v>
      </c>
      <c r="BY9" s="1110">
        <v>30</v>
      </c>
      <c r="BZ9" s="1114"/>
      <c r="CA9" s="1114"/>
      <c r="CB9" s="1114"/>
      <c r="CC9" s="1114"/>
      <c r="CD9" s="1121">
        <f t="shared" si="2"/>
        <v>15.383333333333333</v>
      </c>
      <c r="CE9" s="1117">
        <f t="shared" si="3"/>
        <v>2.6333333333333333</v>
      </c>
      <c r="CF9" s="1117">
        <f t="shared" si="4"/>
        <v>16.083333333333332</v>
      </c>
      <c r="CG9" s="1117">
        <f t="shared" si="5"/>
        <v>2.5</v>
      </c>
      <c r="CH9" s="1114"/>
      <c r="CI9" s="1114"/>
      <c r="CJ9" s="1114"/>
      <c r="CK9" s="1114"/>
      <c r="CL9" s="1110">
        <v>52</v>
      </c>
      <c r="CM9" s="1122">
        <v>1.5</v>
      </c>
      <c r="CN9" s="1116" t="s">
        <v>1710</v>
      </c>
      <c r="CO9" s="1123">
        <v>46009</v>
      </c>
      <c r="CP9" s="1090" t="s">
        <v>1547</v>
      </c>
      <c r="CQ9" s="1116">
        <v>322.60000000000002</v>
      </c>
      <c r="CR9" s="1119">
        <v>315</v>
      </c>
      <c r="CS9" s="1119" t="s">
        <v>1729</v>
      </c>
      <c r="CT9" s="1088">
        <f t="shared" si="6"/>
        <v>102.41269841269842</v>
      </c>
      <c r="CU9" s="1116">
        <v>4.71</v>
      </c>
      <c r="CV9" s="1032" t="s">
        <v>62</v>
      </c>
      <c r="CW9" s="1125" t="s">
        <v>1730</v>
      </c>
      <c r="CX9" s="1126" t="s">
        <v>1710</v>
      </c>
      <c r="CY9" s="1127">
        <v>46009</v>
      </c>
      <c r="CZ9" s="773">
        <v>1</v>
      </c>
      <c r="DA9" s="1125" t="s">
        <v>932</v>
      </c>
      <c r="DB9" s="1128" t="s">
        <v>1741</v>
      </c>
      <c r="DC9" s="1125" t="s">
        <v>1717</v>
      </c>
      <c r="DD9" s="1125">
        <f t="shared" si="11"/>
        <v>200</v>
      </c>
      <c r="DE9" s="1125">
        <v>71.599999999999994</v>
      </c>
      <c r="DF9" s="1125">
        <v>71.400000000000006</v>
      </c>
      <c r="DG9" s="1125">
        <v>71.400000000000006</v>
      </c>
      <c r="DH9" s="1125">
        <v>71.5</v>
      </c>
      <c r="DI9" s="1125">
        <v>72.3</v>
      </c>
      <c r="DJ9" s="1125">
        <v>71.900000000000006</v>
      </c>
      <c r="DK9" s="1125">
        <v>71.8</v>
      </c>
      <c r="DL9" s="1125">
        <v>72.400000000000006</v>
      </c>
      <c r="DM9" s="1129">
        <v>539.27</v>
      </c>
      <c r="DN9" s="1130">
        <v>531.53</v>
      </c>
      <c r="DO9" s="1131" t="s">
        <v>1734</v>
      </c>
      <c r="DP9" s="1132">
        <f>DM9/DN9*100</f>
        <v>101.45617368728013</v>
      </c>
      <c r="DQ9" s="1125">
        <v>3.2</v>
      </c>
      <c r="DR9" s="1125">
        <v>3.5</v>
      </c>
      <c r="DS9" s="1133">
        <v>3.32</v>
      </c>
      <c r="DT9" s="1125">
        <v>3.45</v>
      </c>
      <c r="DU9" s="1134">
        <f>AVERAGE(DQ9:DT9)</f>
        <v>3.3674999999999997</v>
      </c>
      <c r="DV9" s="1134"/>
      <c r="DW9" s="1134"/>
      <c r="DX9" s="1134"/>
      <c r="DY9" s="1134"/>
      <c r="DZ9" s="1134"/>
      <c r="EA9" s="1134"/>
      <c r="EB9" s="1134"/>
      <c r="EC9" s="1134"/>
      <c r="ED9" s="1125">
        <v>19.3</v>
      </c>
      <c r="EE9" s="1125">
        <v>19.2</v>
      </c>
      <c r="EF9" s="1125">
        <v>19.5</v>
      </c>
      <c r="EG9" s="1125">
        <v>19.5</v>
      </c>
      <c r="EH9" s="1125">
        <v>11.3</v>
      </c>
      <c r="EI9" s="1125">
        <v>11</v>
      </c>
      <c r="EJ9" s="1125">
        <v>11.4</v>
      </c>
      <c r="EK9" s="1125">
        <v>11.6</v>
      </c>
      <c r="EL9" s="1125">
        <v>85.2</v>
      </c>
      <c r="EM9" s="1135"/>
      <c r="EN9" s="1125">
        <v>84.8</v>
      </c>
      <c r="EO9" s="1135"/>
      <c r="EP9" s="1125">
        <v>84.9</v>
      </c>
      <c r="EQ9" s="1135"/>
      <c r="ER9" s="1125">
        <v>83.8</v>
      </c>
      <c r="ES9" s="1135"/>
      <c r="ET9" s="1125">
        <v>40.4</v>
      </c>
      <c r="EU9" s="1135"/>
      <c r="EV9" s="1125">
        <v>39.9</v>
      </c>
      <c r="EW9" s="1135"/>
      <c r="EX9" s="1125">
        <v>40.200000000000003</v>
      </c>
      <c r="EY9" s="1135"/>
      <c r="EZ9" s="1125">
        <v>39.799999999999997</v>
      </c>
      <c r="FA9" s="1135"/>
      <c r="FB9" s="1125">
        <v>31</v>
      </c>
      <c r="FC9" s="1125">
        <v>30</v>
      </c>
      <c r="FD9" s="1125">
        <v>30</v>
      </c>
      <c r="FE9" s="1125">
        <v>50</v>
      </c>
      <c r="FF9" s="1125">
        <v>31</v>
      </c>
      <c r="FG9" s="1125">
        <v>35</v>
      </c>
      <c r="FH9" s="1125">
        <v>30</v>
      </c>
      <c r="FI9" s="1125">
        <v>58</v>
      </c>
      <c r="FJ9" s="1125"/>
      <c r="FK9" s="1125"/>
      <c r="FL9" s="1125"/>
      <c r="FM9" s="1125"/>
      <c r="FN9" s="1125"/>
      <c r="FO9" s="1125"/>
      <c r="FP9" s="1125"/>
      <c r="FQ9" s="1125"/>
      <c r="FR9" s="1137">
        <f>FB9+(FC9/60)</f>
        <v>31.5</v>
      </c>
      <c r="FS9" s="1092"/>
      <c r="FT9" s="1136">
        <f>FD9+(FE9/60)</f>
        <v>30.833333333333332</v>
      </c>
      <c r="FU9" s="1092"/>
      <c r="FV9" s="1136">
        <f>FF9+(FG9/60)</f>
        <v>31.583333333333332</v>
      </c>
      <c r="FW9" s="1092"/>
      <c r="FX9" s="1136">
        <f>FH9+(FI9/60)</f>
        <v>30.966666666666665</v>
      </c>
      <c r="FY9" s="1092"/>
      <c r="FZ9" s="1125">
        <v>52</v>
      </c>
      <c r="GA9" s="1138">
        <v>1.5</v>
      </c>
      <c r="GB9" s="1125" t="s">
        <v>62</v>
      </c>
      <c r="GC9" s="1135"/>
      <c r="GD9" s="1139"/>
      <c r="GE9" s="1135"/>
      <c r="GF9" s="1140"/>
      <c r="GG9" s="1140"/>
      <c r="GH9" s="1103" t="s">
        <v>583</v>
      </c>
      <c r="GI9" s="1098" t="s">
        <v>584</v>
      </c>
      <c r="GJ9" s="1098" t="s">
        <v>585</v>
      </c>
      <c r="GK9" s="1076" t="s">
        <v>125</v>
      </c>
    </row>
    <row r="10" spans="1:193">
      <c r="B10" s="1103" t="s">
        <v>583</v>
      </c>
      <c r="C10" s="1098"/>
      <c r="D10" s="1098"/>
      <c r="E10" s="1076"/>
      <c r="F10" s="856"/>
      <c r="G10" s="936"/>
      <c r="H10" s="4"/>
      <c r="I10" s="1469"/>
      <c r="J10" s="1109">
        <v>5</v>
      </c>
      <c r="K10" s="1089" t="s">
        <v>1709</v>
      </c>
      <c r="L10" s="1089" t="s">
        <v>1710</v>
      </c>
      <c r="M10" s="1102">
        <v>46020</v>
      </c>
      <c r="N10" s="1110">
        <v>1</v>
      </c>
      <c r="O10" s="1111" t="s">
        <v>1041</v>
      </c>
      <c r="P10" s="1090" t="s">
        <v>1727</v>
      </c>
      <c r="Q10" s="1089" t="s">
        <v>1711</v>
      </c>
      <c r="R10" s="1112" t="s">
        <v>1742</v>
      </c>
      <c r="S10" s="1089">
        <f>38*2</f>
        <v>76</v>
      </c>
      <c r="T10" s="1089"/>
      <c r="U10" s="1089">
        <v>74.900000000000006</v>
      </c>
      <c r="V10" s="1089">
        <v>73.599999999999994</v>
      </c>
      <c r="W10" s="1110">
        <v>74.900000000000006</v>
      </c>
      <c r="X10" s="1110">
        <v>74.7</v>
      </c>
      <c r="Y10" s="1114"/>
      <c r="Z10" s="1114"/>
      <c r="AA10" s="1114"/>
      <c r="AB10" s="1114"/>
      <c r="AC10" s="851"/>
      <c r="AD10" s="851"/>
      <c r="AE10" s="851"/>
      <c r="AF10" s="851"/>
      <c r="AG10" s="1115"/>
      <c r="AH10" s="1115"/>
      <c r="AI10" s="1115"/>
      <c r="AJ10" s="1115"/>
      <c r="AK10" s="1116">
        <f>151.16+153.05</f>
        <v>304.21000000000004</v>
      </c>
      <c r="AL10" s="1110">
        <v>299</v>
      </c>
      <c r="AM10" s="1110" t="s">
        <v>1728</v>
      </c>
      <c r="AN10" s="1117">
        <f t="shared" si="0"/>
        <v>101.74247491638798</v>
      </c>
      <c r="AO10" s="1116">
        <v>5.05</v>
      </c>
      <c r="AP10" s="1116">
        <v>4.93</v>
      </c>
      <c r="AQ10" s="1114"/>
      <c r="AR10" s="1114"/>
      <c r="AS10" s="1118">
        <f t="shared" si="1"/>
        <v>4.99</v>
      </c>
      <c r="AT10" s="1119">
        <v>19.899999999999999</v>
      </c>
      <c r="AU10" s="1119">
        <v>19.600000000000001</v>
      </c>
      <c r="AV10" s="1114"/>
      <c r="AW10" s="1114"/>
      <c r="AX10" s="1119">
        <v>11.8</v>
      </c>
      <c r="AY10" s="1120">
        <v>10.9</v>
      </c>
      <c r="AZ10" s="1114"/>
      <c r="BA10" s="1114"/>
      <c r="BB10" s="1119">
        <v>86</v>
      </c>
      <c r="BC10" s="1119">
        <v>66.2</v>
      </c>
      <c r="BD10" s="1119">
        <v>83</v>
      </c>
      <c r="BE10" s="1119">
        <v>70.5</v>
      </c>
      <c r="BF10" s="1114"/>
      <c r="BG10" s="1114"/>
      <c r="BH10" s="1114"/>
      <c r="BI10" s="1114"/>
      <c r="BJ10" s="1119">
        <v>42.2</v>
      </c>
      <c r="BK10" s="1119">
        <v>37.4</v>
      </c>
      <c r="BL10" s="1119">
        <v>43.2</v>
      </c>
      <c r="BM10" s="1119">
        <v>36.799999999999997</v>
      </c>
      <c r="BN10" s="1114"/>
      <c r="BO10" s="1114"/>
      <c r="BP10" s="1114"/>
      <c r="BQ10" s="1114"/>
      <c r="BR10" s="1110">
        <v>18</v>
      </c>
      <c r="BS10" s="1110">
        <v>33</v>
      </c>
      <c r="BT10" s="1110">
        <v>3</v>
      </c>
      <c r="BU10" s="1110">
        <v>22</v>
      </c>
      <c r="BV10" s="1110">
        <v>21</v>
      </c>
      <c r="BW10" s="1110">
        <v>39</v>
      </c>
      <c r="BX10" s="1110">
        <v>2</v>
      </c>
      <c r="BY10" s="1110">
        <v>0</v>
      </c>
      <c r="BZ10" s="1114"/>
      <c r="CA10" s="1114"/>
      <c r="CB10" s="1114"/>
      <c r="CC10" s="1114"/>
      <c r="CD10" s="1121">
        <f t="shared" si="2"/>
        <v>18.55</v>
      </c>
      <c r="CE10" s="1117">
        <f t="shared" si="3"/>
        <v>3.3666666666666667</v>
      </c>
      <c r="CF10" s="1117">
        <f t="shared" si="4"/>
        <v>21.65</v>
      </c>
      <c r="CG10" s="1117">
        <f t="shared" si="5"/>
        <v>2</v>
      </c>
      <c r="CH10" s="1114"/>
      <c r="CI10" s="1114"/>
      <c r="CJ10" s="1114"/>
      <c r="CK10" s="1114"/>
      <c r="CL10" s="1110">
        <v>52</v>
      </c>
      <c r="CM10" s="1122">
        <v>1.5</v>
      </c>
      <c r="CN10" s="1116" t="s">
        <v>1710</v>
      </c>
      <c r="CO10" s="1123">
        <v>46020</v>
      </c>
      <c r="CP10" s="1090" t="s">
        <v>1547</v>
      </c>
      <c r="CQ10" s="1116">
        <v>320</v>
      </c>
      <c r="CR10" s="1119">
        <v>315</v>
      </c>
      <c r="CS10" s="1119" t="s">
        <v>1729</v>
      </c>
      <c r="CT10" s="1088">
        <f t="shared" si="6"/>
        <v>101.58730158730158</v>
      </c>
      <c r="CU10" s="1116">
        <v>5.0199999999999996</v>
      </c>
      <c r="CV10" s="1032" t="s">
        <v>62</v>
      </c>
      <c r="CW10" s="1125" t="s">
        <v>1730</v>
      </c>
      <c r="CX10" s="1126" t="s">
        <v>1710</v>
      </c>
      <c r="CY10" s="1127">
        <v>46020</v>
      </c>
      <c r="CZ10" s="773">
        <v>2</v>
      </c>
      <c r="DA10" s="1125" t="s">
        <v>1041</v>
      </c>
      <c r="DB10" s="1128" t="s">
        <v>1743</v>
      </c>
      <c r="DC10" s="1125" t="s">
        <v>1711</v>
      </c>
      <c r="DD10" s="1125">
        <f t="shared" si="11"/>
        <v>200</v>
      </c>
      <c r="DE10" s="1125">
        <v>71.3</v>
      </c>
      <c r="DF10" s="1125">
        <v>71.8</v>
      </c>
      <c r="DG10" s="1125">
        <v>71.599999999999994</v>
      </c>
      <c r="DH10" s="1125">
        <v>71.7</v>
      </c>
      <c r="DI10" s="1125">
        <v>71.900000000000006</v>
      </c>
      <c r="DJ10" s="1125">
        <v>71.5</v>
      </c>
      <c r="DK10" s="1125">
        <v>71.8</v>
      </c>
      <c r="DL10" s="1125">
        <v>71.599999999999994</v>
      </c>
      <c r="DM10" s="1129">
        <v>528.4</v>
      </c>
      <c r="DN10" s="1130">
        <v>531.53</v>
      </c>
      <c r="DO10" s="1131" t="s">
        <v>1734</v>
      </c>
      <c r="DP10" s="1132">
        <f>DM10/DN10*100</f>
        <v>99.411133896487499</v>
      </c>
      <c r="DQ10" s="1125">
        <v>3.49</v>
      </c>
      <c r="DR10" s="1125">
        <v>3.31</v>
      </c>
      <c r="DS10" s="1133">
        <v>3.24</v>
      </c>
      <c r="DT10" s="1125">
        <v>3.41</v>
      </c>
      <c r="DU10" s="1134">
        <f>AVERAGE(DQ10:DT10)</f>
        <v>3.3625000000000003</v>
      </c>
      <c r="DV10" s="1134"/>
      <c r="DW10" s="1134"/>
      <c r="DX10" s="1134"/>
      <c r="DY10" s="1134"/>
      <c r="DZ10" s="1134"/>
      <c r="EA10" s="1134"/>
      <c r="EB10" s="1134"/>
      <c r="EC10" s="1134"/>
      <c r="ED10" s="1125">
        <v>18.399999999999999</v>
      </c>
      <c r="EE10" s="1125">
        <v>18.5</v>
      </c>
      <c r="EF10" s="1125">
        <v>18.7</v>
      </c>
      <c r="EG10" s="1125">
        <v>18.600000000000001</v>
      </c>
      <c r="EH10" s="1125">
        <v>9.6999999999999993</v>
      </c>
      <c r="EI10" s="1125">
        <v>9.6</v>
      </c>
      <c r="EJ10" s="1125">
        <v>9.5</v>
      </c>
      <c r="EK10" s="1125">
        <v>9.8000000000000007</v>
      </c>
      <c r="EL10" s="1125">
        <v>81.7</v>
      </c>
      <c r="EM10" s="1135"/>
      <c r="EN10" s="1125">
        <v>80.3</v>
      </c>
      <c r="EO10" s="1135"/>
      <c r="EP10" s="1125">
        <v>82.1</v>
      </c>
      <c r="EQ10" s="1135"/>
      <c r="ER10" s="1125">
        <v>80.7</v>
      </c>
      <c r="ES10" s="1135"/>
      <c r="ET10" s="1125">
        <v>43.8</v>
      </c>
      <c r="EU10" s="1135"/>
      <c r="EV10" s="1125">
        <v>44.1</v>
      </c>
      <c r="EW10" s="1135"/>
      <c r="EX10" s="1125">
        <v>44</v>
      </c>
      <c r="EY10" s="1135"/>
      <c r="EZ10" s="1125">
        <v>43.9</v>
      </c>
      <c r="FA10" s="1135"/>
      <c r="FB10" s="1125">
        <v>30</v>
      </c>
      <c r="FC10" s="1125">
        <v>22</v>
      </c>
      <c r="FD10" s="1125">
        <v>31</v>
      </c>
      <c r="FE10" s="1125">
        <v>40</v>
      </c>
      <c r="FF10" s="1125">
        <v>31</v>
      </c>
      <c r="FG10" s="1125">
        <v>32</v>
      </c>
      <c r="FH10" s="1125">
        <v>30</v>
      </c>
      <c r="FI10" s="1125">
        <v>34</v>
      </c>
      <c r="FJ10" s="1125"/>
      <c r="FK10" s="1125"/>
      <c r="FL10" s="1125"/>
      <c r="FM10" s="1125"/>
      <c r="FN10" s="1125"/>
      <c r="FO10" s="1125"/>
      <c r="FP10" s="1125"/>
      <c r="FQ10" s="1125"/>
      <c r="FR10" s="1137">
        <f>FB10+(FC10/60)</f>
        <v>30.366666666666667</v>
      </c>
      <c r="FS10" s="1092"/>
      <c r="FT10" s="1136">
        <f>FD10+(FE10/60)</f>
        <v>31.666666666666668</v>
      </c>
      <c r="FU10" s="1092"/>
      <c r="FV10" s="1136">
        <f>FF10+(FG10/60)</f>
        <v>31.533333333333335</v>
      </c>
      <c r="FW10" s="1092"/>
      <c r="FX10" s="1136">
        <f>FH10+(FI10/60)</f>
        <v>30.566666666666666</v>
      </c>
      <c r="FY10" s="1092"/>
      <c r="FZ10" s="1125">
        <v>52</v>
      </c>
      <c r="GA10" s="1138">
        <v>1.5</v>
      </c>
      <c r="GB10" s="1125" t="s">
        <v>62</v>
      </c>
      <c r="GC10" s="1135"/>
      <c r="GD10" s="1139"/>
      <c r="GE10" s="1135"/>
      <c r="GF10" s="1140"/>
      <c r="GG10" s="1140"/>
      <c r="GH10" s="1103" t="s">
        <v>583</v>
      </c>
      <c r="GI10" s="1098" t="s">
        <v>584</v>
      </c>
      <c r="GJ10" s="1098" t="s">
        <v>585</v>
      </c>
      <c r="GK10" s="1076" t="s">
        <v>125</v>
      </c>
    </row>
    <row r="11" spans="1:193">
      <c r="B11" s="1103" t="s">
        <v>583</v>
      </c>
      <c r="C11" s="1098"/>
      <c r="D11" s="1098"/>
      <c r="E11" s="1076"/>
      <c r="F11" s="856"/>
      <c r="G11" s="936"/>
      <c r="H11" s="4"/>
      <c r="I11" s="1469"/>
      <c r="J11" s="1109">
        <v>6</v>
      </c>
      <c r="K11" s="1089" t="s">
        <v>1709</v>
      </c>
      <c r="L11" s="1089" t="s">
        <v>1710</v>
      </c>
      <c r="M11" s="1102">
        <v>46020</v>
      </c>
      <c r="N11" s="1110">
        <v>1</v>
      </c>
      <c r="O11" s="1111" t="s">
        <v>1041</v>
      </c>
      <c r="P11" s="1090" t="s">
        <v>1740</v>
      </c>
      <c r="Q11" s="1089" t="s">
        <v>1711</v>
      </c>
      <c r="R11" s="1112" t="s">
        <v>1742</v>
      </c>
      <c r="S11" s="1089">
        <f>38*2</f>
        <v>76</v>
      </c>
      <c r="T11" s="1089"/>
      <c r="U11" s="1089">
        <v>74.900000000000006</v>
      </c>
      <c r="V11" s="1089">
        <v>73.599999999999994</v>
      </c>
      <c r="W11" s="1110">
        <v>73.3</v>
      </c>
      <c r="X11" s="1110">
        <v>73.599999999999994</v>
      </c>
      <c r="Y11" s="1114"/>
      <c r="Z11" s="1114"/>
      <c r="AA11" s="1114"/>
      <c r="AB11" s="1114"/>
      <c r="AC11" s="851"/>
      <c r="AD11" s="851"/>
      <c r="AE11" s="851"/>
      <c r="AF11" s="851"/>
      <c r="AG11" s="1115"/>
      <c r="AH11" s="1115"/>
      <c r="AI11" s="1115"/>
      <c r="AJ11" s="1115"/>
      <c r="AK11" s="1116">
        <v>307.23</v>
      </c>
      <c r="AL11" s="1110">
        <v>299</v>
      </c>
      <c r="AM11" s="1110" t="s">
        <v>1728</v>
      </c>
      <c r="AN11" s="1117">
        <f t="shared" si="0"/>
        <v>102.75250836120402</v>
      </c>
      <c r="AO11" s="1116">
        <v>4.92</v>
      </c>
      <c r="AP11" s="1116">
        <v>4.84</v>
      </c>
      <c r="AQ11" s="1114"/>
      <c r="AR11" s="1114"/>
      <c r="AS11" s="1118">
        <f t="shared" si="1"/>
        <v>4.88</v>
      </c>
      <c r="AT11" s="1119">
        <v>19.5</v>
      </c>
      <c r="AU11" s="1119">
        <v>19.899999999999999</v>
      </c>
      <c r="AV11" s="1114"/>
      <c r="AW11" s="1114"/>
      <c r="AX11" s="1119">
        <v>10.8</v>
      </c>
      <c r="AY11" s="1120">
        <v>11.8</v>
      </c>
      <c r="AZ11" s="1114"/>
      <c r="BA11" s="1114"/>
      <c r="BB11" s="1119">
        <v>85.1</v>
      </c>
      <c r="BC11" s="1119">
        <v>81.3</v>
      </c>
      <c r="BD11" s="1119">
        <v>82.3</v>
      </c>
      <c r="BE11" s="1119">
        <v>66.400000000000006</v>
      </c>
      <c r="BF11" s="1114"/>
      <c r="BG11" s="1114"/>
      <c r="BH11" s="1114"/>
      <c r="BI11" s="1114"/>
      <c r="BJ11" s="1119">
        <v>42.6</v>
      </c>
      <c r="BK11" s="1119">
        <v>39.1</v>
      </c>
      <c r="BL11" s="1119">
        <v>44.2</v>
      </c>
      <c r="BM11" s="1119">
        <v>38.299999999999997</v>
      </c>
      <c r="BN11" s="1114"/>
      <c r="BO11" s="1114"/>
      <c r="BP11" s="1114"/>
      <c r="BQ11" s="1114"/>
      <c r="BR11" s="1110">
        <v>15</v>
      </c>
      <c r="BS11" s="1110">
        <v>6</v>
      </c>
      <c r="BT11" s="1110">
        <v>2</v>
      </c>
      <c r="BU11" s="1110">
        <v>44</v>
      </c>
      <c r="BV11" s="1110">
        <v>19</v>
      </c>
      <c r="BW11" s="1110">
        <v>37</v>
      </c>
      <c r="BX11" s="1110">
        <v>1</v>
      </c>
      <c r="BY11" s="1110">
        <v>15</v>
      </c>
      <c r="BZ11" s="1114"/>
      <c r="CA11" s="1114"/>
      <c r="CB11" s="1114"/>
      <c r="CC11" s="1114"/>
      <c r="CD11" s="1121">
        <f t="shared" si="2"/>
        <v>15.1</v>
      </c>
      <c r="CE11" s="1117">
        <f t="shared" si="3"/>
        <v>2.7333333333333334</v>
      </c>
      <c r="CF11" s="1117">
        <f t="shared" si="4"/>
        <v>19.616666666666667</v>
      </c>
      <c r="CG11" s="1117">
        <f t="shared" si="5"/>
        <v>1.25</v>
      </c>
      <c r="CH11" s="1114"/>
      <c r="CI11" s="1114"/>
      <c r="CJ11" s="1114"/>
      <c r="CK11" s="1114"/>
      <c r="CL11" s="1110">
        <v>52</v>
      </c>
      <c r="CM11" s="1122">
        <v>1.5</v>
      </c>
      <c r="CN11" s="1116" t="s">
        <v>1710</v>
      </c>
      <c r="CO11" s="1123">
        <v>46020</v>
      </c>
      <c r="CP11" s="1090" t="s">
        <v>1547</v>
      </c>
      <c r="CQ11" s="1116">
        <v>323.3</v>
      </c>
      <c r="CR11" s="1119">
        <v>315</v>
      </c>
      <c r="CS11" s="1119" t="s">
        <v>1729</v>
      </c>
      <c r="CT11" s="1088">
        <f t="shared" si="6"/>
        <v>102.63492063492063</v>
      </c>
      <c r="CU11" s="1116">
        <v>4.75</v>
      </c>
      <c r="CV11" s="1032" t="s">
        <v>62</v>
      </c>
      <c r="CW11" s="1125" t="s">
        <v>1730</v>
      </c>
      <c r="CX11" s="1126" t="s">
        <v>1710</v>
      </c>
      <c r="CY11" s="1127">
        <v>46021</v>
      </c>
      <c r="CZ11" s="773" t="s">
        <v>1718</v>
      </c>
      <c r="DA11" s="1125" t="s">
        <v>932</v>
      </c>
      <c r="DB11" s="1128" t="s">
        <v>1743</v>
      </c>
      <c r="DC11" s="1125" t="s">
        <v>1711</v>
      </c>
      <c r="DD11" s="1125">
        <f t="shared" si="11"/>
        <v>200</v>
      </c>
      <c r="DE11" s="1125">
        <v>72.7</v>
      </c>
      <c r="DF11" s="1125">
        <v>71.900000000000006</v>
      </c>
      <c r="DG11" s="1125">
        <v>72</v>
      </c>
      <c r="DH11" s="1125">
        <v>71.8</v>
      </c>
      <c r="DI11" s="1125">
        <v>72.099999999999994</v>
      </c>
      <c r="DJ11" s="1125">
        <v>71.900000000000006</v>
      </c>
      <c r="DK11" s="1125">
        <v>72.5</v>
      </c>
      <c r="DL11" s="1125">
        <v>72.400000000000006</v>
      </c>
      <c r="DM11" s="1129">
        <v>536.32000000000005</v>
      </c>
      <c r="DN11" s="1130">
        <v>531.53</v>
      </c>
      <c r="DO11" s="1131" t="s">
        <v>1734</v>
      </c>
      <c r="DP11" s="1132">
        <f>DM11/DN11*100</f>
        <v>100.90117208812298</v>
      </c>
      <c r="DQ11" s="1125">
        <v>3.35</v>
      </c>
      <c r="DR11" s="1125">
        <v>3.44</v>
      </c>
      <c r="DS11" s="1133">
        <v>3.47</v>
      </c>
      <c r="DT11" s="1125">
        <v>3.45</v>
      </c>
      <c r="DU11" s="1134">
        <f>AVERAGE(DQ11:DT11)</f>
        <v>3.4275000000000002</v>
      </c>
      <c r="DV11" s="1134"/>
      <c r="DW11" s="1134"/>
      <c r="DX11" s="1134"/>
      <c r="DY11" s="1134"/>
      <c r="DZ11" s="1134"/>
      <c r="EA11" s="1134"/>
      <c r="EB11" s="1134"/>
      <c r="EC11" s="1134"/>
      <c r="ED11" s="1125">
        <v>18.600000000000001</v>
      </c>
      <c r="EE11" s="1125">
        <v>18.8</v>
      </c>
      <c r="EF11" s="1125">
        <v>19.2</v>
      </c>
      <c r="EG11" s="1125">
        <v>18.7</v>
      </c>
      <c r="EH11" s="1125">
        <v>10.4</v>
      </c>
      <c r="EI11" s="1125">
        <v>10.9</v>
      </c>
      <c r="EJ11" s="1125">
        <v>11.4</v>
      </c>
      <c r="EK11" s="1125">
        <v>10.6</v>
      </c>
      <c r="EL11" s="1125">
        <v>84.5</v>
      </c>
      <c r="EM11" s="1135"/>
      <c r="EN11" s="1125">
        <v>83.7</v>
      </c>
      <c r="EO11" s="1135"/>
      <c r="EP11" s="1125">
        <v>83.4</v>
      </c>
      <c r="EQ11" s="1135"/>
      <c r="ER11" s="1125">
        <v>83.5</v>
      </c>
      <c r="ES11" s="1135"/>
      <c r="ET11" s="1125">
        <v>40.799999999999997</v>
      </c>
      <c r="EU11" s="1135"/>
      <c r="EV11" s="1125">
        <v>40.1</v>
      </c>
      <c r="EW11" s="1135"/>
      <c r="EX11" s="1125">
        <v>40.299999999999997</v>
      </c>
      <c r="EY11" s="1135"/>
      <c r="EZ11" s="1125">
        <v>40.5</v>
      </c>
      <c r="FA11" s="1135"/>
      <c r="FB11" s="1125">
        <v>32</v>
      </c>
      <c r="FC11" s="1125">
        <v>8</v>
      </c>
      <c r="FD11" s="1125">
        <v>30</v>
      </c>
      <c r="FE11" s="1125">
        <v>48</v>
      </c>
      <c r="FF11" s="1125">
        <v>31</v>
      </c>
      <c r="FG11" s="1125">
        <v>0</v>
      </c>
      <c r="FH11" s="1125">
        <v>30</v>
      </c>
      <c r="FI11" s="1125">
        <v>56</v>
      </c>
      <c r="FJ11" s="1125"/>
      <c r="FK11" s="1125"/>
      <c r="FL11" s="1125"/>
      <c r="FM11" s="1125"/>
      <c r="FN11" s="1125"/>
      <c r="FO11" s="1125"/>
      <c r="FP11" s="1125"/>
      <c r="FQ11" s="1125"/>
      <c r="FR11" s="1137">
        <f>FB11+(FC11/60)</f>
        <v>32.133333333333333</v>
      </c>
      <c r="FS11" s="1092"/>
      <c r="FT11" s="1136">
        <f>FD11+(FE11/60)</f>
        <v>30.8</v>
      </c>
      <c r="FU11" s="1092"/>
      <c r="FV11" s="1136">
        <f>FF11+(FG11/60)</f>
        <v>31</v>
      </c>
      <c r="FW11" s="1092"/>
      <c r="FX11" s="1136">
        <f>FH11+(FI11/60)</f>
        <v>30.933333333333334</v>
      </c>
      <c r="FY11" s="1092"/>
      <c r="FZ11" s="1125">
        <v>52</v>
      </c>
      <c r="GA11" s="1138">
        <v>1.5</v>
      </c>
      <c r="GB11" s="1125" t="s">
        <v>62</v>
      </c>
      <c r="GC11" s="1135"/>
      <c r="GD11" s="1139"/>
      <c r="GE11" s="1135"/>
      <c r="GF11" s="1140"/>
      <c r="GG11" s="1140"/>
      <c r="GH11" s="1103" t="s">
        <v>583</v>
      </c>
      <c r="GI11" s="1098" t="s">
        <v>584</v>
      </c>
      <c r="GJ11" s="1098" t="s">
        <v>585</v>
      </c>
      <c r="GK11" s="1076" t="s">
        <v>125</v>
      </c>
    </row>
    <row r="12" spans="1:193">
      <c r="B12" s="1103" t="s">
        <v>583</v>
      </c>
      <c r="C12" s="1098"/>
      <c r="D12" s="1098"/>
      <c r="E12" s="1076"/>
      <c r="F12" s="856"/>
      <c r="G12" s="936"/>
      <c r="H12" s="4"/>
      <c r="I12" s="1469"/>
      <c r="J12" s="1109">
        <v>7</v>
      </c>
      <c r="K12" s="1089" t="s">
        <v>1709</v>
      </c>
      <c r="L12" s="1089" t="s">
        <v>1712</v>
      </c>
      <c r="M12" s="1102">
        <v>46034</v>
      </c>
      <c r="N12" s="1110">
        <v>1</v>
      </c>
      <c r="O12" s="1111" t="s">
        <v>932</v>
      </c>
      <c r="P12" s="1090" t="s">
        <v>1727</v>
      </c>
      <c r="Q12" s="1089" t="s">
        <v>1711</v>
      </c>
      <c r="R12" s="1112" t="s">
        <v>1742</v>
      </c>
      <c r="S12" s="1089">
        <f>38*2</f>
        <v>76</v>
      </c>
      <c r="T12" s="1089"/>
      <c r="U12" s="1089">
        <v>73.3</v>
      </c>
      <c r="V12" s="1089">
        <v>74</v>
      </c>
      <c r="W12" s="1110">
        <v>74.2</v>
      </c>
      <c r="X12" s="1110">
        <v>75</v>
      </c>
      <c r="Y12" s="1114"/>
      <c r="Z12" s="1114"/>
      <c r="AA12" s="1114"/>
      <c r="AB12" s="1114"/>
      <c r="AC12" s="851">
        <v>72.900000000000006</v>
      </c>
      <c r="AD12" s="851">
        <v>73.400000000000006</v>
      </c>
      <c r="AE12" s="851">
        <v>73.8</v>
      </c>
      <c r="AF12" s="851">
        <v>74.8</v>
      </c>
      <c r="AG12" s="1115"/>
      <c r="AH12" s="1115"/>
      <c r="AI12" s="1115"/>
      <c r="AJ12" s="1115"/>
      <c r="AK12" s="1116">
        <f>144.8+151.18</f>
        <v>295.98</v>
      </c>
      <c r="AL12" s="1110">
        <v>299</v>
      </c>
      <c r="AM12" s="1110" t="s">
        <v>1728</v>
      </c>
      <c r="AN12" s="1117">
        <f t="shared" si="0"/>
        <v>98.989966555183955</v>
      </c>
      <c r="AO12" s="1116">
        <v>5.9</v>
      </c>
      <c r="AP12" s="1116">
        <v>5.07</v>
      </c>
      <c r="AQ12" s="1114"/>
      <c r="AR12" s="1114"/>
      <c r="AS12" s="1118">
        <f t="shared" si="1"/>
        <v>5.4850000000000003</v>
      </c>
      <c r="AT12" s="1119">
        <v>21.2</v>
      </c>
      <c r="AU12" s="1119">
        <v>20.6</v>
      </c>
      <c r="AV12" s="1114"/>
      <c r="AW12" s="1114"/>
      <c r="AX12" s="1119">
        <v>12</v>
      </c>
      <c r="AY12" s="1120">
        <v>11.5</v>
      </c>
      <c r="AZ12" s="1114"/>
      <c r="BA12" s="1114"/>
      <c r="BB12" s="1119">
        <v>80.099999999999994</v>
      </c>
      <c r="BC12" s="1119">
        <v>79.8</v>
      </c>
      <c r="BD12" s="1119">
        <v>83.2</v>
      </c>
      <c r="BE12" s="1119">
        <v>80.900000000000006</v>
      </c>
      <c r="BF12" s="1114"/>
      <c r="BG12" s="1114"/>
      <c r="BH12" s="1114"/>
      <c r="BI12" s="1114"/>
      <c r="BJ12" s="1119">
        <v>37.6</v>
      </c>
      <c r="BK12" s="1119">
        <v>35.700000000000003</v>
      </c>
      <c r="BL12" s="1119">
        <v>40</v>
      </c>
      <c r="BM12" s="1119">
        <v>38.799999999999997</v>
      </c>
      <c r="BN12" s="1114"/>
      <c r="BO12" s="1114"/>
      <c r="BP12" s="1114"/>
      <c r="BQ12" s="1114"/>
      <c r="BR12" s="1110">
        <v>16</v>
      </c>
      <c r="BS12" s="1110">
        <v>30</v>
      </c>
      <c r="BT12" s="1110">
        <v>3</v>
      </c>
      <c r="BU12" s="1110">
        <v>25</v>
      </c>
      <c r="BV12" s="1110">
        <v>15</v>
      </c>
      <c r="BW12" s="1110">
        <v>7</v>
      </c>
      <c r="BX12" s="1110">
        <v>2</v>
      </c>
      <c r="BY12" s="1110">
        <v>17</v>
      </c>
      <c r="BZ12" s="1114"/>
      <c r="CA12" s="1114"/>
      <c r="CB12" s="1114"/>
      <c r="CC12" s="1114"/>
      <c r="CD12" s="1121">
        <f t="shared" si="2"/>
        <v>16.5</v>
      </c>
      <c r="CE12" s="1117">
        <f t="shared" si="3"/>
        <v>3.4166666666666665</v>
      </c>
      <c r="CF12" s="1117">
        <f t="shared" si="4"/>
        <v>15.116666666666667</v>
      </c>
      <c r="CG12" s="1117">
        <f t="shared" si="5"/>
        <v>2.2833333333333332</v>
      </c>
      <c r="CH12" s="1114"/>
      <c r="CI12" s="1114"/>
      <c r="CJ12" s="1114"/>
      <c r="CK12" s="1114"/>
      <c r="CL12" s="1110">
        <v>52</v>
      </c>
      <c r="CM12" s="1122">
        <v>1.5</v>
      </c>
      <c r="CN12" s="1116" t="s">
        <v>1712</v>
      </c>
      <c r="CO12" s="1123">
        <v>46034</v>
      </c>
      <c r="CP12" s="1090" t="s">
        <v>1547</v>
      </c>
      <c r="CQ12" s="1116">
        <v>312.10000000000002</v>
      </c>
      <c r="CR12" s="1119">
        <v>315</v>
      </c>
      <c r="CS12" s="1119" t="s">
        <v>1729</v>
      </c>
      <c r="CT12" s="1088">
        <f t="shared" si="6"/>
        <v>99.07936507936509</v>
      </c>
      <c r="CU12" s="1116">
        <v>4.99</v>
      </c>
      <c r="CV12" s="1032" t="s">
        <v>62</v>
      </c>
      <c r="CW12" s="1125" t="s">
        <v>1730</v>
      </c>
      <c r="CX12" s="1126" t="s">
        <v>1712</v>
      </c>
      <c r="CY12" s="1127">
        <v>46031</v>
      </c>
      <c r="CZ12" s="773">
        <v>1</v>
      </c>
      <c r="DA12" s="1125" t="s">
        <v>932</v>
      </c>
      <c r="DB12" s="1128" t="s">
        <v>1743</v>
      </c>
      <c r="DC12" s="1125" t="s">
        <v>1711</v>
      </c>
      <c r="DD12" s="1125">
        <f t="shared" si="11"/>
        <v>200</v>
      </c>
      <c r="DE12" s="1125">
        <v>71.8</v>
      </c>
      <c r="DF12" s="1125">
        <v>71.599999999999994</v>
      </c>
      <c r="DG12" s="1125">
        <v>71.400000000000006</v>
      </c>
      <c r="DH12" s="1125">
        <v>71.2</v>
      </c>
      <c r="DI12" s="1125">
        <v>71</v>
      </c>
      <c r="DJ12" s="1125">
        <v>70.8</v>
      </c>
      <c r="DK12" s="1125">
        <v>71.900000000000006</v>
      </c>
      <c r="DL12" s="1125">
        <v>71.8</v>
      </c>
      <c r="DM12" s="1129">
        <v>535.4</v>
      </c>
      <c r="DN12" s="1130">
        <v>531.53</v>
      </c>
      <c r="DO12" s="1131" t="s">
        <v>1734</v>
      </c>
      <c r="DP12" s="1132">
        <f>DM12/DN12*100</f>
        <v>100.72808684364006</v>
      </c>
      <c r="DQ12" s="1125">
        <v>3.18</v>
      </c>
      <c r="DR12" s="1125">
        <v>3.21</v>
      </c>
      <c r="DS12" s="1133">
        <v>3.3</v>
      </c>
      <c r="DT12" s="1125">
        <v>3.46</v>
      </c>
      <c r="DU12" s="1134">
        <f>AVERAGE(DQ12:DT12)</f>
        <v>3.2875000000000005</v>
      </c>
      <c r="DV12" s="1134">
        <v>71.5</v>
      </c>
      <c r="DW12" s="1134">
        <v>71.2</v>
      </c>
      <c r="DX12" s="1134">
        <v>71.2</v>
      </c>
      <c r="DY12" s="1134">
        <v>71</v>
      </c>
      <c r="DZ12" s="1134">
        <v>70.8</v>
      </c>
      <c r="EA12" s="1134">
        <v>70.5</v>
      </c>
      <c r="EB12" s="1134">
        <v>71.5</v>
      </c>
      <c r="EC12" s="1134">
        <v>71.5</v>
      </c>
      <c r="ED12" s="1125">
        <v>19.2</v>
      </c>
      <c r="EE12" s="1125">
        <v>18.899999999999999</v>
      </c>
      <c r="EF12" s="1125">
        <v>19</v>
      </c>
      <c r="EG12" s="1125">
        <v>18.7</v>
      </c>
      <c r="EH12" s="1125">
        <v>11.3</v>
      </c>
      <c r="EI12" s="1125">
        <v>10.9</v>
      </c>
      <c r="EJ12" s="1125">
        <v>11</v>
      </c>
      <c r="EK12" s="1125">
        <v>10.6</v>
      </c>
      <c r="EL12" s="1125">
        <v>81.3</v>
      </c>
      <c r="EM12" s="1135"/>
      <c r="EN12" s="1125">
        <v>83.6</v>
      </c>
      <c r="EO12" s="1135"/>
      <c r="EP12" s="1125">
        <v>82.7</v>
      </c>
      <c r="EQ12" s="1135"/>
      <c r="ER12" s="1125">
        <v>77.3</v>
      </c>
      <c r="ES12" s="1135"/>
      <c r="ET12" s="1125">
        <v>41.3</v>
      </c>
      <c r="EU12" s="1135"/>
      <c r="EV12" s="1125">
        <v>40.299999999999997</v>
      </c>
      <c r="EW12" s="1135"/>
      <c r="EX12" s="1125">
        <v>40.700000000000003</v>
      </c>
      <c r="EY12" s="1135"/>
      <c r="EZ12" s="1125">
        <v>40.4</v>
      </c>
      <c r="FA12" s="1135"/>
      <c r="FB12" s="1125">
        <v>35</v>
      </c>
      <c r="FC12" s="1125">
        <v>32</v>
      </c>
      <c r="FD12" s="1125">
        <v>34</v>
      </c>
      <c r="FE12" s="1125">
        <v>24</v>
      </c>
      <c r="FF12" s="1125">
        <v>33</v>
      </c>
      <c r="FG12" s="1125">
        <v>56</v>
      </c>
      <c r="FH12" s="1125">
        <v>35</v>
      </c>
      <c r="FI12" s="1125">
        <v>47</v>
      </c>
      <c r="FJ12" s="1125"/>
      <c r="FK12" s="1125"/>
      <c r="FL12" s="1125"/>
      <c r="FM12" s="1125"/>
      <c r="FN12" s="1125"/>
      <c r="FO12" s="1125"/>
      <c r="FP12" s="1125"/>
      <c r="FQ12" s="1125"/>
      <c r="FR12" s="1137">
        <f>FB12+(FC12/60)</f>
        <v>35.533333333333331</v>
      </c>
      <c r="FS12" s="1092"/>
      <c r="FT12" s="1136">
        <f>FD12+(FE12/60)</f>
        <v>34.4</v>
      </c>
      <c r="FU12" s="1092"/>
      <c r="FV12" s="1136">
        <f>FF12+(FG12/60)</f>
        <v>33.93333333333333</v>
      </c>
      <c r="FW12" s="1092"/>
      <c r="FX12" s="1136">
        <f>FH12+(FI12/60)</f>
        <v>35.783333333333331</v>
      </c>
      <c r="FY12" s="1092"/>
      <c r="FZ12" s="1125">
        <v>52</v>
      </c>
      <c r="GA12" s="1138">
        <v>1.5</v>
      </c>
      <c r="GB12" s="1125" t="s">
        <v>62</v>
      </c>
      <c r="GC12" s="1135"/>
      <c r="GD12" s="1139"/>
      <c r="GE12" s="1135"/>
      <c r="GF12" s="1140"/>
      <c r="GG12" s="1140"/>
      <c r="GH12" s="1103" t="s">
        <v>583</v>
      </c>
      <c r="GI12" s="1098" t="s">
        <v>584</v>
      </c>
      <c r="GJ12" s="1098" t="s">
        <v>585</v>
      </c>
      <c r="GK12" s="1076" t="s">
        <v>125</v>
      </c>
    </row>
    <row r="13" spans="1:193">
      <c r="B13" s="1104" t="s">
        <v>583</v>
      </c>
      <c r="C13" s="1105"/>
      <c r="D13" s="1105"/>
      <c r="E13" s="1106"/>
      <c r="F13" s="1107"/>
      <c r="G13" s="1108"/>
      <c r="H13" s="710"/>
      <c r="I13" s="1438"/>
      <c r="J13" s="1109"/>
      <c r="K13" s="1089" t="s">
        <v>1709</v>
      </c>
      <c r="L13" s="1089" t="s">
        <v>1712</v>
      </c>
      <c r="M13" s="1102">
        <v>46037</v>
      </c>
      <c r="N13" s="1110">
        <v>1</v>
      </c>
      <c r="O13" s="1111" t="s">
        <v>1041</v>
      </c>
      <c r="P13" s="1090" t="s">
        <v>1740</v>
      </c>
      <c r="Q13" s="1089" t="s">
        <v>1735</v>
      </c>
      <c r="R13" s="1112" t="s">
        <v>1742</v>
      </c>
      <c r="S13" s="1089">
        <f>42*2</f>
        <v>84</v>
      </c>
      <c r="T13" s="1089"/>
      <c r="U13" s="1089">
        <v>78</v>
      </c>
      <c r="V13" s="1089">
        <v>77.400000000000006</v>
      </c>
      <c r="W13" s="1110">
        <v>78.5</v>
      </c>
      <c r="X13" s="1110">
        <v>78.099999999999994</v>
      </c>
      <c r="Y13" s="1114"/>
      <c r="Z13" s="1114"/>
      <c r="AA13" s="1114"/>
      <c r="AB13" s="1114"/>
      <c r="AC13" s="851">
        <v>77.7</v>
      </c>
      <c r="AD13" s="851">
        <v>76.8</v>
      </c>
      <c r="AE13" s="851">
        <v>78</v>
      </c>
      <c r="AF13" s="851">
        <v>77.5</v>
      </c>
      <c r="AG13" s="1115"/>
      <c r="AH13" s="1115"/>
      <c r="AI13" s="1115"/>
      <c r="AJ13" s="1115"/>
      <c r="AK13" s="1116">
        <v>287.10000000000002</v>
      </c>
      <c r="AL13" s="1110">
        <v>299</v>
      </c>
      <c r="AM13" s="1110" t="s">
        <v>1728</v>
      </c>
      <c r="AN13" s="1117">
        <f t="shared" si="0"/>
        <v>96.020066889632119</v>
      </c>
      <c r="AO13" s="1116">
        <v>5.04</v>
      </c>
      <c r="AP13" s="1116">
        <v>4.92</v>
      </c>
      <c r="AQ13" s="1114"/>
      <c r="AR13" s="1114"/>
      <c r="AS13" s="1118">
        <f t="shared" si="1"/>
        <v>4.9800000000000004</v>
      </c>
      <c r="AT13" s="1119">
        <v>20.100000000000001</v>
      </c>
      <c r="AU13" s="1119">
        <v>20.3</v>
      </c>
      <c r="AV13" s="1114"/>
      <c r="AW13" s="1114"/>
      <c r="AX13" s="1119">
        <v>11.5</v>
      </c>
      <c r="AY13" s="1120">
        <v>11.6</v>
      </c>
      <c r="AZ13" s="1114"/>
      <c r="BA13" s="1114"/>
      <c r="BB13" s="1119">
        <v>81.099999999999994</v>
      </c>
      <c r="BC13" s="1119">
        <v>82.3</v>
      </c>
      <c r="BD13" s="1119"/>
      <c r="BE13" s="1119"/>
      <c r="BF13" s="1114"/>
      <c r="BG13" s="1114"/>
      <c r="BH13" s="1114"/>
      <c r="BI13" s="1114"/>
      <c r="BJ13" s="1119">
        <v>44.6</v>
      </c>
      <c r="BK13" s="1119">
        <v>44.8</v>
      </c>
      <c r="BL13" s="1119"/>
      <c r="BM13" s="1119"/>
      <c r="BN13" s="1114"/>
      <c r="BO13" s="1114"/>
      <c r="BP13" s="1114"/>
      <c r="BQ13" s="1114"/>
      <c r="BR13" s="1110">
        <v>33</v>
      </c>
      <c r="BS13" s="1110">
        <v>16</v>
      </c>
      <c r="BT13" s="1110">
        <v>33</v>
      </c>
      <c r="BU13" s="1110">
        <v>40</v>
      </c>
      <c r="BV13" s="1110"/>
      <c r="BW13" s="1110"/>
      <c r="BX13" s="1110"/>
      <c r="BY13" s="1110"/>
      <c r="BZ13" s="1114"/>
      <c r="CA13" s="1114"/>
      <c r="CB13" s="1114"/>
      <c r="CC13" s="1114"/>
      <c r="CD13" s="1121">
        <f t="shared" si="2"/>
        <v>33.266666666666666</v>
      </c>
      <c r="CE13" s="1117">
        <f t="shared" si="3"/>
        <v>33.666666666666664</v>
      </c>
      <c r="CF13" s="1117">
        <f t="shared" si="4"/>
        <v>0</v>
      </c>
      <c r="CG13" s="1117">
        <f t="shared" si="5"/>
        <v>0</v>
      </c>
      <c r="CH13" s="1114"/>
      <c r="CI13" s="1114"/>
      <c r="CJ13" s="1114"/>
      <c r="CK13" s="1114"/>
      <c r="CL13" s="1110">
        <v>52</v>
      </c>
      <c r="CM13" s="1122">
        <v>1.5</v>
      </c>
      <c r="CN13" s="1116"/>
      <c r="CO13" s="1123"/>
      <c r="CP13" s="1090"/>
      <c r="CQ13" s="1116"/>
      <c r="CR13" s="1119"/>
      <c r="CS13" s="1119"/>
      <c r="CT13" s="1088"/>
      <c r="CU13" s="1116"/>
      <c r="CV13" s="1032"/>
      <c r="CW13" s="1125"/>
      <c r="CX13" s="1126"/>
      <c r="CY13" s="1127"/>
      <c r="CZ13" s="773"/>
      <c r="DA13" s="1125"/>
      <c r="DB13" s="1128"/>
      <c r="DC13" s="1125"/>
      <c r="DD13" s="1125"/>
      <c r="DE13" s="1125"/>
      <c r="DF13" s="1125"/>
      <c r="DG13" s="1125"/>
      <c r="DH13" s="1125"/>
      <c r="DI13" s="1125"/>
      <c r="DJ13" s="1125"/>
      <c r="DK13" s="1125"/>
      <c r="DL13" s="1125"/>
      <c r="DM13" s="1129"/>
      <c r="DN13" s="1130"/>
      <c r="DO13" s="1131"/>
      <c r="DP13" s="1132"/>
      <c r="DQ13" s="1125"/>
      <c r="DR13" s="1125"/>
      <c r="DS13" s="1133"/>
      <c r="DT13" s="1125"/>
      <c r="DU13" s="1134"/>
      <c r="DV13" s="1134"/>
      <c r="DW13" s="1134"/>
      <c r="DX13" s="1134"/>
      <c r="DY13" s="1134"/>
      <c r="DZ13" s="1134"/>
      <c r="EA13" s="1134"/>
      <c r="EB13" s="1134"/>
      <c r="EC13" s="1134"/>
      <c r="ED13" s="1125"/>
      <c r="EE13" s="1125"/>
      <c r="EF13" s="1125"/>
      <c r="EG13" s="1125"/>
      <c r="EH13" s="1125"/>
      <c r="EI13" s="1125"/>
      <c r="EJ13" s="1125"/>
      <c r="EK13" s="1125"/>
      <c r="EL13" s="1125"/>
      <c r="EM13" s="1135"/>
      <c r="EN13" s="1125"/>
      <c r="EO13" s="1135"/>
      <c r="EP13" s="1125"/>
      <c r="EQ13" s="1135"/>
      <c r="ER13" s="1125"/>
      <c r="ES13" s="1135"/>
      <c r="ET13" s="1125"/>
      <c r="EU13" s="1135"/>
      <c r="EV13" s="1125"/>
      <c r="EW13" s="1135"/>
      <c r="EX13" s="1125"/>
      <c r="EY13" s="1135"/>
      <c r="EZ13" s="1125"/>
      <c r="FA13" s="1135"/>
      <c r="FB13" s="1125"/>
      <c r="FC13" s="1125"/>
      <c r="FD13" s="1125"/>
      <c r="FE13" s="1125"/>
      <c r="FF13" s="1125"/>
      <c r="FG13" s="1125"/>
      <c r="FH13" s="1125"/>
      <c r="FI13" s="1125"/>
      <c r="FJ13" s="1125"/>
      <c r="FK13" s="1125"/>
      <c r="FL13" s="1125"/>
      <c r="FM13" s="1125"/>
      <c r="FN13" s="1125"/>
      <c r="FO13" s="1125"/>
      <c r="FP13" s="1125"/>
      <c r="FQ13" s="1125"/>
      <c r="FR13" s="1137"/>
      <c r="FS13" s="1092"/>
      <c r="FT13" s="1136"/>
      <c r="FU13" s="1092"/>
      <c r="FV13" s="1136"/>
      <c r="FW13" s="1092"/>
      <c r="FX13" s="1136"/>
      <c r="FY13" s="1092"/>
      <c r="FZ13" s="1125"/>
      <c r="GA13" s="1138"/>
      <c r="GB13" s="1125"/>
      <c r="GC13" s="1135"/>
      <c r="GD13" s="1139"/>
      <c r="GE13" s="1135"/>
      <c r="GF13" s="1140"/>
      <c r="GG13" s="1140"/>
      <c r="GH13" s="1104" t="s">
        <v>583</v>
      </c>
      <c r="GI13" s="1105" t="s">
        <v>584</v>
      </c>
      <c r="GJ13" s="1105" t="s">
        <v>585</v>
      </c>
      <c r="GK13" s="1106" t="s">
        <v>125</v>
      </c>
    </row>
    <row r="14" spans="1:193">
      <c r="B14" s="1103" t="s">
        <v>583</v>
      </c>
      <c r="C14" s="1098"/>
      <c r="D14" s="1098"/>
      <c r="E14" s="1076"/>
      <c r="F14" s="856"/>
      <c r="G14" s="936"/>
      <c r="H14" s="4"/>
      <c r="I14" s="1469"/>
      <c r="J14" s="1109">
        <v>8</v>
      </c>
      <c r="K14" s="1089" t="s">
        <v>1709</v>
      </c>
      <c r="L14" s="1089" t="s">
        <v>1712</v>
      </c>
      <c r="M14" s="1102">
        <v>46034</v>
      </c>
      <c r="N14" s="1110">
        <v>2</v>
      </c>
      <c r="O14" s="1111" t="s">
        <v>1041</v>
      </c>
      <c r="P14" s="1090" t="s">
        <v>1740</v>
      </c>
      <c r="Q14" s="1089" t="s">
        <v>1744</v>
      </c>
      <c r="R14" s="1113" t="s">
        <v>1745</v>
      </c>
      <c r="S14" s="1089">
        <f>38*2</f>
        <v>76</v>
      </c>
      <c r="T14" s="1089"/>
      <c r="U14" s="1089">
        <v>75</v>
      </c>
      <c r="V14" s="1089">
        <v>73.900000000000006</v>
      </c>
      <c r="W14" s="1110">
        <v>74.7</v>
      </c>
      <c r="X14" s="1110">
        <v>74.5</v>
      </c>
      <c r="Y14" s="1114"/>
      <c r="Z14" s="1114"/>
      <c r="AA14" s="1114"/>
      <c r="AB14" s="1114"/>
      <c r="AC14" s="851">
        <v>74.900000000000006</v>
      </c>
      <c r="AD14" s="851">
        <v>73.7</v>
      </c>
      <c r="AE14" s="851">
        <v>73.599999999999994</v>
      </c>
      <c r="AF14" s="851">
        <v>73.8</v>
      </c>
      <c r="AG14" s="1115"/>
      <c r="AH14" s="1115"/>
      <c r="AI14" s="1115"/>
      <c r="AJ14" s="1115"/>
      <c r="AK14" s="1116">
        <v>306.33</v>
      </c>
      <c r="AL14" s="1110">
        <v>299</v>
      </c>
      <c r="AM14" s="1110" t="s">
        <v>1728</v>
      </c>
      <c r="AN14" s="1117">
        <f t="shared" si="0"/>
        <v>102.45150501672239</v>
      </c>
      <c r="AO14" s="1116">
        <v>5.05</v>
      </c>
      <c r="AP14" s="1116">
        <v>5.03</v>
      </c>
      <c r="AQ14" s="1114"/>
      <c r="AR14" s="1114"/>
      <c r="AS14" s="1118">
        <f t="shared" si="1"/>
        <v>5.04</v>
      </c>
      <c r="AT14" s="1119">
        <v>21.2</v>
      </c>
      <c r="AU14" s="1119">
        <v>10</v>
      </c>
      <c r="AV14" s="1114"/>
      <c r="AW14" s="1114"/>
      <c r="AX14" s="1119">
        <v>12</v>
      </c>
      <c r="AY14" s="1120">
        <v>11.5</v>
      </c>
      <c r="AZ14" s="1114"/>
      <c r="BA14" s="1114"/>
      <c r="BB14" s="1119">
        <v>84.7</v>
      </c>
      <c r="BC14" s="1119">
        <v>83.2</v>
      </c>
      <c r="BD14" s="1119">
        <v>85</v>
      </c>
      <c r="BE14" s="1119">
        <v>83.5</v>
      </c>
      <c r="BF14" s="1114"/>
      <c r="BG14" s="1114"/>
      <c r="BH14" s="1114"/>
      <c r="BI14" s="1114"/>
      <c r="BJ14" s="1119">
        <v>40.799999999999997</v>
      </c>
      <c r="BK14" s="1119">
        <v>39.5</v>
      </c>
      <c r="BL14" s="1119">
        <v>40.9</v>
      </c>
      <c r="BM14" s="1119">
        <v>39.700000000000003</v>
      </c>
      <c r="BN14" s="1114"/>
      <c r="BO14" s="1114"/>
      <c r="BP14" s="1114"/>
      <c r="BQ14" s="1114"/>
      <c r="BR14" s="1110">
        <v>15</v>
      </c>
      <c r="BS14" s="1110">
        <v>56</v>
      </c>
      <c r="BT14" s="1110">
        <v>3</v>
      </c>
      <c r="BU14" s="1110">
        <v>0</v>
      </c>
      <c r="BV14" s="1110">
        <v>16</v>
      </c>
      <c r="BW14" s="1110">
        <v>0</v>
      </c>
      <c r="BX14" s="1110">
        <v>3</v>
      </c>
      <c r="BY14" s="1110">
        <v>20</v>
      </c>
      <c r="BZ14" s="1114"/>
      <c r="CA14" s="1114"/>
      <c r="CB14" s="1114"/>
      <c r="CC14" s="1114"/>
      <c r="CD14" s="1121">
        <f t="shared" si="2"/>
        <v>15.933333333333334</v>
      </c>
      <c r="CE14" s="1117">
        <f t="shared" si="3"/>
        <v>3</v>
      </c>
      <c r="CF14" s="1117">
        <f t="shared" si="4"/>
        <v>16</v>
      </c>
      <c r="CG14" s="1117">
        <f t="shared" si="5"/>
        <v>3.3333333333333335</v>
      </c>
      <c r="CH14" s="1114"/>
      <c r="CI14" s="1114"/>
      <c r="CJ14" s="1114"/>
      <c r="CK14" s="1114"/>
      <c r="CL14" s="1110">
        <v>52</v>
      </c>
      <c r="CM14" s="1122">
        <v>1.5</v>
      </c>
      <c r="CN14" s="1116" t="s">
        <v>1712</v>
      </c>
      <c r="CO14" s="1123">
        <v>46034</v>
      </c>
      <c r="CP14" s="1090" t="s">
        <v>1547</v>
      </c>
      <c r="CQ14" s="1116">
        <v>322.5</v>
      </c>
      <c r="CR14" s="1119">
        <v>315</v>
      </c>
      <c r="CS14" s="1119" t="s">
        <v>1729</v>
      </c>
      <c r="CT14" s="1088">
        <f>CQ14/CR14*100</f>
        <v>102.38095238095238</v>
      </c>
      <c r="CU14" s="1116">
        <v>5.18</v>
      </c>
      <c r="CV14" s="1032" t="s">
        <v>62</v>
      </c>
      <c r="CW14" s="1125" t="s">
        <v>1730</v>
      </c>
      <c r="CX14" s="1126" t="s">
        <v>1712</v>
      </c>
      <c r="CY14" s="1127">
        <v>46031</v>
      </c>
      <c r="CZ14" s="773">
        <v>1</v>
      </c>
      <c r="DA14" s="1125" t="s">
        <v>932</v>
      </c>
      <c r="DB14" s="1128" t="s">
        <v>1746</v>
      </c>
      <c r="DC14" s="1125" t="s">
        <v>1715</v>
      </c>
      <c r="DD14" s="1125">
        <f>50*4</f>
        <v>200</v>
      </c>
      <c r="DE14" s="1125">
        <v>72.2</v>
      </c>
      <c r="DF14" s="1125">
        <v>72.400000000000006</v>
      </c>
      <c r="DG14" s="1125">
        <v>72</v>
      </c>
      <c r="DH14" s="1125">
        <v>72.2</v>
      </c>
      <c r="DI14" s="1125">
        <v>71.599999999999994</v>
      </c>
      <c r="DJ14" s="1125">
        <v>71.5</v>
      </c>
      <c r="DK14" s="1125">
        <v>71.900000000000006</v>
      </c>
      <c r="DL14" s="1125">
        <v>71.8</v>
      </c>
      <c r="DM14" s="1129">
        <f>131.4+134.2+136.2+138.6</f>
        <v>540.4</v>
      </c>
      <c r="DN14" s="1130">
        <v>531.53</v>
      </c>
      <c r="DO14" s="1131" t="s">
        <v>1734</v>
      </c>
      <c r="DP14" s="1132">
        <f t="shared" ref="DP14:DP45" si="12">DM14/DN14*100</f>
        <v>101.6687675201776</v>
      </c>
      <c r="DQ14" s="1125">
        <v>3.44</v>
      </c>
      <c r="DR14" s="1125">
        <v>3.47</v>
      </c>
      <c r="DS14" s="1133">
        <v>3.17</v>
      </c>
      <c r="DT14" s="1125">
        <v>3.31</v>
      </c>
      <c r="DU14" s="1134">
        <f t="shared" ref="DU14:DU45" si="13">AVERAGE(DQ14:DT14)</f>
        <v>3.3475000000000001</v>
      </c>
      <c r="DV14" s="1134">
        <v>72</v>
      </c>
      <c r="DW14" s="1134">
        <v>72</v>
      </c>
      <c r="DX14" s="1134">
        <v>71.7</v>
      </c>
      <c r="DY14" s="1134">
        <v>72</v>
      </c>
      <c r="DZ14" s="1134">
        <v>71.3</v>
      </c>
      <c r="EA14" s="1134">
        <v>71.2</v>
      </c>
      <c r="EB14" s="1134">
        <v>71.400000000000006</v>
      </c>
      <c r="EC14" s="1134">
        <v>71.5</v>
      </c>
      <c r="ED14" s="1125">
        <v>18.600000000000001</v>
      </c>
      <c r="EE14" s="1125">
        <v>18.899999999999999</v>
      </c>
      <c r="EF14" s="1125">
        <v>18.8</v>
      </c>
      <c r="EG14" s="1125">
        <v>19.2</v>
      </c>
      <c r="EH14" s="1125">
        <v>10.4</v>
      </c>
      <c r="EI14" s="1125">
        <v>11</v>
      </c>
      <c r="EJ14" s="1125">
        <v>10.7</v>
      </c>
      <c r="EK14" s="1125">
        <v>11.3</v>
      </c>
      <c r="EL14" s="1125">
        <v>80.7</v>
      </c>
      <c r="EM14" s="1135"/>
      <c r="EN14" s="1125">
        <v>80.099999999999994</v>
      </c>
      <c r="EO14" s="1135"/>
      <c r="EP14" s="1125">
        <v>83.5</v>
      </c>
      <c r="EQ14" s="1135"/>
      <c r="ER14" s="1125">
        <v>82.3</v>
      </c>
      <c r="ES14" s="1135"/>
      <c r="ET14" s="1125">
        <v>42.3</v>
      </c>
      <c r="EU14" s="1135"/>
      <c r="EV14" s="1125">
        <v>42.6</v>
      </c>
      <c r="EW14" s="1135"/>
      <c r="EX14" s="1125">
        <v>42.1</v>
      </c>
      <c r="EY14" s="1135"/>
      <c r="EZ14" s="1125">
        <v>41.2</v>
      </c>
      <c r="FA14" s="1135"/>
      <c r="FB14" s="1125">
        <v>39</v>
      </c>
      <c r="FC14" s="1125">
        <v>5</v>
      </c>
      <c r="FD14" s="1125">
        <v>40</v>
      </c>
      <c r="FE14" s="1125">
        <v>0</v>
      </c>
      <c r="FF14" s="1125">
        <v>38</v>
      </c>
      <c r="FG14" s="1125">
        <v>53</v>
      </c>
      <c r="FH14" s="1125">
        <v>37</v>
      </c>
      <c r="FI14" s="1125">
        <v>49</v>
      </c>
      <c r="FJ14" s="1125"/>
      <c r="FK14" s="1125"/>
      <c r="FL14" s="1125"/>
      <c r="FM14" s="1125"/>
      <c r="FN14" s="1125"/>
      <c r="FO14" s="1125"/>
      <c r="FP14" s="1125"/>
      <c r="FQ14" s="1125"/>
      <c r="FR14" s="1137">
        <f t="shared" ref="FR14:FR45" si="14">FB14+(FC14/60)</f>
        <v>39.083333333333336</v>
      </c>
      <c r="FS14" s="1092"/>
      <c r="FT14" s="1136">
        <f t="shared" ref="FT14:FT45" si="15">FD14+(FE14/60)</f>
        <v>40</v>
      </c>
      <c r="FU14" s="1092"/>
      <c r="FV14" s="1136">
        <f t="shared" ref="FV14:FV45" si="16">FF14+(FG14/60)</f>
        <v>38.883333333333333</v>
      </c>
      <c r="FW14" s="1092"/>
      <c r="FX14" s="1136">
        <f t="shared" ref="FX14:FX45" si="17">FH14+(FI14/60)</f>
        <v>37.81666666666667</v>
      </c>
      <c r="FY14" s="1092"/>
      <c r="FZ14" s="1125">
        <v>52</v>
      </c>
      <c r="GA14" s="1138">
        <v>1.5</v>
      </c>
      <c r="GB14" s="1125" t="s">
        <v>62</v>
      </c>
      <c r="GC14" s="1135"/>
      <c r="GD14" s="1139"/>
      <c r="GE14" s="1135"/>
      <c r="GF14" s="1140"/>
      <c r="GG14" s="1140"/>
      <c r="GH14" s="1103" t="s">
        <v>583</v>
      </c>
      <c r="GI14" s="1098" t="s">
        <v>584</v>
      </c>
      <c r="GJ14" s="1098" t="s">
        <v>585</v>
      </c>
      <c r="GK14" s="1076" t="s">
        <v>125</v>
      </c>
    </row>
    <row r="15" spans="1:193">
      <c r="B15" s="1104" t="s">
        <v>583</v>
      </c>
      <c r="C15" s="1105"/>
      <c r="D15" s="1105"/>
      <c r="E15" s="1106"/>
      <c r="F15" s="1107"/>
      <c r="G15" s="1108"/>
      <c r="H15" s="710"/>
      <c r="I15" s="1438"/>
      <c r="J15" s="1109"/>
      <c r="K15" s="1089" t="s">
        <v>1709</v>
      </c>
      <c r="L15" s="1089" t="s">
        <v>1712</v>
      </c>
      <c r="M15" s="1102">
        <v>46037</v>
      </c>
      <c r="N15" s="1110">
        <v>1</v>
      </c>
      <c r="O15" s="1111" t="s">
        <v>1041</v>
      </c>
      <c r="P15" s="1090" t="s">
        <v>1727</v>
      </c>
      <c r="Q15" s="1089" t="s">
        <v>1735</v>
      </c>
      <c r="R15" s="1113" t="s">
        <v>1745</v>
      </c>
      <c r="S15" s="1089">
        <f>42*2</f>
        <v>84</v>
      </c>
      <c r="T15" s="1089"/>
      <c r="U15" s="1089">
        <v>78.900000000000006</v>
      </c>
      <c r="V15" s="1089">
        <v>78.099999999999994</v>
      </c>
      <c r="W15" s="1110">
        <v>77.2</v>
      </c>
      <c r="X15" s="1110">
        <v>78</v>
      </c>
      <c r="Y15" s="1114"/>
      <c r="Z15" s="1114"/>
      <c r="AA15" s="1114"/>
      <c r="AB15" s="1114"/>
      <c r="AC15" s="851">
        <v>78.2</v>
      </c>
      <c r="AD15" s="851">
        <v>77.599999999999994</v>
      </c>
      <c r="AE15" s="851">
        <v>76.8</v>
      </c>
      <c r="AF15" s="851">
        <v>77.5</v>
      </c>
      <c r="AG15" s="1115"/>
      <c r="AH15" s="1115"/>
      <c r="AI15" s="1115"/>
      <c r="AJ15" s="1115"/>
      <c r="AK15" s="1116">
        <v>313.89999999999998</v>
      </c>
      <c r="AL15" s="1110">
        <v>299</v>
      </c>
      <c r="AM15" s="1110" t="s">
        <v>1728</v>
      </c>
      <c r="AN15" s="1117">
        <f t="shared" si="0"/>
        <v>104.98327759197323</v>
      </c>
      <c r="AO15" s="1116">
        <v>5.08</v>
      </c>
      <c r="AP15" s="1116">
        <v>5.04</v>
      </c>
      <c r="AQ15" s="1114"/>
      <c r="AR15" s="1114"/>
      <c r="AS15" s="1118">
        <f t="shared" si="1"/>
        <v>5.0600000000000005</v>
      </c>
      <c r="AT15" s="1119">
        <v>20.3</v>
      </c>
      <c r="AU15" s="1119">
        <v>20</v>
      </c>
      <c r="AV15" s="1114"/>
      <c r="AW15" s="1114"/>
      <c r="AX15" s="1119">
        <v>11.7</v>
      </c>
      <c r="AY15" s="1120">
        <v>11.1</v>
      </c>
      <c r="AZ15" s="1114"/>
      <c r="BA15" s="1114"/>
      <c r="BB15" s="1119">
        <v>84.4</v>
      </c>
      <c r="BC15" s="1119">
        <v>80.2</v>
      </c>
      <c r="BD15" s="1119"/>
      <c r="BE15" s="1119"/>
      <c r="BF15" s="1114"/>
      <c r="BG15" s="1114"/>
      <c r="BH15" s="1114"/>
      <c r="BI15" s="1114"/>
      <c r="BJ15" s="1119">
        <v>44.3</v>
      </c>
      <c r="BK15" s="1119">
        <v>44.5</v>
      </c>
      <c r="BL15" s="1119"/>
      <c r="BM15" s="1119"/>
      <c r="BN15" s="1114"/>
      <c r="BO15" s="1114"/>
      <c r="BP15" s="1114"/>
      <c r="BQ15" s="1114"/>
      <c r="BR15" s="1110">
        <v>33</v>
      </c>
      <c r="BS15" s="1110">
        <v>27</v>
      </c>
      <c r="BT15" s="1110">
        <v>33</v>
      </c>
      <c r="BU15" s="1110">
        <v>36</v>
      </c>
      <c r="BV15" s="1110"/>
      <c r="BW15" s="1110"/>
      <c r="BX15" s="1110"/>
      <c r="BY15" s="1110"/>
      <c r="BZ15" s="1114"/>
      <c r="CA15" s="1114"/>
      <c r="CB15" s="1114"/>
      <c r="CC15" s="1114"/>
      <c r="CD15" s="1121">
        <f t="shared" si="2"/>
        <v>33.450000000000003</v>
      </c>
      <c r="CE15" s="1117">
        <f t="shared" si="3"/>
        <v>33.6</v>
      </c>
      <c r="CF15" s="1117">
        <f t="shared" si="4"/>
        <v>0</v>
      </c>
      <c r="CG15" s="1117">
        <f t="shared" si="5"/>
        <v>0</v>
      </c>
      <c r="CH15" s="1114"/>
      <c r="CI15" s="1114"/>
      <c r="CJ15" s="1114"/>
      <c r="CK15" s="1114"/>
      <c r="CL15" s="1110">
        <v>52</v>
      </c>
      <c r="CM15" s="1122">
        <v>1.5</v>
      </c>
      <c r="CN15" s="1116"/>
      <c r="CO15" s="1123"/>
      <c r="CP15" s="1090"/>
      <c r="CQ15" s="1116"/>
      <c r="CR15" s="1119"/>
      <c r="CS15" s="1119"/>
      <c r="CT15" s="1088"/>
      <c r="CU15" s="1116"/>
      <c r="CV15" s="1032"/>
      <c r="CW15" s="1125"/>
      <c r="CX15" s="1126"/>
      <c r="CY15" s="1127"/>
      <c r="CZ15" s="773"/>
      <c r="DA15" s="1125"/>
      <c r="DB15" s="1128"/>
      <c r="DC15" s="1125"/>
      <c r="DD15" s="1125"/>
      <c r="DE15" s="1125"/>
      <c r="DF15" s="1125"/>
      <c r="DG15" s="1125"/>
      <c r="DH15" s="1125"/>
      <c r="DI15" s="1125"/>
      <c r="DJ15" s="1125"/>
      <c r="DK15" s="1125"/>
      <c r="DL15" s="1125"/>
      <c r="DM15" s="1129"/>
      <c r="DN15" s="1130"/>
      <c r="DO15" s="1131"/>
      <c r="DP15" s="1132"/>
      <c r="DQ15" s="1125"/>
      <c r="DR15" s="1125"/>
      <c r="DS15" s="1133"/>
      <c r="DT15" s="1125"/>
      <c r="DU15" s="1134"/>
      <c r="DV15" s="1134"/>
      <c r="DW15" s="1134"/>
      <c r="DX15" s="1134"/>
      <c r="DY15" s="1134"/>
      <c r="DZ15" s="1134"/>
      <c r="EA15" s="1134"/>
      <c r="EB15" s="1134"/>
      <c r="EC15" s="1134"/>
      <c r="ED15" s="1125"/>
      <c r="EE15" s="1125"/>
      <c r="EF15" s="1125"/>
      <c r="EG15" s="1125"/>
      <c r="EH15" s="1125"/>
      <c r="EI15" s="1125"/>
      <c r="EJ15" s="1125"/>
      <c r="EK15" s="1125"/>
      <c r="EL15" s="1125"/>
      <c r="EM15" s="1135"/>
      <c r="EN15" s="1125"/>
      <c r="EO15" s="1135"/>
      <c r="EP15" s="1125"/>
      <c r="EQ15" s="1135"/>
      <c r="ER15" s="1125"/>
      <c r="ES15" s="1135"/>
      <c r="ET15" s="1125"/>
      <c r="EU15" s="1135"/>
      <c r="EV15" s="1125"/>
      <c r="EW15" s="1135"/>
      <c r="EX15" s="1125"/>
      <c r="EY15" s="1135"/>
      <c r="EZ15" s="1125"/>
      <c r="FA15" s="1135"/>
      <c r="FB15" s="1125"/>
      <c r="FC15" s="1125"/>
      <c r="FD15" s="1125"/>
      <c r="FE15" s="1125"/>
      <c r="FF15" s="1125"/>
      <c r="FG15" s="1125"/>
      <c r="FH15" s="1125"/>
      <c r="FI15" s="1125"/>
      <c r="FJ15" s="1125"/>
      <c r="FK15" s="1125"/>
      <c r="FL15" s="1125"/>
      <c r="FM15" s="1125"/>
      <c r="FN15" s="1125"/>
      <c r="FO15" s="1125"/>
      <c r="FP15" s="1125"/>
      <c r="FQ15" s="1125"/>
      <c r="FR15" s="1137"/>
      <c r="FS15" s="1092"/>
      <c r="FT15" s="1136"/>
      <c r="FU15" s="1092"/>
      <c r="FV15" s="1136"/>
      <c r="FW15" s="1092"/>
      <c r="FX15" s="1136"/>
      <c r="FY15" s="1092"/>
      <c r="FZ15" s="1125"/>
      <c r="GA15" s="1138"/>
      <c r="GB15" s="1125"/>
      <c r="GC15" s="1135"/>
      <c r="GD15" s="1139"/>
      <c r="GE15" s="1135"/>
      <c r="GF15" s="1140"/>
      <c r="GG15" s="1140"/>
      <c r="GH15" s="1104" t="s">
        <v>583</v>
      </c>
      <c r="GI15" s="1105" t="s">
        <v>584</v>
      </c>
      <c r="GJ15" s="1105" t="s">
        <v>585</v>
      </c>
      <c r="GK15" s="1106" t="s">
        <v>125</v>
      </c>
    </row>
    <row r="16" spans="1:193">
      <c r="B16" s="1103" t="s">
        <v>583</v>
      </c>
      <c r="C16" s="1098"/>
      <c r="D16" s="1098"/>
      <c r="E16" s="1076"/>
      <c r="F16" s="856"/>
      <c r="G16" s="936"/>
      <c r="H16" s="4"/>
      <c r="I16" s="3"/>
      <c r="J16" s="1109">
        <v>9</v>
      </c>
      <c r="K16" s="1089" t="s">
        <v>1709</v>
      </c>
      <c r="L16" s="1089" t="s">
        <v>1712</v>
      </c>
      <c r="M16" s="1102">
        <v>46034</v>
      </c>
      <c r="N16" s="1110">
        <v>2</v>
      </c>
      <c r="O16" s="1111" t="s">
        <v>1041</v>
      </c>
      <c r="P16" s="1090" t="s">
        <v>1724</v>
      </c>
      <c r="Q16" s="1089" t="s">
        <v>1744</v>
      </c>
      <c r="R16" s="1113" t="s">
        <v>1747</v>
      </c>
      <c r="S16" s="1089">
        <f>38*2</f>
        <v>76</v>
      </c>
      <c r="T16" s="1089"/>
      <c r="U16" s="1089">
        <v>74.3</v>
      </c>
      <c r="V16" s="1089">
        <v>74.8</v>
      </c>
      <c r="W16" s="1110">
        <v>74.3</v>
      </c>
      <c r="X16" s="1110">
        <v>73.5</v>
      </c>
      <c r="Y16" s="1114"/>
      <c r="Z16" s="1114"/>
      <c r="AA16" s="1114"/>
      <c r="AB16" s="1114"/>
      <c r="AC16" s="851">
        <v>74.5</v>
      </c>
      <c r="AD16" s="851">
        <v>74</v>
      </c>
      <c r="AE16" s="851">
        <v>74.099999999999994</v>
      </c>
      <c r="AF16" s="851">
        <v>73.900000000000006</v>
      </c>
      <c r="AG16" s="1115"/>
      <c r="AH16" s="1115"/>
      <c r="AI16" s="1115"/>
      <c r="AJ16" s="1115"/>
      <c r="AK16" s="1116">
        <f>152.1+154.45</f>
        <v>306.54999999999995</v>
      </c>
      <c r="AL16" s="1110">
        <v>299</v>
      </c>
      <c r="AM16" s="1110" t="s">
        <v>1728</v>
      </c>
      <c r="AN16" s="1117">
        <f t="shared" si="0"/>
        <v>102.52508361204011</v>
      </c>
      <c r="AO16" s="1116">
        <v>5.0999999999999996</v>
      </c>
      <c r="AP16" s="1116">
        <v>4.88</v>
      </c>
      <c r="AQ16" s="1114"/>
      <c r="AR16" s="1114"/>
      <c r="AS16" s="1118">
        <f t="shared" si="1"/>
        <v>4.99</v>
      </c>
      <c r="AT16" s="1119">
        <v>20.8</v>
      </c>
      <c r="AU16" s="1119">
        <v>20.6</v>
      </c>
      <c r="AV16" s="1114"/>
      <c r="AW16" s="1114"/>
      <c r="AX16" s="1119">
        <v>11.8</v>
      </c>
      <c r="AY16" s="1120">
        <v>11.3</v>
      </c>
      <c r="AZ16" s="1114"/>
      <c r="BA16" s="1114"/>
      <c r="BB16" s="1119">
        <v>83.8</v>
      </c>
      <c r="BC16" s="1119">
        <v>80.2</v>
      </c>
      <c r="BD16" s="1119">
        <v>84.4</v>
      </c>
      <c r="BE16" s="1119">
        <v>79.599999999999994</v>
      </c>
      <c r="BF16" s="1114"/>
      <c r="BG16" s="1114"/>
      <c r="BH16" s="1114"/>
      <c r="BI16" s="1114"/>
      <c r="BJ16" s="1119">
        <v>40.200000000000003</v>
      </c>
      <c r="BK16" s="1119">
        <v>39.9</v>
      </c>
      <c r="BL16" s="1119">
        <v>40.299999999999997</v>
      </c>
      <c r="BM16" s="1119">
        <v>39.700000000000003</v>
      </c>
      <c r="BN16" s="1114"/>
      <c r="BO16" s="1114"/>
      <c r="BP16" s="1114"/>
      <c r="BQ16" s="1114"/>
      <c r="BR16" s="1110">
        <v>17</v>
      </c>
      <c r="BS16" s="1110">
        <v>25</v>
      </c>
      <c r="BT16" s="1110">
        <v>2</v>
      </c>
      <c r="BU16" s="1110">
        <v>13</v>
      </c>
      <c r="BV16" s="1110">
        <v>17</v>
      </c>
      <c r="BW16" s="1110">
        <v>31</v>
      </c>
      <c r="BX16" s="1110">
        <v>2</v>
      </c>
      <c r="BY16" s="1110">
        <v>46</v>
      </c>
      <c r="BZ16" s="1114"/>
      <c r="CA16" s="1114"/>
      <c r="CB16" s="1114"/>
      <c r="CC16" s="1114"/>
      <c r="CD16" s="1121">
        <f t="shared" si="2"/>
        <v>17.416666666666668</v>
      </c>
      <c r="CE16" s="1117">
        <f t="shared" si="3"/>
        <v>2.2166666666666668</v>
      </c>
      <c r="CF16" s="1117">
        <f t="shared" si="4"/>
        <v>17.516666666666666</v>
      </c>
      <c r="CG16" s="1117">
        <f t="shared" si="5"/>
        <v>2.7666666666666666</v>
      </c>
      <c r="CH16" s="1114"/>
      <c r="CI16" s="1114"/>
      <c r="CJ16" s="1114"/>
      <c r="CK16" s="1114"/>
      <c r="CL16" s="1110">
        <v>52</v>
      </c>
      <c r="CM16" s="1122">
        <v>1.5</v>
      </c>
      <c r="CN16" s="1116" t="s">
        <v>1712</v>
      </c>
      <c r="CO16" s="1123">
        <v>46034</v>
      </c>
      <c r="CP16" s="1090" t="s">
        <v>1547</v>
      </c>
      <c r="CQ16" s="1116">
        <v>322.89999999999998</v>
      </c>
      <c r="CR16" s="1119">
        <v>315</v>
      </c>
      <c r="CS16" s="1119" t="s">
        <v>1729</v>
      </c>
      <c r="CT16" s="1088">
        <f t="shared" ref="CT16:CT47" si="18">CQ16/CR16*100</f>
        <v>102.50793650793651</v>
      </c>
      <c r="CU16" s="1116">
        <v>4.8</v>
      </c>
      <c r="CV16" s="1032" t="s">
        <v>62</v>
      </c>
      <c r="CW16" s="1125" t="s">
        <v>1730</v>
      </c>
      <c r="CX16" s="1126" t="s">
        <v>1712</v>
      </c>
      <c r="CY16" s="1127">
        <v>46031</v>
      </c>
      <c r="CZ16" s="773">
        <v>1</v>
      </c>
      <c r="DA16" s="1125" t="s">
        <v>932</v>
      </c>
      <c r="DB16" s="1128" t="s">
        <v>1748</v>
      </c>
      <c r="DC16" s="1125" t="s">
        <v>1715</v>
      </c>
      <c r="DD16" s="1125">
        <f t="shared" ref="DD16:DD45" si="19">50*4</f>
        <v>200</v>
      </c>
      <c r="DE16" s="1125">
        <v>71</v>
      </c>
      <c r="DF16" s="1125">
        <v>71.3</v>
      </c>
      <c r="DG16" s="1125">
        <v>71.8</v>
      </c>
      <c r="DH16" s="1125">
        <v>70.599999999999994</v>
      </c>
      <c r="DI16" s="1125">
        <v>71.5</v>
      </c>
      <c r="DJ16" s="1125">
        <v>71.7</v>
      </c>
      <c r="DK16" s="1125">
        <v>71.099999999999994</v>
      </c>
      <c r="DL16" s="1125">
        <v>71.900000000000006</v>
      </c>
      <c r="DM16" s="1129">
        <f>127.5+137.4+133.8+135.7</f>
        <v>534.4</v>
      </c>
      <c r="DN16" s="1130">
        <v>531.53</v>
      </c>
      <c r="DO16" s="1131" t="s">
        <v>1734</v>
      </c>
      <c r="DP16" s="1132">
        <f t="shared" si="12"/>
        <v>100.53995070833255</v>
      </c>
      <c r="DQ16" s="1125">
        <v>3.17</v>
      </c>
      <c r="DR16" s="1125">
        <v>3.39</v>
      </c>
      <c r="DS16" s="1133">
        <v>3.32</v>
      </c>
      <c r="DT16" s="1125">
        <v>3.27</v>
      </c>
      <c r="DU16" s="1134">
        <f t="shared" si="13"/>
        <v>3.2875000000000001</v>
      </c>
      <c r="DV16" s="1134">
        <v>70.8</v>
      </c>
      <c r="DW16" s="1134">
        <v>71</v>
      </c>
      <c r="DX16" s="1134">
        <v>71</v>
      </c>
      <c r="DY16" s="1134">
        <v>70.5</v>
      </c>
      <c r="DZ16" s="1134">
        <v>71</v>
      </c>
      <c r="EA16" s="1134">
        <v>71.3</v>
      </c>
      <c r="EB16" s="1134">
        <v>70.8</v>
      </c>
      <c r="EC16" s="1134">
        <v>71.599999999999994</v>
      </c>
      <c r="ED16" s="1125">
        <v>18.899999999999999</v>
      </c>
      <c r="EE16" s="1125">
        <v>18.600000000000001</v>
      </c>
      <c r="EF16" s="1125">
        <v>18.399999999999999</v>
      </c>
      <c r="EG16" s="1125">
        <v>18.600000000000001</v>
      </c>
      <c r="EH16" s="1125">
        <v>10.4</v>
      </c>
      <c r="EI16" s="1125">
        <v>10.8</v>
      </c>
      <c r="EJ16" s="1125">
        <v>10.3</v>
      </c>
      <c r="EK16" s="1125">
        <v>10.6</v>
      </c>
      <c r="EL16" s="1125">
        <v>83.8</v>
      </c>
      <c r="EM16" s="1135"/>
      <c r="EN16" s="1125">
        <v>82.6</v>
      </c>
      <c r="EO16" s="1135"/>
      <c r="EP16" s="1125">
        <v>82.9</v>
      </c>
      <c r="EQ16" s="1135"/>
      <c r="ER16" s="1125">
        <v>83</v>
      </c>
      <c r="ES16" s="1135"/>
      <c r="ET16" s="1125">
        <v>42.5</v>
      </c>
      <c r="EU16" s="1135"/>
      <c r="EV16" s="1125">
        <v>41</v>
      </c>
      <c r="EW16" s="1135"/>
      <c r="EX16" s="1125">
        <v>41.3</v>
      </c>
      <c r="EY16" s="1135"/>
      <c r="EZ16" s="1125">
        <v>40.799999999999997</v>
      </c>
      <c r="FA16" s="1135"/>
      <c r="FB16" s="1125">
        <v>39</v>
      </c>
      <c r="FC16" s="1125">
        <v>0</v>
      </c>
      <c r="FD16" s="1125">
        <v>37</v>
      </c>
      <c r="FE16" s="1125">
        <v>8</v>
      </c>
      <c r="FF16" s="1125">
        <v>38</v>
      </c>
      <c r="FG16" s="1125">
        <v>0</v>
      </c>
      <c r="FH16" s="1125">
        <v>38</v>
      </c>
      <c r="FI16" s="1125">
        <v>30</v>
      </c>
      <c r="FJ16" s="1125"/>
      <c r="FK16" s="1125"/>
      <c r="FL16" s="1125"/>
      <c r="FM16" s="1125"/>
      <c r="FN16" s="1125"/>
      <c r="FO16" s="1125"/>
      <c r="FP16" s="1125"/>
      <c r="FQ16" s="1125"/>
      <c r="FR16" s="1137">
        <f t="shared" si="14"/>
        <v>39</v>
      </c>
      <c r="FS16" s="1092"/>
      <c r="FT16" s="1136">
        <f t="shared" si="15"/>
        <v>37.133333333333333</v>
      </c>
      <c r="FU16" s="1092"/>
      <c r="FV16" s="1136">
        <f t="shared" si="16"/>
        <v>38</v>
      </c>
      <c r="FW16" s="1092"/>
      <c r="FX16" s="1136">
        <f t="shared" si="17"/>
        <v>38.5</v>
      </c>
      <c r="FY16" s="1092"/>
      <c r="FZ16" s="1125">
        <v>52</v>
      </c>
      <c r="GA16" s="1138">
        <v>1.5</v>
      </c>
      <c r="GB16" s="1125" t="s">
        <v>62</v>
      </c>
      <c r="GC16" s="1135"/>
      <c r="GD16" s="1139"/>
      <c r="GE16" s="1135"/>
      <c r="GF16" s="1140"/>
      <c r="GG16" s="1140"/>
      <c r="GH16" s="1103" t="s">
        <v>583</v>
      </c>
      <c r="GI16" s="1098" t="s">
        <v>584</v>
      </c>
      <c r="GJ16" s="1098" t="s">
        <v>585</v>
      </c>
      <c r="GK16" s="1076" t="s">
        <v>125</v>
      </c>
    </row>
    <row r="17" spans="2:193">
      <c r="B17" s="1104" t="s">
        <v>583</v>
      </c>
      <c r="C17" s="1105"/>
      <c r="D17" s="1105"/>
      <c r="E17" s="1106"/>
      <c r="F17" s="1107"/>
      <c r="G17" s="1108"/>
      <c r="H17" s="710"/>
      <c r="I17" s="807"/>
      <c r="J17" s="1109"/>
      <c r="K17" s="1089" t="s">
        <v>1709</v>
      </c>
      <c r="L17" s="1089" t="s">
        <v>1712</v>
      </c>
      <c r="M17" s="1102">
        <v>46037</v>
      </c>
      <c r="N17" s="1110">
        <v>1</v>
      </c>
      <c r="O17" s="1111" t="s">
        <v>1041</v>
      </c>
      <c r="P17" s="1090" t="s">
        <v>1724</v>
      </c>
      <c r="Q17" s="1089" t="s">
        <v>1735</v>
      </c>
      <c r="R17" s="1113" t="s">
        <v>1747</v>
      </c>
      <c r="S17" s="1089">
        <f>48*2</f>
        <v>96</v>
      </c>
      <c r="T17" s="1089"/>
      <c r="U17" s="1089">
        <v>78.599999999999994</v>
      </c>
      <c r="V17" s="1089">
        <v>78.3</v>
      </c>
      <c r="W17" s="1110">
        <v>80.599999999999994</v>
      </c>
      <c r="X17" s="1110">
        <v>80.3</v>
      </c>
      <c r="Y17" s="1114"/>
      <c r="Z17" s="1114"/>
      <c r="AA17" s="1114"/>
      <c r="AB17" s="1114"/>
      <c r="AC17" s="851">
        <v>77.5</v>
      </c>
      <c r="AD17" s="851">
        <v>76.8</v>
      </c>
      <c r="AE17" s="851">
        <v>77.3</v>
      </c>
      <c r="AF17" s="851">
        <v>77.099999999999994</v>
      </c>
      <c r="AG17" s="1115"/>
      <c r="AH17" s="1115"/>
      <c r="AI17" s="1115"/>
      <c r="AJ17" s="1115"/>
      <c r="AK17" s="1116">
        <v>317.3</v>
      </c>
      <c r="AL17" s="1110">
        <v>299</v>
      </c>
      <c r="AM17" s="1110" t="s">
        <v>1728</v>
      </c>
      <c r="AN17" s="1117">
        <f t="shared" si="0"/>
        <v>106.12040133779263</v>
      </c>
      <c r="AO17" s="1116">
        <v>5.04</v>
      </c>
      <c r="AP17" s="1116">
        <v>4.8099999999999996</v>
      </c>
      <c r="AQ17" s="1114"/>
      <c r="AR17" s="1114"/>
      <c r="AS17" s="1118">
        <f t="shared" si="1"/>
        <v>4.9249999999999998</v>
      </c>
      <c r="AT17" s="1119">
        <v>20.3</v>
      </c>
      <c r="AU17" s="1119">
        <v>20.100000000000001</v>
      </c>
      <c r="AV17" s="1114"/>
      <c r="AW17" s="1114"/>
      <c r="AX17" s="1119">
        <v>11.5</v>
      </c>
      <c r="AY17" s="1120">
        <v>11.2</v>
      </c>
      <c r="AZ17" s="1114"/>
      <c r="BA17" s="1114"/>
      <c r="BB17" s="1119">
        <v>85.6</v>
      </c>
      <c r="BC17" s="1119">
        <v>83.4</v>
      </c>
      <c r="BD17" s="1119"/>
      <c r="BE17" s="1119"/>
      <c r="BF17" s="1114"/>
      <c r="BG17" s="1114"/>
      <c r="BH17" s="1114"/>
      <c r="BI17" s="1114"/>
      <c r="BJ17" s="1119">
        <v>45.2</v>
      </c>
      <c r="BK17" s="1119">
        <v>45.9</v>
      </c>
      <c r="BL17" s="1119"/>
      <c r="BM17" s="1119"/>
      <c r="BN17" s="1114"/>
      <c r="BO17" s="1114"/>
      <c r="BP17" s="1114"/>
      <c r="BQ17" s="1114"/>
      <c r="BR17" s="1110">
        <v>35</v>
      </c>
      <c r="BS17" s="1110">
        <v>13</v>
      </c>
      <c r="BT17" s="1110">
        <v>35</v>
      </c>
      <c r="BU17" s="1110">
        <v>51</v>
      </c>
      <c r="BV17" s="1110"/>
      <c r="BW17" s="1110"/>
      <c r="BX17" s="1110"/>
      <c r="BY17" s="1110"/>
      <c r="BZ17" s="1114"/>
      <c r="CA17" s="1114"/>
      <c r="CB17" s="1114"/>
      <c r="CC17" s="1114"/>
      <c r="CD17" s="1121">
        <f t="shared" si="2"/>
        <v>35.216666666666669</v>
      </c>
      <c r="CE17" s="1117">
        <f t="shared" si="3"/>
        <v>35.85</v>
      </c>
      <c r="CF17" s="1117">
        <f t="shared" si="4"/>
        <v>0</v>
      </c>
      <c r="CG17" s="1117">
        <f t="shared" si="5"/>
        <v>0</v>
      </c>
      <c r="CH17" s="1114"/>
      <c r="CI17" s="1114"/>
      <c r="CJ17" s="1114"/>
      <c r="CK17" s="1114"/>
      <c r="CL17" s="1110">
        <v>52</v>
      </c>
      <c r="CM17" s="1122">
        <v>1.5</v>
      </c>
      <c r="CN17" s="1116"/>
      <c r="CO17" s="1123"/>
      <c r="CP17" s="1090"/>
      <c r="CQ17" s="1116"/>
      <c r="CR17" s="1119"/>
      <c r="CS17" s="1119"/>
      <c r="CT17" s="1088"/>
      <c r="CU17" s="1116"/>
      <c r="CV17" s="1032"/>
      <c r="CW17" s="1125"/>
      <c r="CX17" s="1126"/>
      <c r="CY17" s="1127"/>
      <c r="CZ17" s="773"/>
      <c r="DA17" s="1125"/>
      <c r="DB17" s="1128"/>
      <c r="DC17" s="1125"/>
      <c r="DD17" s="1125"/>
      <c r="DE17" s="1125"/>
      <c r="DF17" s="1125"/>
      <c r="DG17" s="1125"/>
      <c r="DH17" s="1125"/>
      <c r="DI17" s="1125"/>
      <c r="DJ17" s="1125"/>
      <c r="DK17" s="1125"/>
      <c r="DL17" s="1125"/>
      <c r="DM17" s="1129"/>
      <c r="DN17" s="1130"/>
      <c r="DO17" s="1131"/>
      <c r="DP17" s="1132"/>
      <c r="DQ17" s="1125"/>
      <c r="DR17" s="1125"/>
      <c r="DS17" s="1133"/>
      <c r="DT17" s="1125"/>
      <c r="DU17" s="1134"/>
      <c r="DV17" s="1134"/>
      <c r="DW17" s="1134"/>
      <c r="DX17" s="1134"/>
      <c r="DY17" s="1134"/>
      <c r="DZ17" s="1134"/>
      <c r="EA17" s="1134"/>
      <c r="EB17" s="1134"/>
      <c r="EC17" s="1134"/>
      <c r="ED17" s="1125"/>
      <c r="EE17" s="1125"/>
      <c r="EF17" s="1125"/>
      <c r="EG17" s="1125"/>
      <c r="EH17" s="1125"/>
      <c r="EI17" s="1125"/>
      <c r="EJ17" s="1125"/>
      <c r="EK17" s="1125"/>
      <c r="EL17" s="1125"/>
      <c r="EM17" s="1135"/>
      <c r="EN17" s="1125"/>
      <c r="EO17" s="1135"/>
      <c r="EP17" s="1125"/>
      <c r="EQ17" s="1135"/>
      <c r="ER17" s="1125"/>
      <c r="ES17" s="1135"/>
      <c r="ET17" s="1125"/>
      <c r="EU17" s="1135"/>
      <c r="EV17" s="1125"/>
      <c r="EW17" s="1135"/>
      <c r="EX17" s="1125"/>
      <c r="EY17" s="1135"/>
      <c r="EZ17" s="1125"/>
      <c r="FA17" s="1135"/>
      <c r="FB17" s="1125"/>
      <c r="FC17" s="1125"/>
      <c r="FD17" s="1125"/>
      <c r="FE17" s="1125"/>
      <c r="FF17" s="1125"/>
      <c r="FG17" s="1125"/>
      <c r="FH17" s="1125"/>
      <c r="FI17" s="1125"/>
      <c r="FJ17" s="1125"/>
      <c r="FK17" s="1125"/>
      <c r="FL17" s="1125"/>
      <c r="FM17" s="1125"/>
      <c r="FN17" s="1125"/>
      <c r="FO17" s="1125"/>
      <c r="FP17" s="1125"/>
      <c r="FQ17" s="1125"/>
      <c r="FR17" s="1137"/>
      <c r="FS17" s="1092"/>
      <c r="FT17" s="1136"/>
      <c r="FU17" s="1092"/>
      <c r="FV17" s="1136"/>
      <c r="FW17" s="1092"/>
      <c r="FX17" s="1136"/>
      <c r="FY17" s="1092"/>
      <c r="FZ17" s="1125"/>
      <c r="GA17" s="1138"/>
      <c r="GB17" s="1125"/>
      <c r="GC17" s="1135"/>
      <c r="GD17" s="1139"/>
      <c r="GE17" s="1135"/>
      <c r="GF17" s="1140"/>
      <c r="GG17" s="1140"/>
      <c r="GH17" s="1104" t="s">
        <v>583</v>
      </c>
      <c r="GI17" s="1105" t="s">
        <v>584</v>
      </c>
      <c r="GJ17" s="1105" t="s">
        <v>585</v>
      </c>
      <c r="GK17" s="1106" t="s">
        <v>125</v>
      </c>
    </row>
    <row r="18" spans="2:193">
      <c r="B18" s="1103" t="s">
        <v>583</v>
      </c>
      <c r="C18" s="1098"/>
      <c r="D18" s="1098"/>
      <c r="E18" s="1076"/>
      <c r="F18" s="856"/>
      <c r="G18" s="936"/>
      <c r="H18" s="4"/>
      <c r="I18" s="1469"/>
      <c r="J18" s="1109">
        <v>10</v>
      </c>
      <c r="K18" s="1089" t="s">
        <v>1709</v>
      </c>
      <c r="L18" s="1089" t="s">
        <v>1712</v>
      </c>
      <c r="M18" s="1102">
        <v>46034</v>
      </c>
      <c r="N18" s="1110">
        <v>2</v>
      </c>
      <c r="O18" s="1111" t="s">
        <v>1041</v>
      </c>
      <c r="P18" s="1090" t="s">
        <v>1725</v>
      </c>
      <c r="Q18" s="1089" t="s">
        <v>1744</v>
      </c>
      <c r="R18" s="1112" t="s">
        <v>1742</v>
      </c>
      <c r="S18" s="1089">
        <f>38*2</f>
        <v>76</v>
      </c>
      <c r="T18" s="1089"/>
      <c r="U18" s="1089">
        <v>74.900000000000006</v>
      </c>
      <c r="V18" s="1089">
        <v>74.7</v>
      </c>
      <c r="W18" s="1110">
        <v>74.8</v>
      </c>
      <c r="X18" s="1110">
        <v>74.400000000000006</v>
      </c>
      <c r="Y18" s="1114"/>
      <c r="Z18" s="1114"/>
      <c r="AA18" s="1114"/>
      <c r="AB18" s="1114"/>
      <c r="AC18" s="851">
        <v>74.5</v>
      </c>
      <c r="AD18" s="851">
        <v>74.3</v>
      </c>
      <c r="AE18" s="851">
        <v>74.3</v>
      </c>
      <c r="AF18" s="851">
        <v>74</v>
      </c>
      <c r="AG18" s="1115"/>
      <c r="AH18" s="1115"/>
      <c r="AI18" s="1115"/>
      <c r="AJ18" s="1115"/>
      <c r="AK18" s="1116">
        <f>152.98+151.98</f>
        <v>304.95999999999998</v>
      </c>
      <c r="AL18" s="1110">
        <v>299</v>
      </c>
      <c r="AM18" s="1110" t="s">
        <v>1728</v>
      </c>
      <c r="AN18" s="1117">
        <f t="shared" si="0"/>
        <v>101.99331103678928</v>
      </c>
      <c r="AO18" s="1116">
        <v>4.79</v>
      </c>
      <c r="AP18" s="1116">
        <v>4.71</v>
      </c>
      <c r="AQ18" s="1114"/>
      <c r="AR18" s="1114"/>
      <c r="AS18" s="1118">
        <f t="shared" si="1"/>
        <v>4.75</v>
      </c>
      <c r="AT18" s="1119">
        <v>21.3</v>
      </c>
      <c r="AU18" s="1119">
        <v>21</v>
      </c>
      <c r="AV18" s="1114"/>
      <c r="AW18" s="1114"/>
      <c r="AX18" s="1119">
        <v>12.2</v>
      </c>
      <c r="AY18" s="1120">
        <v>12.1</v>
      </c>
      <c r="AZ18" s="1114"/>
      <c r="BA18" s="1114"/>
      <c r="BB18" s="1119">
        <v>83.2</v>
      </c>
      <c r="BC18" s="1119">
        <v>81.099999999999994</v>
      </c>
      <c r="BD18" s="1119">
        <v>84.4</v>
      </c>
      <c r="BE18" s="1119">
        <v>80.3</v>
      </c>
      <c r="BF18" s="1114"/>
      <c r="BG18" s="1114"/>
      <c r="BH18" s="1114"/>
      <c r="BI18" s="1114"/>
      <c r="BJ18" s="1119">
        <v>40.299999999999997</v>
      </c>
      <c r="BK18" s="1119">
        <v>39.799999999999997</v>
      </c>
      <c r="BL18" s="1119">
        <v>40.1</v>
      </c>
      <c r="BM18" s="1119">
        <v>39.9</v>
      </c>
      <c r="BN18" s="1114"/>
      <c r="BO18" s="1114"/>
      <c r="BP18" s="1114"/>
      <c r="BQ18" s="1114"/>
      <c r="BR18" s="1110">
        <v>17</v>
      </c>
      <c r="BS18" s="1110">
        <v>30</v>
      </c>
      <c r="BT18" s="1110">
        <v>2</v>
      </c>
      <c r="BU18" s="1110">
        <v>21</v>
      </c>
      <c r="BV18" s="1110">
        <v>17</v>
      </c>
      <c r="BW18" s="1110">
        <v>41</v>
      </c>
      <c r="BX18" s="1110">
        <v>2</v>
      </c>
      <c r="BY18" s="1110">
        <v>50</v>
      </c>
      <c r="BZ18" s="1114"/>
      <c r="CA18" s="1114"/>
      <c r="CB18" s="1114"/>
      <c r="CC18" s="1114"/>
      <c r="CD18" s="1121">
        <f t="shared" si="2"/>
        <v>17.5</v>
      </c>
      <c r="CE18" s="1117">
        <f t="shared" si="3"/>
        <v>2.35</v>
      </c>
      <c r="CF18" s="1117">
        <f t="shared" si="4"/>
        <v>17.683333333333334</v>
      </c>
      <c r="CG18" s="1117">
        <f t="shared" si="5"/>
        <v>2.8333333333333335</v>
      </c>
      <c r="CH18" s="1114"/>
      <c r="CI18" s="1114"/>
      <c r="CJ18" s="1114"/>
      <c r="CK18" s="1114"/>
      <c r="CL18" s="1110">
        <v>52</v>
      </c>
      <c r="CM18" s="1122">
        <v>1.5</v>
      </c>
      <c r="CN18" s="1116" t="s">
        <v>1712</v>
      </c>
      <c r="CO18" s="1123">
        <v>46034</v>
      </c>
      <c r="CP18" s="1090" t="s">
        <v>1547</v>
      </c>
      <c r="CQ18" s="1116">
        <v>320</v>
      </c>
      <c r="CR18" s="1119">
        <v>315</v>
      </c>
      <c r="CS18" s="1119" t="s">
        <v>1729</v>
      </c>
      <c r="CT18" s="1088">
        <f t="shared" si="18"/>
        <v>101.58730158730158</v>
      </c>
      <c r="CU18" s="1116">
        <v>4.29</v>
      </c>
      <c r="CV18" s="1032" t="s">
        <v>62</v>
      </c>
      <c r="CW18" s="1125" t="s">
        <v>1730</v>
      </c>
      <c r="CX18" s="1126" t="s">
        <v>1712</v>
      </c>
      <c r="CY18" s="1127">
        <v>46034</v>
      </c>
      <c r="CZ18" s="773">
        <v>3</v>
      </c>
      <c r="DA18" s="1125" t="s">
        <v>932</v>
      </c>
      <c r="DB18" s="1128" t="s">
        <v>1743</v>
      </c>
      <c r="DC18" s="1125" t="s">
        <v>1715</v>
      </c>
      <c r="DD18" s="1125">
        <f t="shared" si="19"/>
        <v>200</v>
      </c>
      <c r="DE18" s="1125">
        <v>72</v>
      </c>
      <c r="DF18" s="1125">
        <v>71.7</v>
      </c>
      <c r="DG18" s="1125">
        <v>72.900000000000006</v>
      </c>
      <c r="DH18" s="1125">
        <v>72.900000000000006</v>
      </c>
      <c r="DI18" s="1125">
        <v>71.5</v>
      </c>
      <c r="DJ18" s="1125">
        <v>71.7</v>
      </c>
      <c r="DK18" s="1125">
        <v>71.8</v>
      </c>
      <c r="DL18" s="1125">
        <v>72</v>
      </c>
      <c r="DM18" s="1129">
        <f>127.6+138+132.9+134.7</f>
        <v>533.20000000000005</v>
      </c>
      <c r="DN18" s="1130">
        <v>531.53</v>
      </c>
      <c r="DO18" s="1131" t="s">
        <v>1734</v>
      </c>
      <c r="DP18" s="1132">
        <f t="shared" si="12"/>
        <v>100.31418734596356</v>
      </c>
      <c r="DQ18" s="1125">
        <v>3.22</v>
      </c>
      <c r="DR18" s="1125">
        <v>3.34</v>
      </c>
      <c r="DS18" s="1133">
        <v>3.22</v>
      </c>
      <c r="DT18" s="1125">
        <v>3.19</v>
      </c>
      <c r="DU18" s="1134">
        <f t="shared" si="13"/>
        <v>3.2425000000000002</v>
      </c>
      <c r="DV18" s="1134">
        <v>71.8</v>
      </c>
      <c r="DW18" s="1134">
        <v>71.5</v>
      </c>
      <c r="DX18" s="1134">
        <v>72.900000000000006</v>
      </c>
      <c r="DY18" s="1134">
        <v>72.7</v>
      </c>
      <c r="DZ18" s="1134">
        <v>71.3</v>
      </c>
      <c r="EA18" s="1134">
        <v>71.5</v>
      </c>
      <c r="EB18" s="1134">
        <v>71.599999999999994</v>
      </c>
      <c r="EC18" s="1134">
        <v>71.8</v>
      </c>
      <c r="ED18" s="1125">
        <v>18.899999999999999</v>
      </c>
      <c r="EE18" s="1125">
        <v>19.3</v>
      </c>
      <c r="EF18" s="1125">
        <v>18.5</v>
      </c>
      <c r="EG18" s="1125">
        <v>18.7</v>
      </c>
      <c r="EH18" s="1125">
        <v>10.9</v>
      </c>
      <c r="EI18" s="1125">
        <v>11.7</v>
      </c>
      <c r="EJ18" s="1125">
        <v>10.199999999999999</v>
      </c>
      <c r="EK18" s="1125">
        <v>11</v>
      </c>
      <c r="EL18" s="1125">
        <v>80.099999999999994</v>
      </c>
      <c r="EM18" s="1135"/>
      <c r="EN18" s="1125">
        <v>80.8</v>
      </c>
      <c r="EO18" s="1135"/>
      <c r="EP18" s="1125">
        <v>80</v>
      </c>
      <c r="EQ18" s="1135"/>
      <c r="ER18" s="1125">
        <v>81</v>
      </c>
      <c r="ES18" s="1135"/>
      <c r="ET18" s="1125">
        <v>40.6</v>
      </c>
      <c r="EU18" s="1135"/>
      <c r="EV18" s="1125">
        <v>40.6</v>
      </c>
      <c r="EW18" s="1135"/>
      <c r="EX18" s="1125">
        <v>40.799999999999997</v>
      </c>
      <c r="EY18" s="1135"/>
      <c r="EZ18" s="1125">
        <v>40.700000000000003</v>
      </c>
      <c r="FA18" s="1135"/>
      <c r="FB18" s="1125">
        <v>32</v>
      </c>
      <c r="FC18" s="1125">
        <v>6</v>
      </c>
      <c r="FD18" s="1125">
        <v>33</v>
      </c>
      <c r="FE18" s="1125">
        <v>39</v>
      </c>
      <c r="FF18" s="1125">
        <v>33</v>
      </c>
      <c r="FG18" s="1125">
        <v>37</v>
      </c>
      <c r="FH18" s="1125">
        <v>36</v>
      </c>
      <c r="FI18" s="1125">
        <v>13</v>
      </c>
      <c r="FJ18" s="1125"/>
      <c r="FK18" s="1125"/>
      <c r="FL18" s="1125"/>
      <c r="FM18" s="1125"/>
      <c r="FN18" s="1125"/>
      <c r="FO18" s="1125"/>
      <c r="FP18" s="1125"/>
      <c r="FQ18" s="1125"/>
      <c r="FR18" s="1137">
        <f t="shared" si="14"/>
        <v>32.1</v>
      </c>
      <c r="FS18" s="1092"/>
      <c r="FT18" s="1136">
        <f t="shared" si="15"/>
        <v>33.65</v>
      </c>
      <c r="FU18" s="1092"/>
      <c r="FV18" s="1136">
        <f t="shared" si="16"/>
        <v>33.616666666666667</v>
      </c>
      <c r="FW18" s="1092"/>
      <c r="FX18" s="1136">
        <f t="shared" si="17"/>
        <v>36.216666666666669</v>
      </c>
      <c r="FY18" s="1092"/>
      <c r="FZ18" s="1125">
        <v>52</v>
      </c>
      <c r="GA18" s="1138">
        <v>1.5</v>
      </c>
      <c r="GB18" s="1125" t="s">
        <v>62</v>
      </c>
      <c r="GC18" s="1135"/>
      <c r="GD18" s="1139"/>
      <c r="GE18" s="1135"/>
      <c r="GF18" s="1140"/>
      <c r="GG18" s="1140"/>
      <c r="GH18" s="1103" t="s">
        <v>583</v>
      </c>
      <c r="GI18" s="1098" t="s">
        <v>584</v>
      </c>
      <c r="GJ18" s="1098" t="s">
        <v>585</v>
      </c>
      <c r="GK18" s="1076" t="s">
        <v>125</v>
      </c>
    </row>
    <row r="19" spans="2:193">
      <c r="B19" s="1103" t="s">
        <v>583</v>
      </c>
      <c r="C19" s="1098"/>
      <c r="D19" s="1098"/>
      <c r="E19" s="1076"/>
      <c r="F19" s="856"/>
      <c r="G19" s="936"/>
      <c r="H19" s="3"/>
      <c r="I19" s="1469"/>
      <c r="J19" s="1109">
        <v>11</v>
      </c>
      <c r="K19" s="1089" t="s">
        <v>1709</v>
      </c>
      <c r="L19" s="1089" t="s">
        <v>1712</v>
      </c>
      <c r="M19" s="1102">
        <v>46034</v>
      </c>
      <c r="N19" s="1110" t="s">
        <v>1720</v>
      </c>
      <c r="O19" s="1111" t="s">
        <v>1041</v>
      </c>
      <c r="P19" s="1090" t="s">
        <v>1749</v>
      </c>
      <c r="Q19" s="1089" t="s">
        <v>1744</v>
      </c>
      <c r="R19" s="1113" t="s">
        <v>1745</v>
      </c>
      <c r="S19" s="1089">
        <f>38*2</f>
        <v>76</v>
      </c>
      <c r="T19" s="1089"/>
      <c r="U19" s="1089">
        <v>73.8</v>
      </c>
      <c r="V19" s="1089">
        <v>74</v>
      </c>
      <c r="W19" s="1110">
        <v>74.2</v>
      </c>
      <c r="X19" s="1110">
        <v>73.599999999999994</v>
      </c>
      <c r="Y19" s="1114"/>
      <c r="Z19" s="1114"/>
      <c r="AA19" s="1114"/>
      <c r="AB19" s="1114"/>
      <c r="AC19" s="851">
        <v>73.5</v>
      </c>
      <c r="AD19" s="851">
        <v>73.7</v>
      </c>
      <c r="AE19" s="851">
        <v>74</v>
      </c>
      <c r="AF19" s="851">
        <v>73.5</v>
      </c>
      <c r="AG19" s="1115"/>
      <c r="AH19" s="1115"/>
      <c r="AI19" s="1115"/>
      <c r="AJ19" s="1115"/>
      <c r="AK19" s="1116">
        <f>147.47+159.72</f>
        <v>307.19</v>
      </c>
      <c r="AL19" s="1110">
        <v>299</v>
      </c>
      <c r="AM19" s="1110" t="s">
        <v>1728</v>
      </c>
      <c r="AN19" s="1117">
        <f t="shared" si="0"/>
        <v>102.7391304347826</v>
      </c>
      <c r="AO19" s="1116">
        <v>4.72</v>
      </c>
      <c r="AP19" s="1116">
        <v>4.82</v>
      </c>
      <c r="AQ19" s="1114"/>
      <c r="AR19" s="1114"/>
      <c r="AS19" s="1118">
        <f t="shared" si="1"/>
        <v>4.7699999999999996</v>
      </c>
      <c r="AT19" s="1119">
        <v>20.8</v>
      </c>
      <c r="AU19" s="1119">
        <v>20.9</v>
      </c>
      <c r="AV19" s="1114"/>
      <c r="AW19" s="1114"/>
      <c r="AX19" s="1119">
        <v>11.9</v>
      </c>
      <c r="AY19" s="1120">
        <v>12</v>
      </c>
      <c r="AZ19" s="1114"/>
      <c r="BA19" s="1114"/>
      <c r="BB19" s="1119">
        <v>82.8</v>
      </c>
      <c r="BC19" s="1119">
        <v>79.900000000000006</v>
      </c>
      <c r="BD19" s="1119">
        <v>83.3</v>
      </c>
      <c r="BE19" s="1119">
        <v>80.099999999999994</v>
      </c>
      <c r="BF19" s="1114"/>
      <c r="BG19" s="1114"/>
      <c r="BH19" s="1114"/>
      <c r="BI19" s="1114"/>
      <c r="BJ19" s="1119">
        <v>40.4</v>
      </c>
      <c r="BK19" s="1119">
        <v>39.799999999999997</v>
      </c>
      <c r="BL19" s="1119">
        <v>40</v>
      </c>
      <c r="BM19" s="1119">
        <v>39.700000000000003</v>
      </c>
      <c r="BN19" s="1114"/>
      <c r="BO19" s="1114"/>
      <c r="BP19" s="1114"/>
      <c r="BQ19" s="1114"/>
      <c r="BR19" s="1110">
        <v>17</v>
      </c>
      <c r="BS19" s="1110">
        <v>30</v>
      </c>
      <c r="BT19" s="1110">
        <v>2</v>
      </c>
      <c r="BU19" s="1110">
        <v>48</v>
      </c>
      <c r="BV19" s="1110">
        <v>17</v>
      </c>
      <c r="BW19" s="1110">
        <v>51</v>
      </c>
      <c r="BX19" s="1110">
        <v>2</v>
      </c>
      <c r="BY19" s="1110">
        <v>39</v>
      </c>
      <c r="BZ19" s="1114"/>
      <c r="CA19" s="1114"/>
      <c r="CB19" s="1114"/>
      <c r="CC19" s="1114"/>
      <c r="CD19" s="1121">
        <f t="shared" si="2"/>
        <v>17.5</v>
      </c>
      <c r="CE19" s="1117">
        <f t="shared" si="3"/>
        <v>2.8</v>
      </c>
      <c r="CF19" s="1117">
        <f t="shared" si="4"/>
        <v>17.850000000000001</v>
      </c>
      <c r="CG19" s="1117">
        <f t="shared" si="5"/>
        <v>2.65</v>
      </c>
      <c r="CH19" s="1114"/>
      <c r="CI19" s="1114"/>
      <c r="CJ19" s="1114"/>
      <c r="CK19" s="1114"/>
      <c r="CL19" s="1110">
        <v>52</v>
      </c>
      <c r="CM19" s="1122">
        <v>1.5</v>
      </c>
      <c r="CN19" s="1152" t="s">
        <v>1712</v>
      </c>
      <c r="CO19" s="1123">
        <v>46034</v>
      </c>
      <c r="CP19" s="1090" t="s">
        <v>1547</v>
      </c>
      <c r="CQ19" s="1152">
        <v>323.10000000000002</v>
      </c>
      <c r="CR19" s="1119">
        <v>315</v>
      </c>
      <c r="CS19" s="1159" t="s">
        <v>1729</v>
      </c>
      <c r="CT19" s="1158">
        <f t="shared" si="18"/>
        <v>102.57142857142858</v>
      </c>
      <c r="CU19" s="1152">
        <v>4.42</v>
      </c>
      <c r="CV19" s="1032" t="s">
        <v>62</v>
      </c>
      <c r="CW19" s="1128" t="s">
        <v>1730</v>
      </c>
      <c r="CX19" s="1160" t="s">
        <v>1712</v>
      </c>
      <c r="CY19" s="1161">
        <v>46034</v>
      </c>
      <c r="CZ19" s="1162">
        <v>3</v>
      </c>
      <c r="DA19" s="1128" t="s">
        <v>932</v>
      </c>
      <c r="DB19" s="1128" t="s">
        <v>1746</v>
      </c>
      <c r="DC19" s="1128" t="s">
        <v>1715</v>
      </c>
      <c r="DD19" s="1128">
        <f t="shared" si="19"/>
        <v>200</v>
      </c>
      <c r="DE19" s="1128">
        <v>72.2</v>
      </c>
      <c r="DF19" s="1128">
        <v>72.8</v>
      </c>
      <c r="DG19" s="1125">
        <v>71.900000000000006</v>
      </c>
      <c r="DH19" s="1125">
        <v>71.5</v>
      </c>
      <c r="DI19" s="1125">
        <v>71.8</v>
      </c>
      <c r="DJ19" s="1125">
        <v>71.7</v>
      </c>
      <c r="DK19" s="1125">
        <v>72</v>
      </c>
      <c r="DL19" s="1125">
        <v>71.599999999999994</v>
      </c>
      <c r="DM19" s="1129">
        <f>129.5+144.3+121.45+143</f>
        <v>538.25</v>
      </c>
      <c r="DN19" s="1130">
        <v>531.53</v>
      </c>
      <c r="DO19" s="1131" t="s">
        <v>1734</v>
      </c>
      <c r="DP19" s="1132">
        <f t="shared" si="12"/>
        <v>101.26427482926645</v>
      </c>
      <c r="DQ19" s="1125">
        <v>3.4</v>
      </c>
      <c r="DR19" s="1125">
        <v>3.37</v>
      </c>
      <c r="DS19" s="1133">
        <v>3.17</v>
      </c>
      <c r="DT19" s="1125">
        <v>3.32</v>
      </c>
      <c r="DU19" s="1134">
        <f t="shared" si="13"/>
        <v>3.3149999999999999</v>
      </c>
      <c r="DV19" s="1134">
        <v>72</v>
      </c>
      <c r="DW19" s="1134">
        <v>72.599999999999994</v>
      </c>
      <c r="DX19" s="1134">
        <v>71.7</v>
      </c>
      <c r="DY19" s="1134">
        <v>71.3</v>
      </c>
      <c r="DZ19" s="1134">
        <v>71.599999999999994</v>
      </c>
      <c r="EA19" s="1134">
        <v>71.5</v>
      </c>
      <c r="EB19" s="1134">
        <v>71.8</v>
      </c>
      <c r="EC19" s="1134">
        <v>71.400000000000006</v>
      </c>
      <c r="ED19" s="1125">
        <v>19</v>
      </c>
      <c r="EE19" s="1125">
        <v>18.899999999999999</v>
      </c>
      <c r="EF19" s="1125">
        <v>18.600000000000001</v>
      </c>
      <c r="EG19" s="1125">
        <v>18.8</v>
      </c>
      <c r="EH19" s="1125">
        <v>11.6</v>
      </c>
      <c r="EI19" s="1125">
        <v>10.6</v>
      </c>
      <c r="EJ19" s="1125">
        <v>10.7</v>
      </c>
      <c r="EK19" s="1125">
        <v>9.8000000000000007</v>
      </c>
      <c r="EL19" s="1125">
        <v>83.6</v>
      </c>
      <c r="EM19" s="1135"/>
      <c r="EN19" s="1125">
        <v>82</v>
      </c>
      <c r="EO19" s="1135"/>
      <c r="EP19" s="1125">
        <v>81</v>
      </c>
      <c r="EQ19" s="1135"/>
      <c r="ER19" s="1125">
        <v>85.4</v>
      </c>
      <c r="ES19" s="1135"/>
      <c r="ET19" s="1125">
        <v>40.6</v>
      </c>
      <c r="EU19" s="1135"/>
      <c r="EV19" s="1125">
        <v>40.799999999999997</v>
      </c>
      <c r="EW19" s="1135"/>
      <c r="EX19" s="1125">
        <v>40.799999999999997</v>
      </c>
      <c r="EY19" s="1135"/>
      <c r="EZ19" s="1125">
        <v>41</v>
      </c>
      <c r="FA19" s="1135"/>
      <c r="FB19" s="1125">
        <v>33</v>
      </c>
      <c r="FC19" s="1125">
        <v>43</v>
      </c>
      <c r="FD19" s="1125">
        <v>33</v>
      </c>
      <c r="FE19" s="1125">
        <v>30</v>
      </c>
      <c r="FF19" s="1125">
        <v>33</v>
      </c>
      <c r="FG19" s="1125">
        <v>50</v>
      </c>
      <c r="FH19" s="1125">
        <v>35</v>
      </c>
      <c r="FI19" s="1125">
        <v>0</v>
      </c>
      <c r="FJ19" s="1125"/>
      <c r="FK19" s="1125"/>
      <c r="FL19" s="1125"/>
      <c r="FM19" s="1125"/>
      <c r="FN19" s="1125"/>
      <c r="FO19" s="1125"/>
      <c r="FP19" s="1125"/>
      <c r="FQ19" s="1125"/>
      <c r="FR19" s="1137">
        <f t="shared" si="14"/>
        <v>33.716666666666669</v>
      </c>
      <c r="FS19" s="1092"/>
      <c r="FT19" s="1136">
        <f t="shared" si="15"/>
        <v>33.5</v>
      </c>
      <c r="FU19" s="1092"/>
      <c r="FV19" s="1136">
        <f t="shared" si="16"/>
        <v>33.833333333333336</v>
      </c>
      <c r="FW19" s="1092"/>
      <c r="FX19" s="1136">
        <f t="shared" si="17"/>
        <v>35</v>
      </c>
      <c r="FY19" s="1092"/>
      <c r="FZ19" s="1125">
        <v>52</v>
      </c>
      <c r="GA19" s="1138">
        <v>1.5</v>
      </c>
      <c r="GB19" s="1125" t="s">
        <v>62</v>
      </c>
      <c r="GC19" s="1135"/>
      <c r="GD19" s="1139"/>
      <c r="GE19" s="1135"/>
      <c r="GF19" s="1140"/>
      <c r="GG19" s="1140"/>
      <c r="GH19" s="1103" t="s">
        <v>583</v>
      </c>
      <c r="GI19" s="1098" t="s">
        <v>584</v>
      </c>
      <c r="GJ19" s="1098" t="s">
        <v>585</v>
      </c>
      <c r="GK19" s="1076" t="s">
        <v>125</v>
      </c>
    </row>
    <row r="20" spans="2:193">
      <c r="B20" s="1104" t="s">
        <v>583</v>
      </c>
      <c r="C20" s="1105"/>
      <c r="D20" s="1105"/>
      <c r="E20" s="1106"/>
      <c r="F20" s="1107"/>
      <c r="G20" s="1108"/>
      <c r="H20" s="807"/>
      <c r="I20" s="1438"/>
      <c r="J20" s="1109"/>
      <c r="K20" s="1089" t="s">
        <v>1709</v>
      </c>
      <c r="L20" s="1089" t="s">
        <v>1712</v>
      </c>
      <c r="M20" s="1087">
        <v>46041</v>
      </c>
      <c r="N20" s="1145">
        <v>1</v>
      </c>
      <c r="O20" s="1146" t="s">
        <v>1041</v>
      </c>
      <c r="P20" s="1090" t="s">
        <v>1727</v>
      </c>
      <c r="Q20" s="1080" t="s">
        <v>1735</v>
      </c>
      <c r="R20" s="1113" t="s">
        <v>1745</v>
      </c>
      <c r="S20" s="1080">
        <f>48*2</f>
        <v>96</v>
      </c>
      <c r="T20" s="1080"/>
      <c r="U20" s="1080">
        <v>77</v>
      </c>
      <c r="V20" s="1080">
        <v>78</v>
      </c>
      <c r="W20" s="1145">
        <v>75.2</v>
      </c>
      <c r="X20" s="1145">
        <v>77</v>
      </c>
      <c r="Y20" s="1150"/>
      <c r="Z20" s="1150"/>
      <c r="AA20" s="1150"/>
      <c r="AB20" s="1150"/>
      <c r="AC20" s="851">
        <v>76.400000000000006</v>
      </c>
      <c r="AD20" s="851">
        <v>77.5</v>
      </c>
      <c r="AE20" s="851">
        <v>74.8</v>
      </c>
      <c r="AF20" s="851">
        <v>76.5</v>
      </c>
      <c r="AG20" s="1115"/>
      <c r="AH20" s="1115"/>
      <c r="AI20" s="1115"/>
      <c r="AJ20" s="1115"/>
      <c r="AK20" s="1116">
        <f>147.47+159.72</f>
        <v>307.19</v>
      </c>
      <c r="AL20" s="1110">
        <v>299</v>
      </c>
      <c r="AM20" s="1110" t="s">
        <v>1728</v>
      </c>
      <c r="AN20" s="1117">
        <f t="shared" si="0"/>
        <v>102.7391304347826</v>
      </c>
      <c r="AO20" s="1088">
        <v>5.0199999999999996</v>
      </c>
      <c r="AP20" s="1088">
        <v>5.08</v>
      </c>
      <c r="AQ20" s="1150"/>
      <c r="AR20" s="1150"/>
      <c r="AS20" s="1118">
        <f t="shared" si="1"/>
        <v>5.05</v>
      </c>
      <c r="AT20" s="1124">
        <v>19.8</v>
      </c>
      <c r="AU20" s="1124">
        <v>19.8</v>
      </c>
      <c r="AV20" s="1150"/>
      <c r="AW20" s="1150"/>
      <c r="AX20" s="1124">
        <v>10.8</v>
      </c>
      <c r="AY20" s="1151">
        <v>11</v>
      </c>
      <c r="AZ20" s="1150"/>
      <c r="BA20" s="1150"/>
      <c r="BB20" s="1124">
        <v>85.1</v>
      </c>
      <c r="BC20" s="1124">
        <v>86.6</v>
      </c>
      <c r="BD20" s="1124"/>
      <c r="BE20" s="1124"/>
      <c r="BF20" s="1150"/>
      <c r="BG20" s="1150"/>
      <c r="BH20" s="1150"/>
      <c r="BI20" s="1150"/>
      <c r="BJ20" s="1124">
        <v>46</v>
      </c>
      <c r="BK20" s="1124">
        <v>47</v>
      </c>
      <c r="BL20" s="1124"/>
      <c r="BM20" s="1124"/>
      <c r="BN20" s="1150"/>
      <c r="BO20" s="1150"/>
      <c r="BP20" s="1150"/>
      <c r="BQ20" s="1150"/>
      <c r="BR20" s="1145">
        <v>40</v>
      </c>
      <c r="BS20" s="1145">
        <v>45</v>
      </c>
      <c r="BT20" s="1145">
        <v>43</v>
      </c>
      <c r="BU20" s="1145">
        <v>28</v>
      </c>
      <c r="BV20" s="1145"/>
      <c r="BW20" s="1145"/>
      <c r="BX20" s="1145"/>
      <c r="BY20" s="1145"/>
      <c r="BZ20" s="1150"/>
      <c r="CA20" s="1150"/>
      <c r="CB20" s="1150"/>
      <c r="CC20" s="1150"/>
      <c r="CD20" s="1121">
        <f t="shared" si="2"/>
        <v>40.75</v>
      </c>
      <c r="CE20" s="1117">
        <f t="shared" si="3"/>
        <v>43.466666666666669</v>
      </c>
      <c r="CF20" s="1117">
        <f t="shared" si="4"/>
        <v>0</v>
      </c>
      <c r="CG20" s="1117">
        <f t="shared" si="5"/>
        <v>0</v>
      </c>
      <c r="CH20" s="1150"/>
      <c r="CI20" s="1150"/>
      <c r="CJ20" s="1150"/>
      <c r="CK20" s="1150"/>
      <c r="CL20" s="1110">
        <v>52</v>
      </c>
      <c r="CM20" s="1122">
        <v>1.5</v>
      </c>
      <c r="CN20" s="1116"/>
      <c r="CO20" s="1153"/>
      <c r="CP20" s="1089"/>
      <c r="CQ20" s="1116"/>
      <c r="CR20" s="1119"/>
      <c r="CS20" s="1119"/>
      <c r="CT20" s="1116"/>
      <c r="CU20" s="1116"/>
      <c r="CV20" s="955"/>
      <c r="CW20" s="1125" t="s">
        <v>1730</v>
      </c>
      <c r="CX20" s="1126"/>
      <c r="CY20" s="1127"/>
      <c r="CZ20" s="773"/>
      <c r="DA20" s="1125"/>
      <c r="DB20" s="1125"/>
      <c r="DC20" s="1125"/>
      <c r="DD20" s="1125"/>
      <c r="DE20" s="1125"/>
      <c r="DF20" s="1125"/>
      <c r="DG20" s="1164"/>
      <c r="DH20" s="1164"/>
      <c r="DI20" s="1164"/>
      <c r="DJ20" s="1164"/>
      <c r="DK20" s="1164"/>
      <c r="DL20" s="1164"/>
      <c r="DM20" s="1165"/>
      <c r="DN20" s="1130">
        <v>531.53</v>
      </c>
      <c r="DO20" s="1131" t="s">
        <v>1734</v>
      </c>
      <c r="DP20" s="1132">
        <f t="shared" si="12"/>
        <v>0</v>
      </c>
      <c r="DQ20" s="1164"/>
      <c r="DR20" s="1164"/>
      <c r="DS20" s="1169"/>
      <c r="DT20" s="1164"/>
      <c r="DU20" s="1134" t="e">
        <f t="shared" si="13"/>
        <v>#DIV/0!</v>
      </c>
      <c r="DV20" s="1170"/>
      <c r="DW20" s="1170"/>
      <c r="DX20" s="1170"/>
      <c r="DY20" s="1170"/>
      <c r="DZ20" s="1170"/>
      <c r="EA20" s="1170"/>
      <c r="EB20" s="1170"/>
      <c r="EC20" s="1170"/>
      <c r="ED20" s="1164"/>
      <c r="EE20" s="1164"/>
      <c r="EF20" s="1164"/>
      <c r="EG20" s="1164"/>
      <c r="EH20" s="1164"/>
      <c r="EI20" s="1164"/>
      <c r="EJ20" s="1164"/>
      <c r="EK20" s="1164"/>
      <c r="EL20" s="1164"/>
      <c r="EM20" s="1135"/>
      <c r="EN20" s="1164"/>
      <c r="EO20" s="1092"/>
      <c r="EP20" s="1164"/>
      <c r="EQ20" s="1092"/>
      <c r="ER20" s="1164"/>
      <c r="ES20" s="1092"/>
      <c r="ET20" s="1164"/>
      <c r="EU20" s="1092"/>
      <c r="EV20" s="1164"/>
      <c r="EW20" s="1092"/>
      <c r="EX20" s="1164"/>
      <c r="EY20" s="1092"/>
      <c r="EZ20" s="1164"/>
      <c r="FA20" s="1092"/>
      <c r="FB20" s="1164"/>
      <c r="FC20" s="1164"/>
      <c r="FD20" s="1164"/>
      <c r="FE20" s="1164"/>
      <c r="FF20" s="1164"/>
      <c r="FG20" s="1164"/>
      <c r="FH20" s="1164"/>
      <c r="FI20" s="1164"/>
      <c r="FJ20" s="1164"/>
      <c r="FK20" s="1164"/>
      <c r="FL20" s="1164"/>
      <c r="FM20" s="1164"/>
      <c r="FN20" s="1164"/>
      <c r="FO20" s="1164"/>
      <c r="FP20" s="1164"/>
      <c r="FQ20" s="1164"/>
      <c r="FR20" s="1137">
        <f t="shared" si="14"/>
        <v>0</v>
      </c>
      <c r="FS20" s="1092"/>
      <c r="FT20" s="1136">
        <f t="shared" si="15"/>
        <v>0</v>
      </c>
      <c r="FU20" s="1092"/>
      <c r="FV20" s="1136">
        <f t="shared" si="16"/>
        <v>0</v>
      </c>
      <c r="FW20" s="1092"/>
      <c r="FX20" s="1136">
        <f t="shared" si="17"/>
        <v>0</v>
      </c>
      <c r="FY20" s="1092"/>
      <c r="FZ20" s="1164"/>
      <c r="GA20" s="1172"/>
      <c r="GB20" s="1164"/>
      <c r="GC20" s="1092"/>
      <c r="GD20" s="1139"/>
      <c r="GE20" s="1135"/>
      <c r="GF20" s="1140"/>
      <c r="GG20" s="1140"/>
      <c r="GH20" s="1104" t="s">
        <v>583</v>
      </c>
      <c r="GI20" s="1105" t="s">
        <v>584</v>
      </c>
      <c r="GJ20" s="1105" t="s">
        <v>585</v>
      </c>
      <c r="GK20" s="1106" t="s">
        <v>125</v>
      </c>
    </row>
    <row r="21" spans="2:193">
      <c r="B21" s="1103" t="s">
        <v>583</v>
      </c>
      <c r="C21" s="1098"/>
      <c r="D21" s="1098"/>
      <c r="E21" s="1076"/>
      <c r="F21" s="856"/>
      <c r="G21" s="936"/>
      <c r="H21" s="3"/>
      <c r="I21" s="1469"/>
      <c r="J21" s="1144">
        <v>12</v>
      </c>
      <c r="K21" s="1089" t="s">
        <v>1709</v>
      </c>
      <c r="L21" s="1089" t="s">
        <v>1712</v>
      </c>
      <c r="M21" s="1087">
        <v>46052</v>
      </c>
      <c r="N21" s="1145">
        <v>1</v>
      </c>
      <c r="O21" s="1146" t="s">
        <v>1041</v>
      </c>
      <c r="P21" s="1090" t="s">
        <v>1727</v>
      </c>
      <c r="Q21" s="1080" t="s">
        <v>1717</v>
      </c>
      <c r="R21" s="1113" t="s">
        <v>1745</v>
      </c>
      <c r="S21" s="1080">
        <f t="shared" ref="S21:S45" si="20">38*2</f>
        <v>76</v>
      </c>
      <c r="T21" s="1080"/>
      <c r="U21" s="1080">
        <v>74.2</v>
      </c>
      <c r="V21" s="1080">
        <v>74.5</v>
      </c>
      <c r="W21" s="1145">
        <v>73.8</v>
      </c>
      <c r="X21" s="1145">
        <v>73.900000000000006</v>
      </c>
      <c r="Y21" s="1150"/>
      <c r="Z21" s="1150"/>
      <c r="AA21" s="1150"/>
      <c r="AB21" s="1150"/>
      <c r="AC21" s="851">
        <v>73.900000000000006</v>
      </c>
      <c r="AD21" s="851">
        <v>74.2</v>
      </c>
      <c r="AE21" s="851">
        <v>73.5</v>
      </c>
      <c r="AF21" s="851">
        <v>73.7</v>
      </c>
      <c r="AG21" s="1115"/>
      <c r="AH21" s="1115"/>
      <c r="AI21" s="1115"/>
      <c r="AJ21" s="1115"/>
      <c r="AK21" s="1088">
        <f>148.82+152.93</f>
        <v>301.75</v>
      </c>
      <c r="AL21" s="1110">
        <v>299</v>
      </c>
      <c r="AM21" s="1110" t="s">
        <v>1728</v>
      </c>
      <c r="AN21" s="1117">
        <f t="shared" si="0"/>
        <v>100.91973244147157</v>
      </c>
      <c r="AO21" s="1088">
        <v>4.97</v>
      </c>
      <c r="AP21" s="1088">
        <v>5.08</v>
      </c>
      <c r="AQ21" s="1150"/>
      <c r="AR21" s="1150"/>
      <c r="AS21" s="1118">
        <f t="shared" si="1"/>
        <v>5.0250000000000004</v>
      </c>
      <c r="AT21" s="1124">
        <v>21.5</v>
      </c>
      <c r="AU21" s="1124">
        <v>20.5</v>
      </c>
      <c r="AV21" s="1150"/>
      <c r="AW21" s="1150"/>
      <c r="AX21" s="1124">
        <v>12.6</v>
      </c>
      <c r="AY21" s="1151">
        <v>11.3</v>
      </c>
      <c r="AZ21" s="1150"/>
      <c r="BA21" s="1150"/>
      <c r="BB21" s="1124">
        <v>85.7</v>
      </c>
      <c r="BC21" s="1124">
        <v>85.3</v>
      </c>
      <c r="BD21" s="1124">
        <v>85.7</v>
      </c>
      <c r="BE21" s="1124">
        <v>83.7</v>
      </c>
      <c r="BF21" s="1150"/>
      <c r="BG21" s="1150"/>
      <c r="BH21" s="1150"/>
      <c r="BI21" s="1150"/>
      <c r="BJ21" s="1124">
        <v>43.1</v>
      </c>
      <c r="BK21" s="1124">
        <v>40</v>
      </c>
      <c r="BL21" s="1124">
        <v>43.1</v>
      </c>
      <c r="BM21" s="1124">
        <v>40</v>
      </c>
      <c r="BN21" s="1150"/>
      <c r="BO21" s="1150"/>
      <c r="BP21" s="1150"/>
      <c r="BQ21" s="1150"/>
      <c r="BR21" s="1145">
        <v>18</v>
      </c>
      <c r="BS21" s="1145">
        <v>34</v>
      </c>
      <c r="BT21" s="1145">
        <v>3</v>
      </c>
      <c r="BU21" s="1145">
        <v>27</v>
      </c>
      <c r="BV21" s="1145">
        <v>18</v>
      </c>
      <c r="BW21" s="1145">
        <v>45</v>
      </c>
      <c r="BX21" s="1145">
        <v>18</v>
      </c>
      <c r="BY21" s="1145">
        <v>38</v>
      </c>
      <c r="BZ21" s="1150"/>
      <c r="CA21" s="1150"/>
      <c r="CB21" s="1150"/>
      <c r="CC21" s="1150"/>
      <c r="CD21" s="1121">
        <f t="shared" si="2"/>
        <v>18.566666666666666</v>
      </c>
      <c r="CE21" s="1117">
        <f t="shared" si="3"/>
        <v>3.45</v>
      </c>
      <c r="CF21" s="1117">
        <f t="shared" si="4"/>
        <v>18.75</v>
      </c>
      <c r="CG21" s="1117">
        <f t="shared" si="5"/>
        <v>18.633333333333333</v>
      </c>
      <c r="CH21" s="1150"/>
      <c r="CI21" s="1150"/>
      <c r="CJ21" s="1150"/>
      <c r="CK21" s="1150"/>
      <c r="CL21" s="1110">
        <v>52</v>
      </c>
      <c r="CM21" s="1122">
        <v>1.5</v>
      </c>
      <c r="CN21" s="1152" t="s">
        <v>1712</v>
      </c>
      <c r="CO21" s="1153">
        <v>46052</v>
      </c>
      <c r="CP21" s="1090" t="s">
        <v>1547</v>
      </c>
      <c r="CQ21" s="1116">
        <v>317.39999999999998</v>
      </c>
      <c r="CR21" s="1119">
        <v>315</v>
      </c>
      <c r="CS21" s="1159" t="s">
        <v>1729</v>
      </c>
      <c r="CT21" s="1116">
        <f t="shared" si="18"/>
        <v>100.76190476190476</v>
      </c>
      <c r="CU21" s="1152">
        <v>4.42</v>
      </c>
      <c r="CV21" s="1032" t="s">
        <v>62</v>
      </c>
      <c r="CW21" s="1125" t="s">
        <v>1730</v>
      </c>
      <c r="CX21" s="1126" t="s">
        <v>1712</v>
      </c>
      <c r="CY21" s="1127">
        <v>46052</v>
      </c>
      <c r="CZ21" s="773">
        <v>1</v>
      </c>
      <c r="DA21" s="1128" t="s">
        <v>932</v>
      </c>
      <c r="DB21" s="1128" t="s">
        <v>1743</v>
      </c>
      <c r="DC21" s="1125" t="s">
        <v>1717</v>
      </c>
      <c r="DD21" s="1128">
        <f t="shared" si="19"/>
        <v>200</v>
      </c>
      <c r="DE21" s="1125">
        <v>71.5</v>
      </c>
      <c r="DF21" s="1125">
        <v>71.3</v>
      </c>
      <c r="DG21" s="1164">
        <v>71</v>
      </c>
      <c r="DH21" s="1164">
        <v>71.7</v>
      </c>
      <c r="DI21" s="1164">
        <v>71.400000000000006</v>
      </c>
      <c r="DJ21" s="1164">
        <v>71.900000000000006</v>
      </c>
      <c r="DK21" s="1164">
        <v>71.2</v>
      </c>
      <c r="DL21" s="1164">
        <v>71.599999999999994</v>
      </c>
      <c r="DM21" s="1165">
        <f>138.6+146.36+103.78+144.75</f>
        <v>533.49</v>
      </c>
      <c r="DN21" s="1130">
        <v>531.53</v>
      </c>
      <c r="DO21" s="1131" t="s">
        <v>1734</v>
      </c>
      <c r="DP21" s="1132">
        <f t="shared" si="12"/>
        <v>100.36874682520272</v>
      </c>
      <c r="DQ21" s="1164">
        <v>3.45</v>
      </c>
      <c r="DR21" s="1164">
        <v>3.22</v>
      </c>
      <c r="DS21" s="1169">
        <v>3.32</v>
      </c>
      <c r="DT21" s="1164">
        <v>3.44</v>
      </c>
      <c r="DU21" s="1134">
        <f t="shared" si="13"/>
        <v>3.3574999999999999</v>
      </c>
      <c r="DV21" s="1170">
        <v>71.2</v>
      </c>
      <c r="DW21" s="1170">
        <v>70.8</v>
      </c>
      <c r="DX21" s="1170">
        <v>70.900000000000006</v>
      </c>
      <c r="DY21" s="1170">
        <v>71.400000000000006</v>
      </c>
      <c r="DZ21" s="1170">
        <v>70.400000000000006</v>
      </c>
      <c r="EA21" s="1170">
        <v>71.8</v>
      </c>
      <c r="EB21" s="1170">
        <v>70.5</v>
      </c>
      <c r="EC21" s="1170">
        <v>70.7</v>
      </c>
      <c r="ED21" s="1164">
        <v>19.600000000000001</v>
      </c>
      <c r="EE21" s="1164">
        <v>19.8</v>
      </c>
      <c r="EF21" s="1164">
        <v>26.2</v>
      </c>
      <c r="EG21" s="1164">
        <v>19.399999999999999</v>
      </c>
      <c r="EH21" s="1164">
        <v>10.199999999999999</v>
      </c>
      <c r="EI21" s="1164">
        <v>10.7</v>
      </c>
      <c r="EJ21" s="1164">
        <v>10.9</v>
      </c>
      <c r="EK21" s="1164">
        <v>10.3</v>
      </c>
      <c r="EL21" s="1164">
        <v>83.2</v>
      </c>
      <c r="EM21" s="1135"/>
      <c r="EN21" s="1164">
        <v>84.6</v>
      </c>
      <c r="EO21" s="1092"/>
      <c r="EP21" s="1164">
        <v>83.9</v>
      </c>
      <c r="EQ21" s="1092"/>
      <c r="ER21" s="1164">
        <v>83.8</v>
      </c>
      <c r="ES21" s="1092"/>
      <c r="ET21" s="1164">
        <v>40.299999999999997</v>
      </c>
      <c r="EU21" s="1092"/>
      <c r="EV21" s="1164">
        <v>41.2</v>
      </c>
      <c r="EW21" s="1092"/>
      <c r="EX21" s="1164">
        <v>40.799999999999997</v>
      </c>
      <c r="EY21" s="1092"/>
      <c r="EZ21" s="1164">
        <v>40.4</v>
      </c>
      <c r="FA21" s="1092"/>
      <c r="FB21" s="1164">
        <v>31</v>
      </c>
      <c r="FC21" s="1164">
        <v>28</v>
      </c>
      <c r="FD21" s="1164">
        <v>32</v>
      </c>
      <c r="FE21" s="1164">
        <v>12</v>
      </c>
      <c r="FF21" s="1164">
        <v>32</v>
      </c>
      <c r="FG21" s="1164">
        <v>5</v>
      </c>
      <c r="FH21" s="1164">
        <v>31</v>
      </c>
      <c r="FI21" s="1164">
        <v>20</v>
      </c>
      <c r="FJ21" s="1164"/>
      <c r="FK21" s="1164"/>
      <c r="FL21" s="1164"/>
      <c r="FM21" s="1164"/>
      <c r="FN21" s="1164"/>
      <c r="FO21" s="1164"/>
      <c r="FP21" s="1164"/>
      <c r="FQ21" s="1164"/>
      <c r="FR21" s="1137">
        <f t="shared" si="14"/>
        <v>31.466666666666665</v>
      </c>
      <c r="FS21" s="1092"/>
      <c r="FT21" s="1136">
        <f t="shared" si="15"/>
        <v>32.200000000000003</v>
      </c>
      <c r="FU21" s="1092"/>
      <c r="FV21" s="1136">
        <f t="shared" si="16"/>
        <v>32.083333333333336</v>
      </c>
      <c r="FW21" s="1092"/>
      <c r="FX21" s="1136">
        <f t="shared" si="17"/>
        <v>31.333333333333332</v>
      </c>
      <c r="FY21" s="1092"/>
      <c r="FZ21" s="1125">
        <v>52</v>
      </c>
      <c r="GA21" s="1138">
        <v>1.5</v>
      </c>
      <c r="GB21" s="1125" t="s">
        <v>62</v>
      </c>
      <c r="GC21" s="1092"/>
      <c r="GD21" s="1139"/>
      <c r="GE21" s="1135"/>
      <c r="GF21" s="1140"/>
      <c r="GG21" s="1140"/>
      <c r="GH21" s="1103" t="s">
        <v>583</v>
      </c>
      <c r="GI21" s="1098" t="s">
        <v>584</v>
      </c>
      <c r="GJ21" s="1098" t="s">
        <v>585</v>
      </c>
      <c r="GK21" s="1076" t="s">
        <v>163</v>
      </c>
    </row>
    <row r="22" spans="2:193">
      <c r="B22" s="1103" t="s">
        <v>583</v>
      </c>
      <c r="C22" s="1098"/>
      <c r="D22" s="1098"/>
      <c r="E22" s="1076"/>
      <c r="F22" s="856"/>
      <c r="G22" s="936"/>
      <c r="H22" s="3"/>
      <c r="I22" s="1469"/>
      <c r="J22" s="1144">
        <v>13</v>
      </c>
      <c r="K22" s="1089" t="s">
        <v>1709</v>
      </c>
      <c r="L22" s="1089" t="s">
        <v>1712</v>
      </c>
      <c r="M22" s="1087">
        <v>46052</v>
      </c>
      <c r="N22" s="1145">
        <v>2</v>
      </c>
      <c r="O22" s="1146" t="s">
        <v>1041</v>
      </c>
      <c r="P22" s="1090" t="s">
        <v>1724</v>
      </c>
      <c r="Q22" s="1080" t="s">
        <v>1717</v>
      </c>
      <c r="R22" s="1113" t="s">
        <v>1745</v>
      </c>
      <c r="S22" s="1080">
        <f t="shared" si="20"/>
        <v>76</v>
      </c>
      <c r="T22" s="1080"/>
      <c r="U22" s="1080">
        <v>74</v>
      </c>
      <c r="V22" s="1080">
        <v>73.2</v>
      </c>
      <c r="W22" s="1145">
        <v>74.400000000000006</v>
      </c>
      <c r="X22" s="1145">
        <v>73.5</v>
      </c>
      <c r="Y22" s="1150"/>
      <c r="Z22" s="1150"/>
      <c r="AA22" s="1150"/>
      <c r="AB22" s="1150"/>
      <c r="AC22" s="851">
        <v>73.400000000000006</v>
      </c>
      <c r="AD22" s="851">
        <v>74.099999999999994</v>
      </c>
      <c r="AE22" s="851">
        <v>73.8</v>
      </c>
      <c r="AF22" s="851">
        <v>73</v>
      </c>
      <c r="AG22" s="1115"/>
      <c r="AH22" s="1115"/>
      <c r="AI22" s="1115"/>
      <c r="AJ22" s="1115"/>
      <c r="AK22" s="1088">
        <v>307.02</v>
      </c>
      <c r="AL22" s="1110">
        <v>299</v>
      </c>
      <c r="AM22" s="1110" t="s">
        <v>1728</v>
      </c>
      <c r="AN22" s="1117">
        <f t="shared" si="0"/>
        <v>102.68227424749163</v>
      </c>
      <c r="AO22" s="1088">
        <v>4.9400000000000004</v>
      </c>
      <c r="AP22" s="1088">
        <v>5.0999999999999996</v>
      </c>
      <c r="AQ22" s="1150"/>
      <c r="AR22" s="1150"/>
      <c r="AS22" s="1118">
        <f t="shared" si="1"/>
        <v>5.0199999999999996</v>
      </c>
      <c r="AT22" s="1124">
        <v>21.5</v>
      </c>
      <c r="AU22" s="1124">
        <v>20.8</v>
      </c>
      <c r="AV22" s="1150"/>
      <c r="AW22" s="1150"/>
      <c r="AX22" s="1124">
        <v>12.1</v>
      </c>
      <c r="AY22" s="1151">
        <v>11.5</v>
      </c>
      <c r="AZ22" s="1150"/>
      <c r="BA22" s="1150"/>
      <c r="BB22" s="1124">
        <v>85.7</v>
      </c>
      <c r="BC22" s="1124">
        <v>84.1</v>
      </c>
      <c r="BD22" s="1124">
        <v>82.4</v>
      </c>
      <c r="BE22" s="1124">
        <v>81.900000000000006</v>
      </c>
      <c r="BF22" s="1150"/>
      <c r="BG22" s="1150"/>
      <c r="BH22" s="1150"/>
      <c r="BI22" s="1150"/>
      <c r="BJ22" s="1124">
        <v>41.5</v>
      </c>
      <c r="BK22" s="1124">
        <v>38.700000000000003</v>
      </c>
      <c r="BL22" s="1124">
        <v>41.8</v>
      </c>
      <c r="BM22" s="1124">
        <v>37.9</v>
      </c>
      <c r="BN22" s="1150"/>
      <c r="BO22" s="1150"/>
      <c r="BP22" s="1150"/>
      <c r="BQ22" s="1150"/>
      <c r="BR22" s="1145">
        <v>16</v>
      </c>
      <c r="BS22" s="1145">
        <v>50</v>
      </c>
      <c r="BT22" s="1145">
        <v>4</v>
      </c>
      <c r="BU22" s="1145">
        <v>2</v>
      </c>
      <c r="BV22" s="1145">
        <v>16</v>
      </c>
      <c r="BW22" s="1145">
        <v>57</v>
      </c>
      <c r="BX22" s="1145">
        <v>3</v>
      </c>
      <c r="BY22" s="1145">
        <v>23</v>
      </c>
      <c r="BZ22" s="1150"/>
      <c r="CA22" s="1150"/>
      <c r="CB22" s="1150"/>
      <c r="CC22" s="1150"/>
      <c r="CD22" s="1121">
        <f t="shared" si="2"/>
        <v>16.833333333333332</v>
      </c>
      <c r="CE22" s="1117">
        <f t="shared" si="3"/>
        <v>4.0333333333333332</v>
      </c>
      <c r="CF22" s="1117">
        <f t="shared" si="4"/>
        <v>16.95</v>
      </c>
      <c r="CG22" s="1117">
        <f t="shared" si="5"/>
        <v>3.3833333333333333</v>
      </c>
      <c r="CH22" s="1150"/>
      <c r="CI22" s="1150"/>
      <c r="CJ22" s="1150"/>
      <c r="CK22" s="1150"/>
      <c r="CL22" s="1110">
        <v>52</v>
      </c>
      <c r="CM22" s="1122">
        <v>1.5</v>
      </c>
      <c r="CN22" s="1152" t="s">
        <v>1712</v>
      </c>
      <c r="CO22" s="1153">
        <v>46052</v>
      </c>
      <c r="CP22" s="1090" t="s">
        <v>1547</v>
      </c>
      <c r="CQ22" s="1116">
        <v>323</v>
      </c>
      <c r="CR22" s="1119">
        <v>315</v>
      </c>
      <c r="CS22" s="1159" t="s">
        <v>1729</v>
      </c>
      <c r="CT22" s="1116">
        <f t="shared" si="18"/>
        <v>102.53968253968253</v>
      </c>
      <c r="CU22" s="1152">
        <v>4.42</v>
      </c>
      <c r="CV22" s="1032" t="s">
        <v>62</v>
      </c>
      <c r="CW22" s="1125" t="s">
        <v>1730</v>
      </c>
      <c r="CX22" s="1126" t="s">
        <v>1712</v>
      </c>
      <c r="CY22" s="1127">
        <v>46052</v>
      </c>
      <c r="CZ22" s="773">
        <v>2</v>
      </c>
      <c r="DA22" s="1128" t="s">
        <v>932</v>
      </c>
      <c r="DB22" s="1128" t="s">
        <v>1748</v>
      </c>
      <c r="DC22" s="1125" t="s">
        <v>1717</v>
      </c>
      <c r="DD22" s="1128">
        <f t="shared" si="19"/>
        <v>200</v>
      </c>
      <c r="DE22" s="1125">
        <v>71.3</v>
      </c>
      <c r="DF22" s="1125">
        <v>71.099999999999994</v>
      </c>
      <c r="DG22" s="1164">
        <v>70.900000000000006</v>
      </c>
      <c r="DH22" s="1164">
        <v>71.2</v>
      </c>
      <c r="DI22" s="1164">
        <v>71.400000000000006</v>
      </c>
      <c r="DJ22" s="1164">
        <v>71.2</v>
      </c>
      <c r="DK22" s="1164">
        <v>71.5</v>
      </c>
      <c r="DL22" s="1164">
        <v>71.099999999999994</v>
      </c>
      <c r="DM22" s="1165">
        <f>129.04+139.62+133.57+138.91</f>
        <v>541.14</v>
      </c>
      <c r="DN22" s="1130">
        <v>531.53</v>
      </c>
      <c r="DO22" s="1131" t="s">
        <v>1734</v>
      </c>
      <c r="DP22" s="1132">
        <f t="shared" si="12"/>
        <v>101.80798826030515</v>
      </c>
      <c r="DQ22" s="1164">
        <v>3.48</v>
      </c>
      <c r="DR22" s="1164">
        <v>3.45</v>
      </c>
      <c r="DS22" s="1169">
        <v>3.14</v>
      </c>
      <c r="DT22" s="1164">
        <v>3.22</v>
      </c>
      <c r="DU22" s="1134">
        <f t="shared" si="13"/>
        <v>3.3225000000000002</v>
      </c>
      <c r="DV22" s="1165">
        <v>71.099999999999994</v>
      </c>
      <c r="DW22" s="1165">
        <v>70.900000000000006</v>
      </c>
      <c r="DX22" s="1165">
        <v>70.7</v>
      </c>
      <c r="DY22" s="1165">
        <v>71</v>
      </c>
      <c r="DZ22" s="1165">
        <v>71.2</v>
      </c>
      <c r="EA22" s="1165">
        <v>71</v>
      </c>
      <c r="EB22" s="1165">
        <v>71.3</v>
      </c>
      <c r="EC22" s="1165">
        <v>70.900000000000006</v>
      </c>
      <c r="ED22" s="1164">
        <v>19.600000000000001</v>
      </c>
      <c r="EE22" s="1164">
        <v>19.3</v>
      </c>
      <c r="EF22" s="1164">
        <v>19.7</v>
      </c>
      <c r="EG22" s="1164">
        <v>19.8</v>
      </c>
      <c r="EH22" s="1164">
        <v>10.5</v>
      </c>
      <c r="EI22" s="1164">
        <v>10.6</v>
      </c>
      <c r="EJ22" s="1164">
        <v>10.8</v>
      </c>
      <c r="EK22" s="1164">
        <v>11</v>
      </c>
      <c r="EL22" s="1164">
        <v>84.2</v>
      </c>
      <c r="EM22" s="1135"/>
      <c r="EN22" s="1164">
        <v>84</v>
      </c>
      <c r="EO22" s="1092"/>
      <c r="EP22" s="1164">
        <v>84.7</v>
      </c>
      <c r="EQ22" s="1092"/>
      <c r="ER22" s="1164">
        <v>82.8</v>
      </c>
      <c r="ES22" s="1092"/>
      <c r="ET22" s="1164">
        <v>40.1</v>
      </c>
      <c r="EU22" s="1092"/>
      <c r="EV22" s="1164">
        <v>39.9</v>
      </c>
      <c r="EW22" s="1092"/>
      <c r="EX22" s="1164">
        <v>40.1</v>
      </c>
      <c r="EY22" s="1092"/>
      <c r="EZ22" s="1164">
        <v>40.799999999999997</v>
      </c>
      <c r="FA22" s="1092"/>
      <c r="FB22" s="1164">
        <v>33</v>
      </c>
      <c r="FC22" s="1164">
        <v>11</v>
      </c>
      <c r="FD22" s="1164">
        <v>32</v>
      </c>
      <c r="FE22" s="1164">
        <v>10</v>
      </c>
      <c r="FF22" s="1164">
        <v>32</v>
      </c>
      <c r="FG22" s="1164">
        <v>17</v>
      </c>
      <c r="FH22" s="1164">
        <v>32</v>
      </c>
      <c r="FI22" s="1164">
        <v>18</v>
      </c>
      <c r="FJ22" s="1164"/>
      <c r="FK22" s="1164"/>
      <c r="FL22" s="1164"/>
      <c r="FM22" s="1164"/>
      <c r="FN22" s="1164"/>
      <c r="FO22" s="1164"/>
      <c r="FP22" s="1164"/>
      <c r="FQ22" s="1164"/>
      <c r="FR22" s="1137">
        <f t="shared" si="14"/>
        <v>33.18333333333333</v>
      </c>
      <c r="FS22" s="1092"/>
      <c r="FT22" s="1136">
        <f t="shared" si="15"/>
        <v>32.166666666666664</v>
      </c>
      <c r="FU22" s="1092"/>
      <c r="FV22" s="1136">
        <f t="shared" si="16"/>
        <v>32.283333333333331</v>
      </c>
      <c r="FW22" s="1092"/>
      <c r="FX22" s="1136">
        <f t="shared" si="17"/>
        <v>32.299999999999997</v>
      </c>
      <c r="FY22" s="1092"/>
      <c r="FZ22" s="1125">
        <v>52</v>
      </c>
      <c r="GA22" s="1138">
        <v>1.5</v>
      </c>
      <c r="GB22" s="1125" t="s">
        <v>62</v>
      </c>
      <c r="GC22" s="1092"/>
      <c r="GD22" s="1139"/>
      <c r="GE22" s="1135"/>
      <c r="GF22" s="1140"/>
      <c r="GG22" s="1140"/>
      <c r="GH22" s="1103" t="s">
        <v>583</v>
      </c>
      <c r="GI22" s="1098" t="s">
        <v>584</v>
      </c>
      <c r="GJ22" s="1098" t="s">
        <v>585</v>
      </c>
      <c r="GK22" s="1076" t="s">
        <v>163</v>
      </c>
    </row>
    <row r="23" spans="2:193">
      <c r="B23" s="1103" t="s">
        <v>583</v>
      </c>
      <c r="C23" s="1098"/>
      <c r="D23" s="1098"/>
      <c r="E23" s="1076"/>
      <c r="F23" s="856"/>
      <c r="G23" s="936"/>
      <c r="H23" s="3"/>
      <c r="I23" s="1469"/>
      <c r="J23" s="1144">
        <v>14</v>
      </c>
      <c r="K23" s="1089" t="s">
        <v>1709</v>
      </c>
      <c r="L23" s="1089" t="s">
        <v>1712</v>
      </c>
      <c r="M23" s="1087">
        <v>46052</v>
      </c>
      <c r="N23" s="1145">
        <v>3</v>
      </c>
      <c r="O23" s="1146" t="s">
        <v>1041</v>
      </c>
      <c r="P23" s="1090" t="s">
        <v>1750</v>
      </c>
      <c r="Q23" s="1080" t="s">
        <v>1717</v>
      </c>
      <c r="R23" s="1113" t="s">
        <v>1745</v>
      </c>
      <c r="S23" s="1080">
        <f t="shared" si="20"/>
        <v>76</v>
      </c>
      <c r="T23" s="1080"/>
      <c r="U23" s="1080">
        <v>74</v>
      </c>
      <c r="V23" s="1080">
        <v>73.8</v>
      </c>
      <c r="W23" s="1145">
        <v>74</v>
      </c>
      <c r="X23" s="1145">
        <v>73.599999999999994</v>
      </c>
      <c r="Y23" s="1150"/>
      <c r="Z23" s="1150"/>
      <c r="AA23" s="1150"/>
      <c r="AB23" s="1150"/>
      <c r="AC23" s="851">
        <v>73.8</v>
      </c>
      <c r="AD23" s="851">
        <v>73.5</v>
      </c>
      <c r="AE23" s="851">
        <v>73.599999999999994</v>
      </c>
      <c r="AF23" s="851">
        <v>72.2</v>
      </c>
      <c r="AG23" s="1115"/>
      <c r="AH23" s="1115"/>
      <c r="AI23" s="1115"/>
      <c r="AJ23" s="1115"/>
      <c r="AK23" s="1088">
        <v>305.45</v>
      </c>
      <c r="AL23" s="1110">
        <v>299</v>
      </c>
      <c r="AM23" s="1110" t="s">
        <v>1728</v>
      </c>
      <c r="AN23" s="1117">
        <f t="shared" si="0"/>
        <v>102.1571906354515</v>
      </c>
      <c r="AO23" s="1088">
        <v>5.09</v>
      </c>
      <c r="AP23" s="1088">
        <v>4.8899999999999997</v>
      </c>
      <c r="AQ23" s="1150"/>
      <c r="AR23" s="1150"/>
      <c r="AS23" s="1118">
        <f t="shared" si="1"/>
        <v>4.99</v>
      </c>
      <c r="AT23" s="1124">
        <v>20.8</v>
      </c>
      <c r="AU23" s="1124">
        <v>21</v>
      </c>
      <c r="AV23" s="1150"/>
      <c r="AW23" s="1150"/>
      <c r="AX23" s="1124">
        <v>11.4</v>
      </c>
      <c r="AY23" s="1151">
        <v>11.8</v>
      </c>
      <c r="AZ23" s="1150"/>
      <c r="BA23" s="1150"/>
      <c r="BB23" s="1124">
        <v>86.7</v>
      </c>
      <c r="BC23" s="1124">
        <v>82.1</v>
      </c>
      <c r="BD23" s="1124">
        <v>84.2</v>
      </c>
      <c r="BE23" s="1124">
        <v>80</v>
      </c>
      <c r="BF23" s="1150"/>
      <c r="BG23" s="1150"/>
      <c r="BH23" s="1150"/>
      <c r="BI23" s="1150"/>
      <c r="BJ23" s="1124">
        <v>42</v>
      </c>
      <c r="BK23" s="1124">
        <v>37.6</v>
      </c>
      <c r="BL23" s="1124">
        <v>42.8</v>
      </c>
      <c r="BM23" s="1124">
        <v>37.4</v>
      </c>
      <c r="BN23" s="1150"/>
      <c r="BO23" s="1150"/>
      <c r="BP23" s="1150"/>
      <c r="BQ23" s="1150"/>
      <c r="BR23" s="1145">
        <v>16</v>
      </c>
      <c r="BS23" s="1145">
        <v>2</v>
      </c>
      <c r="BT23" s="1145">
        <v>3</v>
      </c>
      <c r="BU23" s="1145">
        <v>5</v>
      </c>
      <c r="BV23" s="1145">
        <v>19</v>
      </c>
      <c r="BW23" s="1145">
        <v>42</v>
      </c>
      <c r="BX23" s="1145">
        <v>2</v>
      </c>
      <c r="BY23" s="1145">
        <v>22</v>
      </c>
      <c r="BZ23" s="1150"/>
      <c r="CA23" s="1150"/>
      <c r="CB23" s="1150"/>
      <c r="CC23" s="1150"/>
      <c r="CD23" s="1121">
        <f t="shared" si="2"/>
        <v>16.033333333333335</v>
      </c>
      <c r="CE23" s="1117">
        <f t="shared" si="3"/>
        <v>3.0833333333333335</v>
      </c>
      <c r="CF23" s="1117">
        <f t="shared" si="4"/>
        <v>19.7</v>
      </c>
      <c r="CG23" s="1117">
        <f t="shared" si="5"/>
        <v>2.3666666666666667</v>
      </c>
      <c r="CH23" s="1150"/>
      <c r="CI23" s="1150"/>
      <c r="CJ23" s="1150"/>
      <c r="CK23" s="1150"/>
      <c r="CL23" s="1110">
        <v>52</v>
      </c>
      <c r="CM23" s="1122">
        <v>1.5</v>
      </c>
      <c r="CN23" s="1152" t="s">
        <v>1723</v>
      </c>
      <c r="CO23" s="1153">
        <v>46055</v>
      </c>
      <c r="CP23" s="1090" t="s">
        <v>1547</v>
      </c>
      <c r="CQ23" s="1116">
        <v>321.5</v>
      </c>
      <c r="CR23" s="1119">
        <v>315</v>
      </c>
      <c r="CS23" s="1159" t="s">
        <v>1729</v>
      </c>
      <c r="CT23" s="1116">
        <f t="shared" si="18"/>
        <v>102.06349206349205</v>
      </c>
      <c r="CU23" s="1152">
        <v>4.42</v>
      </c>
      <c r="CV23" s="1032" t="s">
        <v>62</v>
      </c>
      <c r="CW23" s="1125" t="s">
        <v>1730</v>
      </c>
      <c r="CX23" s="1126" t="s">
        <v>1723</v>
      </c>
      <c r="CY23" s="1161">
        <v>46055</v>
      </c>
      <c r="CZ23" s="773">
        <v>1</v>
      </c>
      <c r="DA23" s="1164" t="s">
        <v>932</v>
      </c>
      <c r="DB23" s="1125" t="s">
        <v>1743</v>
      </c>
      <c r="DC23" s="1164" t="s">
        <v>1717</v>
      </c>
      <c r="DD23" s="1125">
        <f t="shared" si="19"/>
        <v>200</v>
      </c>
      <c r="DE23" s="1164">
        <v>72.099999999999994</v>
      </c>
      <c r="DF23" s="1164">
        <v>71</v>
      </c>
      <c r="DG23" s="1164">
        <v>71.3</v>
      </c>
      <c r="DH23" s="1164">
        <v>71.5</v>
      </c>
      <c r="DI23" s="1164">
        <v>71.599999999999994</v>
      </c>
      <c r="DJ23" s="1164">
        <v>71.400000000000006</v>
      </c>
      <c r="DK23" s="1164">
        <v>71.8</v>
      </c>
      <c r="DL23" s="1164">
        <v>71.2</v>
      </c>
      <c r="DM23" s="1165">
        <f>125.22+134.52+130.1+140.82</f>
        <v>530.66000000000008</v>
      </c>
      <c r="DN23" s="1130">
        <v>531.53</v>
      </c>
      <c r="DO23" s="1131" t="s">
        <v>1734</v>
      </c>
      <c r="DP23" s="1132">
        <f t="shared" si="12"/>
        <v>99.836321562282492</v>
      </c>
      <c r="DQ23" s="1164">
        <v>3.48</v>
      </c>
      <c r="DR23" s="1164">
        <v>3.26</v>
      </c>
      <c r="DS23" s="1169">
        <v>3.38</v>
      </c>
      <c r="DT23" s="1164">
        <v>3.37</v>
      </c>
      <c r="DU23" s="1134">
        <f t="shared" si="13"/>
        <v>3.3725000000000005</v>
      </c>
      <c r="DV23" s="1165">
        <v>71.599999999999994</v>
      </c>
      <c r="DW23" s="1165">
        <v>70.8</v>
      </c>
      <c r="DX23" s="1165">
        <v>71</v>
      </c>
      <c r="DY23" s="1165">
        <v>71.2</v>
      </c>
      <c r="DZ23" s="1165">
        <v>71.2</v>
      </c>
      <c r="EA23" s="1165">
        <v>71</v>
      </c>
      <c r="EB23" s="1165">
        <v>71</v>
      </c>
      <c r="EC23" s="1165">
        <v>70.8</v>
      </c>
      <c r="ED23" s="1164">
        <v>18.7</v>
      </c>
      <c r="EE23" s="1164">
        <v>18.600000000000001</v>
      </c>
      <c r="EF23" s="1164">
        <v>18.899999999999999</v>
      </c>
      <c r="EG23" s="1164">
        <v>18.600000000000001</v>
      </c>
      <c r="EH23" s="1164">
        <v>10.7</v>
      </c>
      <c r="EI23" s="1164">
        <v>10.6</v>
      </c>
      <c r="EJ23" s="1164">
        <v>10.9</v>
      </c>
      <c r="EK23" s="1164">
        <v>10.5</v>
      </c>
      <c r="EL23" s="1164">
        <v>80.2</v>
      </c>
      <c r="EM23" s="1092"/>
      <c r="EN23" s="1164">
        <v>77.8</v>
      </c>
      <c r="EO23" s="1092"/>
      <c r="EP23" s="1164">
        <v>75.599999999999994</v>
      </c>
      <c r="EQ23" s="1092"/>
      <c r="ER23" s="1164">
        <v>80.099999999999994</v>
      </c>
      <c r="ES23" s="1092"/>
      <c r="ET23" s="1164">
        <v>39.9</v>
      </c>
      <c r="EU23" s="1092"/>
      <c r="EV23" s="1164">
        <v>40.1</v>
      </c>
      <c r="EW23" s="1092"/>
      <c r="EX23" s="1164">
        <v>40</v>
      </c>
      <c r="EY23" s="1092"/>
      <c r="EZ23" s="1164">
        <v>40</v>
      </c>
      <c r="FA23" s="1092"/>
      <c r="FB23" s="1164">
        <v>38</v>
      </c>
      <c r="FC23" s="1164">
        <v>15</v>
      </c>
      <c r="FD23" s="1164">
        <v>38</v>
      </c>
      <c r="FE23" s="1164">
        <v>12</v>
      </c>
      <c r="FF23" s="1164">
        <v>38</v>
      </c>
      <c r="FG23" s="1164">
        <v>17</v>
      </c>
      <c r="FH23" s="1164">
        <v>38</v>
      </c>
      <c r="FI23" s="1164">
        <v>30</v>
      </c>
      <c r="FJ23" s="1164"/>
      <c r="FK23" s="1164"/>
      <c r="FL23" s="1164"/>
      <c r="FM23" s="1164"/>
      <c r="FN23" s="1164"/>
      <c r="FO23" s="1164"/>
      <c r="FP23" s="1164"/>
      <c r="FQ23" s="1164"/>
      <c r="FR23" s="1137">
        <f t="shared" si="14"/>
        <v>38.25</v>
      </c>
      <c r="FS23" s="1092"/>
      <c r="FT23" s="1136">
        <f t="shared" si="15"/>
        <v>38.200000000000003</v>
      </c>
      <c r="FU23" s="1092"/>
      <c r="FV23" s="1136">
        <f t="shared" si="16"/>
        <v>38.283333333333331</v>
      </c>
      <c r="FW23" s="1092"/>
      <c r="FX23" s="1136">
        <f t="shared" si="17"/>
        <v>38.5</v>
      </c>
      <c r="FY23" s="1092"/>
      <c r="FZ23" s="1125">
        <v>52</v>
      </c>
      <c r="GA23" s="1138">
        <v>1.5</v>
      </c>
      <c r="GB23" s="1125" t="s">
        <v>62</v>
      </c>
      <c r="GC23" s="1092"/>
      <c r="GD23" s="1139"/>
      <c r="GE23" s="1135"/>
      <c r="GF23" s="1140"/>
      <c r="GG23" s="1140"/>
      <c r="GH23" s="1103" t="s">
        <v>583</v>
      </c>
      <c r="GI23" s="1098" t="s">
        <v>584</v>
      </c>
      <c r="GJ23" s="1098" t="s">
        <v>585</v>
      </c>
      <c r="GK23" s="1076" t="s">
        <v>163</v>
      </c>
    </row>
    <row r="24" spans="2:193">
      <c r="B24" s="1103" t="s">
        <v>583</v>
      </c>
      <c r="C24" s="1098"/>
      <c r="D24" s="1098"/>
      <c r="E24" s="1076"/>
      <c r="F24" s="856"/>
      <c r="G24" s="936"/>
      <c r="H24" s="3"/>
      <c r="I24" s="1469"/>
      <c r="J24" s="1144">
        <v>1</v>
      </c>
      <c r="K24" s="1089" t="s">
        <v>1709</v>
      </c>
      <c r="L24" s="1089" t="s">
        <v>1712</v>
      </c>
      <c r="M24" s="1087">
        <v>46052</v>
      </c>
      <c r="N24" s="1145">
        <v>1</v>
      </c>
      <c r="O24" s="1146" t="s">
        <v>1041</v>
      </c>
      <c r="P24" s="1090" t="s">
        <v>1740</v>
      </c>
      <c r="Q24" s="1080" t="s">
        <v>1717</v>
      </c>
      <c r="R24" s="1113" t="s">
        <v>1745</v>
      </c>
      <c r="S24" s="1080">
        <f t="shared" si="20"/>
        <v>76</v>
      </c>
      <c r="T24" s="1080"/>
      <c r="U24" s="1080">
        <v>73.5</v>
      </c>
      <c r="V24" s="1080">
        <v>73.900000000000006</v>
      </c>
      <c r="W24" s="1145">
        <v>73.900000000000006</v>
      </c>
      <c r="X24" s="1145">
        <v>73.7</v>
      </c>
      <c r="Y24" s="1150"/>
      <c r="Z24" s="1150"/>
      <c r="AA24" s="1150"/>
      <c r="AB24" s="1150"/>
      <c r="AC24" s="851">
        <v>73.3</v>
      </c>
      <c r="AD24" s="851">
        <v>73.599999999999994</v>
      </c>
      <c r="AE24" s="851">
        <v>73.5</v>
      </c>
      <c r="AF24" s="851">
        <v>73.400000000000006</v>
      </c>
      <c r="AG24" s="1115"/>
      <c r="AH24" s="1115"/>
      <c r="AI24" s="1115"/>
      <c r="AJ24" s="1115"/>
      <c r="AK24" s="1088">
        <f>152.74+154.4</f>
        <v>307.14</v>
      </c>
      <c r="AL24" s="1110">
        <v>299</v>
      </c>
      <c r="AM24" s="1110" t="s">
        <v>1728</v>
      </c>
      <c r="AN24" s="1117">
        <f t="shared" si="0"/>
        <v>102.72240802675586</v>
      </c>
      <c r="AO24" s="1088">
        <v>4.87</v>
      </c>
      <c r="AP24" s="1088">
        <v>5.09</v>
      </c>
      <c r="AQ24" s="1150"/>
      <c r="AR24" s="1150"/>
      <c r="AS24" s="1118">
        <f t="shared" si="1"/>
        <v>4.9800000000000004</v>
      </c>
      <c r="AT24" s="1124">
        <v>20</v>
      </c>
      <c r="AU24" s="1124">
        <v>20.3</v>
      </c>
      <c r="AV24" s="1150"/>
      <c r="AW24" s="1150"/>
      <c r="AX24" s="1124">
        <v>10.8</v>
      </c>
      <c r="AY24" s="1151">
        <v>11.5</v>
      </c>
      <c r="AZ24" s="1150"/>
      <c r="BA24" s="1150"/>
      <c r="BB24" s="1124">
        <v>86.4</v>
      </c>
      <c r="BC24" s="1124">
        <v>82.2</v>
      </c>
      <c r="BD24" s="1124">
        <v>85.9</v>
      </c>
      <c r="BE24" s="1124">
        <v>82.5</v>
      </c>
      <c r="BF24" s="1150"/>
      <c r="BG24" s="1150"/>
      <c r="BH24" s="1150"/>
      <c r="BI24" s="1150"/>
      <c r="BJ24" s="1124">
        <v>43</v>
      </c>
      <c r="BK24" s="1124">
        <v>39.1</v>
      </c>
      <c r="BL24" s="1124">
        <v>41.8</v>
      </c>
      <c r="BM24" s="1124">
        <v>38.6</v>
      </c>
      <c r="BN24" s="1150"/>
      <c r="BO24" s="1150"/>
      <c r="BP24" s="1150"/>
      <c r="BQ24" s="1150"/>
      <c r="BR24" s="1145">
        <v>18</v>
      </c>
      <c r="BS24" s="1145">
        <v>38</v>
      </c>
      <c r="BT24" s="1145">
        <v>2</v>
      </c>
      <c r="BU24" s="1145">
        <v>2</v>
      </c>
      <c r="BV24" s="1145">
        <v>16</v>
      </c>
      <c r="BW24" s="1145">
        <v>37</v>
      </c>
      <c r="BX24" s="1145">
        <v>4</v>
      </c>
      <c r="BY24" s="1145">
        <v>16</v>
      </c>
      <c r="BZ24" s="1150"/>
      <c r="CA24" s="1150"/>
      <c r="CB24" s="1150"/>
      <c r="CC24" s="1150"/>
      <c r="CD24" s="1121">
        <f t="shared" si="2"/>
        <v>18.633333333333333</v>
      </c>
      <c r="CE24" s="1117">
        <f t="shared" si="3"/>
        <v>2.0333333333333332</v>
      </c>
      <c r="CF24" s="1117">
        <f t="shared" si="4"/>
        <v>16.616666666666667</v>
      </c>
      <c r="CG24" s="1117">
        <f t="shared" si="5"/>
        <v>4.2666666666666666</v>
      </c>
      <c r="CH24" s="1150"/>
      <c r="CI24" s="1150"/>
      <c r="CJ24" s="1150"/>
      <c r="CK24" s="1150"/>
      <c r="CL24" s="1110">
        <v>52</v>
      </c>
      <c r="CM24" s="1122">
        <v>1.5</v>
      </c>
      <c r="CN24" s="1152" t="s">
        <v>1712</v>
      </c>
      <c r="CO24" s="1153">
        <v>46052</v>
      </c>
      <c r="CP24" s="1090" t="s">
        <v>1547</v>
      </c>
      <c r="CQ24" s="1116">
        <v>323</v>
      </c>
      <c r="CR24" s="1119">
        <v>315</v>
      </c>
      <c r="CS24" s="1159" t="s">
        <v>1729</v>
      </c>
      <c r="CT24" s="1116">
        <f t="shared" si="18"/>
        <v>102.53968253968253</v>
      </c>
      <c r="CU24" s="1152">
        <v>4.42</v>
      </c>
      <c r="CV24" s="1032" t="s">
        <v>62</v>
      </c>
      <c r="CW24" s="1125" t="s">
        <v>1730</v>
      </c>
      <c r="CX24" s="1126" t="s">
        <v>1712</v>
      </c>
      <c r="CY24" s="1127">
        <v>46052</v>
      </c>
      <c r="CZ24" s="773">
        <v>1</v>
      </c>
      <c r="DA24" s="1128" t="s">
        <v>932</v>
      </c>
      <c r="DB24" s="1128" t="s">
        <v>1746</v>
      </c>
      <c r="DC24" s="1125" t="s">
        <v>1717</v>
      </c>
      <c r="DD24" s="1128">
        <f t="shared" si="19"/>
        <v>200</v>
      </c>
      <c r="DE24" s="1125">
        <v>71.8</v>
      </c>
      <c r="DF24" s="1125">
        <v>71.2</v>
      </c>
      <c r="DG24" s="1164">
        <v>71.900000000000006</v>
      </c>
      <c r="DH24" s="1164">
        <v>71.099999999999994</v>
      </c>
      <c r="DI24" s="1164">
        <v>71</v>
      </c>
      <c r="DJ24" s="1164">
        <v>71.599999999999994</v>
      </c>
      <c r="DK24" s="1164">
        <v>71.2</v>
      </c>
      <c r="DL24" s="1164">
        <v>71</v>
      </c>
      <c r="DM24" s="1165">
        <f>120.99+131.94+134.39+130.03</f>
        <v>517.35</v>
      </c>
      <c r="DN24" s="1130">
        <v>531.53</v>
      </c>
      <c r="DO24" s="1131" t="s">
        <v>1734</v>
      </c>
      <c r="DP24" s="1132">
        <f t="shared" si="12"/>
        <v>97.332229601339534</v>
      </c>
      <c r="DQ24" s="1164">
        <v>3.44</v>
      </c>
      <c r="DR24" s="1164">
        <v>3.39</v>
      </c>
      <c r="DS24" s="1169">
        <v>3.48</v>
      </c>
      <c r="DT24" s="1164">
        <v>3.49</v>
      </c>
      <c r="DU24" s="1134">
        <f t="shared" si="13"/>
        <v>3.45</v>
      </c>
      <c r="DV24" s="1165">
        <v>70.5</v>
      </c>
      <c r="DW24" s="1165">
        <v>70.7</v>
      </c>
      <c r="DX24" s="1165">
        <v>71.7</v>
      </c>
      <c r="DY24" s="1165">
        <v>71</v>
      </c>
      <c r="DZ24" s="1165">
        <v>70.8</v>
      </c>
      <c r="EA24" s="1165">
        <v>71.400000000000006</v>
      </c>
      <c r="EB24" s="1165">
        <v>71</v>
      </c>
      <c r="EC24" s="1165">
        <v>70.8</v>
      </c>
      <c r="ED24" s="1164">
        <v>19.5</v>
      </c>
      <c r="EE24" s="1164">
        <v>19.7</v>
      </c>
      <c r="EF24" s="1164">
        <v>19.5</v>
      </c>
      <c r="EG24" s="1164">
        <v>19.3</v>
      </c>
      <c r="EH24" s="1164">
        <v>10.199999999999999</v>
      </c>
      <c r="EI24" s="1164">
        <v>10.8</v>
      </c>
      <c r="EJ24" s="1164">
        <v>10.6</v>
      </c>
      <c r="EK24" s="1164">
        <v>10.7</v>
      </c>
      <c r="EL24" s="1164">
        <v>83.9</v>
      </c>
      <c r="EM24" s="1135"/>
      <c r="EN24" s="1164">
        <v>84.1</v>
      </c>
      <c r="EO24" s="1092"/>
      <c r="EP24" s="1164">
        <v>85.1</v>
      </c>
      <c r="EQ24" s="1092"/>
      <c r="ER24" s="1164">
        <v>82.7</v>
      </c>
      <c r="ES24" s="1092"/>
      <c r="ET24" s="1164">
        <v>40</v>
      </c>
      <c r="EU24" s="1092"/>
      <c r="EV24" s="1164">
        <v>40.5</v>
      </c>
      <c r="EW24" s="1092"/>
      <c r="EX24" s="1164">
        <v>40.200000000000003</v>
      </c>
      <c r="EY24" s="1092"/>
      <c r="EZ24" s="1164">
        <v>40</v>
      </c>
      <c r="FA24" s="1092"/>
      <c r="FB24" s="1164">
        <v>32</v>
      </c>
      <c r="FC24" s="1164">
        <v>10</v>
      </c>
      <c r="FD24" s="1164">
        <v>32</v>
      </c>
      <c r="FE24" s="1164">
        <v>15</v>
      </c>
      <c r="FF24" s="1164">
        <v>32</v>
      </c>
      <c r="FG24" s="1164">
        <v>20</v>
      </c>
      <c r="FH24" s="1164">
        <v>32</v>
      </c>
      <c r="FI24" s="1164">
        <v>5</v>
      </c>
      <c r="FJ24" s="1164"/>
      <c r="FK24" s="1164"/>
      <c r="FL24" s="1164"/>
      <c r="FM24" s="1164"/>
      <c r="FN24" s="1164"/>
      <c r="FO24" s="1164"/>
      <c r="FP24" s="1164"/>
      <c r="FQ24" s="1164"/>
      <c r="FR24" s="1137">
        <f t="shared" si="14"/>
        <v>32.166666666666664</v>
      </c>
      <c r="FS24" s="1092"/>
      <c r="FT24" s="1136">
        <f t="shared" si="15"/>
        <v>32.25</v>
      </c>
      <c r="FU24" s="1092"/>
      <c r="FV24" s="1136">
        <f t="shared" si="16"/>
        <v>32.333333333333336</v>
      </c>
      <c r="FW24" s="1092"/>
      <c r="FX24" s="1136">
        <f t="shared" si="17"/>
        <v>32.083333333333336</v>
      </c>
      <c r="FY24" s="1092"/>
      <c r="FZ24" s="1125">
        <v>52</v>
      </c>
      <c r="GA24" s="1138">
        <v>1.5</v>
      </c>
      <c r="GB24" s="1125" t="s">
        <v>62</v>
      </c>
      <c r="GC24" s="1092"/>
      <c r="GD24" s="1139"/>
      <c r="GE24" s="1135"/>
      <c r="GF24" s="1140"/>
      <c r="GG24" s="1140"/>
      <c r="GH24" s="1103" t="s">
        <v>583</v>
      </c>
      <c r="GI24" s="1098" t="s">
        <v>584</v>
      </c>
      <c r="GJ24" s="1098" t="s">
        <v>585</v>
      </c>
      <c r="GK24" s="1076" t="s">
        <v>163</v>
      </c>
    </row>
    <row r="25" spans="2:193">
      <c r="B25" s="1103" t="s">
        <v>583</v>
      </c>
      <c r="C25" s="1098"/>
      <c r="D25" s="1098"/>
      <c r="E25" s="1076"/>
      <c r="F25" s="856"/>
      <c r="G25" s="936"/>
      <c r="H25" s="3"/>
      <c r="I25" s="1469"/>
      <c r="J25" s="1144">
        <v>2</v>
      </c>
      <c r="K25" s="1089" t="s">
        <v>1709</v>
      </c>
      <c r="L25" s="1089" t="s">
        <v>1712</v>
      </c>
      <c r="M25" s="1087">
        <v>46052</v>
      </c>
      <c r="N25" s="1145">
        <v>2</v>
      </c>
      <c r="O25" s="1146" t="s">
        <v>1041</v>
      </c>
      <c r="P25" s="1090" t="s">
        <v>1725</v>
      </c>
      <c r="Q25" s="1080" t="s">
        <v>1717</v>
      </c>
      <c r="R25" s="1113" t="s">
        <v>1745</v>
      </c>
      <c r="S25" s="1080">
        <f t="shared" si="20"/>
        <v>76</v>
      </c>
      <c r="T25" s="1080"/>
      <c r="U25" s="1080">
        <v>74.400000000000006</v>
      </c>
      <c r="V25" s="1080">
        <v>73.5</v>
      </c>
      <c r="W25" s="1145">
        <v>74.599999999999994</v>
      </c>
      <c r="X25" s="1145">
        <v>73.8</v>
      </c>
      <c r="Y25" s="1150"/>
      <c r="Z25" s="1150"/>
      <c r="AA25" s="1150"/>
      <c r="AB25" s="1150"/>
      <c r="AC25" s="851">
        <v>74.2</v>
      </c>
      <c r="AD25" s="851">
        <v>73.3</v>
      </c>
      <c r="AE25" s="851">
        <v>74.400000000000006</v>
      </c>
      <c r="AF25" s="851">
        <v>73.599999999999994</v>
      </c>
      <c r="AG25" s="1115"/>
      <c r="AH25" s="1115"/>
      <c r="AI25" s="1115"/>
      <c r="AJ25" s="1115"/>
      <c r="AK25" s="1088">
        <f>147.23+157.67</f>
        <v>304.89999999999998</v>
      </c>
      <c r="AL25" s="1110">
        <v>299</v>
      </c>
      <c r="AM25" s="1110" t="s">
        <v>1728</v>
      </c>
      <c r="AN25" s="1117">
        <f t="shared" si="0"/>
        <v>101.97324414715719</v>
      </c>
      <c r="AO25" s="1088">
        <v>4.8099999999999996</v>
      </c>
      <c r="AP25" s="1088">
        <v>4.79</v>
      </c>
      <c r="AQ25" s="1150"/>
      <c r="AR25" s="1150"/>
      <c r="AS25" s="1118">
        <f t="shared" si="1"/>
        <v>4.8</v>
      </c>
      <c r="AT25" s="1124">
        <v>20.5</v>
      </c>
      <c r="AU25" s="1124">
        <v>20.9</v>
      </c>
      <c r="AV25" s="1150"/>
      <c r="AW25" s="1150"/>
      <c r="AX25" s="1124">
        <v>11.4</v>
      </c>
      <c r="AY25" s="1151">
        <v>12.3</v>
      </c>
      <c r="AZ25" s="1150"/>
      <c r="BA25" s="1150"/>
      <c r="BB25" s="1124">
        <v>86.5</v>
      </c>
      <c r="BC25" s="1124">
        <v>78.3</v>
      </c>
      <c r="BD25" s="1124">
        <v>81.7</v>
      </c>
      <c r="BE25" s="1124">
        <v>80.099999999999994</v>
      </c>
      <c r="BF25" s="1150"/>
      <c r="BG25" s="1150"/>
      <c r="BH25" s="1150"/>
      <c r="BI25" s="1150"/>
      <c r="BJ25" s="1124">
        <v>42.1</v>
      </c>
      <c r="BK25" s="1124">
        <v>38</v>
      </c>
      <c r="BL25" s="1124">
        <v>41.5</v>
      </c>
      <c r="BM25" s="1124">
        <v>37.799999999999997</v>
      </c>
      <c r="BN25" s="1150"/>
      <c r="BO25" s="1150"/>
      <c r="BP25" s="1150"/>
      <c r="BQ25" s="1150"/>
      <c r="BR25" s="1145">
        <v>16</v>
      </c>
      <c r="BS25" s="1145">
        <v>50</v>
      </c>
      <c r="BT25" s="1145">
        <v>2</v>
      </c>
      <c r="BU25" s="1145">
        <v>42</v>
      </c>
      <c r="BV25" s="1145">
        <v>16</v>
      </c>
      <c r="BW25" s="1145">
        <v>30</v>
      </c>
      <c r="BX25" s="1145">
        <v>3</v>
      </c>
      <c r="BY25" s="1145">
        <v>18</v>
      </c>
      <c r="BZ25" s="1150"/>
      <c r="CA25" s="1150"/>
      <c r="CB25" s="1150"/>
      <c r="CC25" s="1150"/>
      <c r="CD25" s="1121">
        <f t="shared" si="2"/>
        <v>16.833333333333332</v>
      </c>
      <c r="CE25" s="1117">
        <f t="shared" si="3"/>
        <v>2.7</v>
      </c>
      <c r="CF25" s="1117">
        <f t="shared" si="4"/>
        <v>16.5</v>
      </c>
      <c r="CG25" s="1117">
        <f t="shared" si="5"/>
        <v>3.3</v>
      </c>
      <c r="CH25" s="1150"/>
      <c r="CI25" s="1150"/>
      <c r="CJ25" s="1150"/>
      <c r="CK25" s="1150"/>
      <c r="CL25" s="1110">
        <v>52</v>
      </c>
      <c r="CM25" s="1122">
        <v>1.5</v>
      </c>
      <c r="CN25" s="1152" t="s">
        <v>1723</v>
      </c>
      <c r="CO25" s="1153">
        <v>46055</v>
      </c>
      <c r="CP25" s="1090" t="s">
        <v>1547</v>
      </c>
      <c r="CQ25" s="1116">
        <v>320.60000000000002</v>
      </c>
      <c r="CR25" s="1119">
        <v>315</v>
      </c>
      <c r="CS25" s="1159" t="s">
        <v>1729</v>
      </c>
      <c r="CT25" s="1116">
        <f t="shared" si="18"/>
        <v>101.77777777777779</v>
      </c>
      <c r="CU25" s="1152">
        <v>4.42</v>
      </c>
      <c r="CV25" s="1032" t="s">
        <v>62</v>
      </c>
      <c r="CW25" s="1125" t="s">
        <v>1730</v>
      </c>
      <c r="CX25" s="1126" t="s">
        <v>1712</v>
      </c>
      <c r="CY25" s="1127">
        <v>46052</v>
      </c>
      <c r="CZ25" s="773">
        <v>3</v>
      </c>
      <c r="DA25" s="1128" t="s">
        <v>932</v>
      </c>
      <c r="DB25" s="1128" t="s">
        <v>1743</v>
      </c>
      <c r="DC25" s="1125" t="s">
        <v>1717</v>
      </c>
      <c r="DD25" s="1128">
        <f t="shared" si="19"/>
        <v>200</v>
      </c>
      <c r="DE25" s="1125">
        <v>71.8</v>
      </c>
      <c r="DF25" s="1125">
        <v>71.599999999999994</v>
      </c>
      <c r="DG25" s="1164">
        <v>71.400000000000006</v>
      </c>
      <c r="DH25" s="1164">
        <v>71.2</v>
      </c>
      <c r="DI25" s="1164">
        <v>71.400000000000006</v>
      </c>
      <c r="DJ25" s="1164">
        <v>71.599999999999994</v>
      </c>
      <c r="DK25" s="1164">
        <v>71.2</v>
      </c>
      <c r="DL25" s="1164">
        <v>71.400000000000006</v>
      </c>
      <c r="DM25" s="1165">
        <v>543.98</v>
      </c>
      <c r="DN25" s="1130">
        <v>531.53</v>
      </c>
      <c r="DO25" s="1131" t="s">
        <v>1734</v>
      </c>
      <c r="DP25" s="1132">
        <f t="shared" si="12"/>
        <v>102.34229488457849</v>
      </c>
      <c r="DQ25" s="1164">
        <v>3.12</v>
      </c>
      <c r="DR25" s="1164">
        <v>3.44</v>
      </c>
      <c r="DS25" s="1169">
        <v>3.29</v>
      </c>
      <c r="DT25" s="1164">
        <v>3.44</v>
      </c>
      <c r="DU25" s="1134">
        <f t="shared" si="13"/>
        <v>3.3225000000000002</v>
      </c>
      <c r="DV25" s="1165">
        <v>71.400000000000006</v>
      </c>
      <c r="DW25" s="1165">
        <v>71.3</v>
      </c>
      <c r="DX25" s="1165">
        <v>71.099999999999994</v>
      </c>
      <c r="DY25" s="1165">
        <v>71</v>
      </c>
      <c r="DZ25" s="1165">
        <v>71</v>
      </c>
      <c r="EA25" s="1165">
        <v>71.3</v>
      </c>
      <c r="EB25" s="1165">
        <v>71</v>
      </c>
      <c r="EC25" s="1165">
        <v>71.099999999999994</v>
      </c>
      <c r="ED25" s="1164">
        <v>19.2</v>
      </c>
      <c r="EE25" s="1164">
        <v>19.5</v>
      </c>
      <c r="EF25" s="1164">
        <v>19.600000000000001</v>
      </c>
      <c r="EG25" s="1164">
        <v>19.7</v>
      </c>
      <c r="EH25" s="1164">
        <v>10.199999999999999</v>
      </c>
      <c r="EI25" s="1164">
        <v>10.4</v>
      </c>
      <c r="EJ25" s="1164">
        <v>10.6</v>
      </c>
      <c r="EK25" s="1164">
        <v>10.8</v>
      </c>
      <c r="EL25" s="1164">
        <v>88.6</v>
      </c>
      <c r="EM25" s="1135"/>
      <c r="EN25" s="1164">
        <v>81.8</v>
      </c>
      <c r="EO25" s="1092"/>
      <c r="EP25" s="1164">
        <v>84.5</v>
      </c>
      <c r="EQ25" s="1092"/>
      <c r="ER25" s="1164">
        <v>85.3</v>
      </c>
      <c r="ES25" s="1092"/>
      <c r="ET25" s="1164">
        <v>40.799999999999997</v>
      </c>
      <c r="EU25" s="1092"/>
      <c r="EV25" s="1164">
        <v>40</v>
      </c>
      <c r="EW25" s="1092"/>
      <c r="EX25" s="1164">
        <v>40.200000000000003</v>
      </c>
      <c r="EY25" s="1092"/>
      <c r="EZ25" s="1164">
        <v>40.1</v>
      </c>
      <c r="FA25" s="1092"/>
      <c r="FB25" s="1164">
        <v>33</v>
      </c>
      <c r="FC25" s="1164">
        <v>15</v>
      </c>
      <c r="FD25" s="1164">
        <v>31</v>
      </c>
      <c r="FE25" s="1164">
        <v>46</v>
      </c>
      <c r="FF25" s="1164">
        <v>32</v>
      </c>
      <c r="FG25" s="1164">
        <v>15</v>
      </c>
      <c r="FH25" s="1164">
        <v>31</v>
      </c>
      <c r="FI25" s="1164">
        <v>28</v>
      </c>
      <c r="FJ25" s="1164"/>
      <c r="FK25" s="1164"/>
      <c r="FL25" s="1164"/>
      <c r="FM25" s="1164"/>
      <c r="FN25" s="1164"/>
      <c r="FO25" s="1164"/>
      <c r="FP25" s="1164"/>
      <c r="FQ25" s="1164"/>
      <c r="FR25" s="1137">
        <f t="shared" si="14"/>
        <v>33.25</v>
      </c>
      <c r="FS25" s="1092"/>
      <c r="FT25" s="1136">
        <f t="shared" si="15"/>
        <v>31.766666666666666</v>
      </c>
      <c r="FU25" s="1092"/>
      <c r="FV25" s="1136">
        <f t="shared" si="16"/>
        <v>32.25</v>
      </c>
      <c r="FW25" s="1092"/>
      <c r="FX25" s="1136">
        <f t="shared" si="17"/>
        <v>31.466666666666665</v>
      </c>
      <c r="FY25" s="1092"/>
      <c r="FZ25" s="1125">
        <v>52</v>
      </c>
      <c r="GA25" s="1138">
        <v>1.5</v>
      </c>
      <c r="GB25" s="1125" t="s">
        <v>62</v>
      </c>
      <c r="GC25" s="1092"/>
      <c r="GD25" s="1139"/>
      <c r="GE25" s="1135"/>
      <c r="GF25" s="1140"/>
      <c r="GG25" s="1140"/>
      <c r="GH25" s="1103" t="s">
        <v>583</v>
      </c>
      <c r="GI25" s="1098" t="s">
        <v>584</v>
      </c>
      <c r="GJ25" s="1098" t="s">
        <v>585</v>
      </c>
      <c r="GK25" s="1076" t="s">
        <v>163</v>
      </c>
    </row>
    <row r="26" spans="2:193">
      <c r="B26" s="1103" t="s">
        <v>583</v>
      </c>
      <c r="C26" s="1098"/>
      <c r="D26" s="1098"/>
      <c r="E26" s="1076"/>
      <c r="F26" s="856"/>
      <c r="G26" s="936"/>
      <c r="H26" s="3"/>
      <c r="I26" s="1469"/>
      <c r="J26" s="1144">
        <v>3</v>
      </c>
      <c r="K26" s="1089" t="s">
        <v>1709</v>
      </c>
      <c r="L26" s="1089" t="s">
        <v>1712</v>
      </c>
      <c r="M26" s="1087">
        <v>46052</v>
      </c>
      <c r="N26" s="1145">
        <v>2</v>
      </c>
      <c r="O26" s="1146" t="s">
        <v>1041</v>
      </c>
      <c r="P26" s="1090" t="s">
        <v>1749</v>
      </c>
      <c r="Q26" s="1080" t="s">
        <v>1717</v>
      </c>
      <c r="R26" s="1113" t="s">
        <v>1745</v>
      </c>
      <c r="S26" s="1080">
        <f t="shared" si="20"/>
        <v>76</v>
      </c>
      <c r="T26" s="1080"/>
      <c r="U26" s="1080">
        <v>74.3</v>
      </c>
      <c r="V26" s="1080">
        <v>73.3</v>
      </c>
      <c r="W26" s="1145">
        <v>73.5</v>
      </c>
      <c r="X26" s="1145">
        <v>74.2</v>
      </c>
      <c r="Y26" s="1150"/>
      <c r="Z26" s="1150"/>
      <c r="AA26" s="1150"/>
      <c r="AB26" s="1150"/>
      <c r="AC26" s="851">
        <v>74.099999999999994</v>
      </c>
      <c r="AD26" s="851">
        <v>73.099999999999994</v>
      </c>
      <c r="AE26" s="851">
        <v>73.2</v>
      </c>
      <c r="AF26" s="851">
        <v>74</v>
      </c>
      <c r="AG26" s="1115"/>
      <c r="AH26" s="1115"/>
      <c r="AI26" s="1115"/>
      <c r="AJ26" s="1115"/>
      <c r="AK26" s="1088">
        <f>151.52+154.91</f>
        <v>306.43</v>
      </c>
      <c r="AL26" s="1110">
        <v>299</v>
      </c>
      <c r="AM26" s="1110" t="s">
        <v>1728</v>
      </c>
      <c r="AN26" s="1117">
        <f t="shared" si="0"/>
        <v>102.48494983277592</v>
      </c>
      <c r="AO26" s="1088">
        <v>5.05</v>
      </c>
      <c r="AP26" s="1088">
        <v>5.07</v>
      </c>
      <c r="AQ26" s="1150"/>
      <c r="AR26" s="1150"/>
      <c r="AS26" s="1118">
        <f t="shared" si="1"/>
        <v>5.0600000000000005</v>
      </c>
      <c r="AT26" s="1124">
        <v>21.4</v>
      </c>
      <c r="AU26" s="1124">
        <v>20.3</v>
      </c>
      <c r="AV26" s="1150"/>
      <c r="AW26" s="1150"/>
      <c r="AX26" s="1124">
        <v>10.4</v>
      </c>
      <c r="AY26" s="1151">
        <v>10</v>
      </c>
      <c r="AZ26" s="1150"/>
      <c r="BA26" s="1150"/>
      <c r="BB26" s="1124">
        <v>86.5</v>
      </c>
      <c r="BC26" s="1124">
        <v>74.8</v>
      </c>
      <c r="BD26" s="1124">
        <v>81.8</v>
      </c>
      <c r="BE26" s="1124">
        <v>78.5</v>
      </c>
      <c r="BF26" s="1150"/>
      <c r="BG26" s="1150"/>
      <c r="BH26" s="1150"/>
      <c r="BI26" s="1150"/>
      <c r="BJ26" s="1124">
        <v>42.3</v>
      </c>
      <c r="BK26" s="1124">
        <v>36.9</v>
      </c>
      <c r="BL26" s="1124">
        <v>41.8</v>
      </c>
      <c r="BM26" s="1124">
        <v>37.299999999999997</v>
      </c>
      <c r="BN26" s="1150"/>
      <c r="BO26" s="1150"/>
      <c r="BP26" s="1150"/>
      <c r="BQ26" s="1150"/>
      <c r="BR26" s="1145">
        <v>16</v>
      </c>
      <c r="BS26" s="1145">
        <v>55</v>
      </c>
      <c r="BT26" s="1145">
        <v>3</v>
      </c>
      <c r="BU26" s="1145">
        <v>15</v>
      </c>
      <c r="BV26" s="1145">
        <v>15</v>
      </c>
      <c r="BW26" s="1145">
        <v>53</v>
      </c>
      <c r="BX26" s="1145">
        <v>3</v>
      </c>
      <c r="BY26" s="1145">
        <v>20</v>
      </c>
      <c r="BZ26" s="1150"/>
      <c r="CA26" s="1150"/>
      <c r="CB26" s="1150"/>
      <c r="CC26" s="1150"/>
      <c r="CD26" s="1121">
        <f t="shared" si="2"/>
        <v>16.916666666666668</v>
      </c>
      <c r="CE26" s="1117">
        <f t="shared" si="3"/>
        <v>3.25</v>
      </c>
      <c r="CF26" s="1117">
        <f t="shared" si="4"/>
        <v>15.883333333333333</v>
      </c>
      <c r="CG26" s="1117">
        <f t="shared" si="5"/>
        <v>3.3333333333333335</v>
      </c>
      <c r="CH26" s="1150"/>
      <c r="CI26" s="1150"/>
      <c r="CJ26" s="1150"/>
      <c r="CK26" s="1150"/>
      <c r="CL26" s="1110">
        <v>52</v>
      </c>
      <c r="CM26" s="1122">
        <v>1.5</v>
      </c>
      <c r="CN26" s="1152" t="s">
        <v>1723</v>
      </c>
      <c r="CO26" s="1153">
        <v>46055</v>
      </c>
      <c r="CP26" s="1090" t="s">
        <v>1547</v>
      </c>
      <c r="CQ26" s="1116">
        <v>322.2</v>
      </c>
      <c r="CR26" s="1119">
        <v>315</v>
      </c>
      <c r="CS26" s="1159" t="s">
        <v>1729</v>
      </c>
      <c r="CT26" s="1116">
        <f t="shared" si="18"/>
        <v>102.28571428571429</v>
      </c>
      <c r="CU26" s="1152">
        <v>4.42</v>
      </c>
      <c r="CV26" s="1032" t="s">
        <v>62</v>
      </c>
      <c r="CW26" s="1128" t="s">
        <v>1730</v>
      </c>
      <c r="CX26" s="1126" t="s">
        <v>1723</v>
      </c>
      <c r="CY26" s="1161">
        <v>46055</v>
      </c>
      <c r="CZ26" s="1162">
        <v>1</v>
      </c>
      <c r="DA26" s="1128" t="s">
        <v>932</v>
      </c>
      <c r="DB26" s="1128" t="s">
        <v>1746</v>
      </c>
      <c r="DC26" s="1125" t="s">
        <v>1717</v>
      </c>
      <c r="DD26" s="1128">
        <f t="shared" si="19"/>
        <v>200</v>
      </c>
      <c r="DE26" s="1125">
        <v>71.400000000000006</v>
      </c>
      <c r="DF26" s="1125">
        <v>71.7</v>
      </c>
      <c r="DG26" s="1164">
        <v>71</v>
      </c>
      <c r="DH26" s="1164">
        <v>71.900000000000006</v>
      </c>
      <c r="DI26" s="1164">
        <v>71.599999999999994</v>
      </c>
      <c r="DJ26" s="1164">
        <v>71.2</v>
      </c>
      <c r="DK26" s="1164">
        <v>72</v>
      </c>
      <c r="DL26" s="1164">
        <v>71.8</v>
      </c>
      <c r="DM26" s="1165">
        <f>128.88+137.5+135.2+137.58</f>
        <v>539.16</v>
      </c>
      <c r="DN26" s="1130">
        <v>531.53</v>
      </c>
      <c r="DO26" s="1131" t="s">
        <v>1734</v>
      </c>
      <c r="DP26" s="1132">
        <f t="shared" si="12"/>
        <v>101.43547871239629</v>
      </c>
      <c r="DQ26" s="1164">
        <v>3.34</v>
      </c>
      <c r="DR26" s="1164">
        <v>3.26</v>
      </c>
      <c r="DS26" s="1169">
        <v>3.48</v>
      </c>
      <c r="DT26" s="1164">
        <v>3.46</v>
      </c>
      <c r="DU26" s="1134">
        <f t="shared" si="13"/>
        <v>3.3849999999999998</v>
      </c>
      <c r="DV26" s="1165">
        <v>70.7</v>
      </c>
      <c r="DW26" s="1165">
        <v>71.2</v>
      </c>
      <c r="DX26" s="1165">
        <v>70.599999999999994</v>
      </c>
      <c r="DY26" s="1165">
        <v>71.3</v>
      </c>
      <c r="DZ26" s="1165">
        <v>71.2</v>
      </c>
      <c r="EA26" s="1165">
        <v>70.8</v>
      </c>
      <c r="EB26" s="1165">
        <v>71.599999999999994</v>
      </c>
      <c r="EC26" s="1165">
        <v>71.400000000000006</v>
      </c>
      <c r="ED26" s="1164">
        <v>18.8</v>
      </c>
      <c r="EE26" s="1164">
        <v>18.8</v>
      </c>
      <c r="EF26" s="1164">
        <v>18.899999999999999</v>
      </c>
      <c r="EG26" s="1164">
        <v>18.899999999999999</v>
      </c>
      <c r="EH26" s="1164">
        <v>11</v>
      </c>
      <c r="EI26" s="1164">
        <v>10.6</v>
      </c>
      <c r="EJ26" s="1164">
        <v>11.2</v>
      </c>
      <c r="EK26" s="1164">
        <v>10.3</v>
      </c>
      <c r="EL26" s="1164">
        <v>80.2</v>
      </c>
      <c r="EM26" s="1135"/>
      <c r="EN26" s="1164">
        <v>82.7</v>
      </c>
      <c r="EO26" s="1092"/>
      <c r="EP26" s="1164">
        <v>84.1</v>
      </c>
      <c r="EQ26" s="1092"/>
      <c r="ER26" s="1164">
        <v>83.1</v>
      </c>
      <c r="ES26" s="1092"/>
      <c r="ET26" s="1164">
        <v>40</v>
      </c>
      <c r="EU26" s="1092"/>
      <c r="EV26" s="1164">
        <v>40.1</v>
      </c>
      <c r="EW26" s="1092"/>
      <c r="EX26" s="1164">
        <v>39.799999999999997</v>
      </c>
      <c r="EY26" s="1092"/>
      <c r="EZ26" s="1164">
        <v>39.6</v>
      </c>
      <c r="FA26" s="1092"/>
      <c r="FB26" s="1164">
        <v>38</v>
      </c>
      <c r="FC26" s="1164">
        <v>17</v>
      </c>
      <c r="FD26" s="1164">
        <v>38</v>
      </c>
      <c r="FE26" s="1164">
        <v>20</v>
      </c>
      <c r="FF26" s="1164">
        <v>39</v>
      </c>
      <c r="FG26" s="1164">
        <v>2</v>
      </c>
      <c r="FH26" s="1164">
        <v>38</v>
      </c>
      <c r="FI26" s="1164">
        <v>42</v>
      </c>
      <c r="FJ26" s="1164"/>
      <c r="FK26" s="1164"/>
      <c r="FL26" s="1164"/>
      <c r="FM26" s="1164"/>
      <c r="FN26" s="1164"/>
      <c r="FO26" s="1164"/>
      <c r="FP26" s="1164"/>
      <c r="FQ26" s="1164"/>
      <c r="FR26" s="1137">
        <f t="shared" si="14"/>
        <v>38.283333333333331</v>
      </c>
      <c r="FS26" s="1092"/>
      <c r="FT26" s="1136">
        <f t="shared" si="15"/>
        <v>38.333333333333336</v>
      </c>
      <c r="FU26" s="1092"/>
      <c r="FV26" s="1136">
        <f t="shared" si="16"/>
        <v>39.033333333333331</v>
      </c>
      <c r="FW26" s="1092"/>
      <c r="FX26" s="1136">
        <f t="shared" si="17"/>
        <v>38.700000000000003</v>
      </c>
      <c r="FY26" s="1092"/>
      <c r="FZ26" s="1125">
        <v>52</v>
      </c>
      <c r="GA26" s="1138">
        <v>1.5</v>
      </c>
      <c r="GB26" s="1125" t="s">
        <v>62</v>
      </c>
      <c r="GC26" s="1092"/>
      <c r="GD26" s="1139"/>
      <c r="GE26" s="1135"/>
      <c r="GF26" s="1140"/>
      <c r="GG26" s="1140"/>
      <c r="GH26" s="1103" t="s">
        <v>583</v>
      </c>
      <c r="GI26" s="1098" t="s">
        <v>584</v>
      </c>
      <c r="GJ26" s="1098" t="s">
        <v>585</v>
      </c>
      <c r="GK26" s="1076" t="s">
        <v>163</v>
      </c>
    </row>
    <row r="27" spans="2:193">
      <c r="B27" s="1103" t="s">
        <v>583</v>
      </c>
      <c r="C27" s="1098"/>
      <c r="D27" s="1098"/>
      <c r="E27" s="1076"/>
      <c r="F27" s="856"/>
      <c r="G27" s="936"/>
      <c r="H27" s="3"/>
      <c r="I27" s="1469"/>
      <c r="J27" s="1144">
        <v>4</v>
      </c>
      <c r="K27" s="1089" t="s">
        <v>1709</v>
      </c>
      <c r="L27" s="1089" t="s">
        <v>1723</v>
      </c>
      <c r="M27" s="1087">
        <v>46057</v>
      </c>
      <c r="N27" s="1145">
        <v>1</v>
      </c>
      <c r="O27" s="1146" t="s">
        <v>1041</v>
      </c>
      <c r="P27" s="1090" t="s">
        <v>1727</v>
      </c>
      <c r="Q27" s="1080" t="s">
        <v>1717</v>
      </c>
      <c r="R27" s="1113" t="s">
        <v>1745</v>
      </c>
      <c r="S27" s="1080">
        <f t="shared" si="20"/>
        <v>76</v>
      </c>
      <c r="T27" s="1080"/>
      <c r="U27" s="1080">
        <v>73.5</v>
      </c>
      <c r="V27" s="1080">
        <v>73.7</v>
      </c>
      <c r="W27" s="1145">
        <v>74.8</v>
      </c>
      <c r="X27" s="1145">
        <v>74.400000000000006</v>
      </c>
      <c r="Y27" s="1150"/>
      <c r="Z27" s="1150"/>
      <c r="AA27" s="1150"/>
      <c r="AB27" s="1150"/>
      <c r="AC27" s="851">
        <v>73.3</v>
      </c>
      <c r="AD27" s="1486" t="s">
        <v>1735</v>
      </c>
      <c r="AE27" s="851">
        <v>74.5</v>
      </c>
      <c r="AF27" s="1486" t="s">
        <v>1735</v>
      </c>
      <c r="AG27" s="1115"/>
      <c r="AH27" s="1115"/>
      <c r="AI27" s="1115"/>
      <c r="AJ27" s="1115"/>
      <c r="AK27" s="1088">
        <f>148.79+154.34</f>
        <v>303.13</v>
      </c>
      <c r="AL27" s="1110">
        <v>299</v>
      </c>
      <c r="AM27" s="1110" t="s">
        <v>1728</v>
      </c>
      <c r="AN27" s="1117">
        <f t="shared" si="0"/>
        <v>101.38127090301003</v>
      </c>
      <c r="AO27" s="1088">
        <v>4.97</v>
      </c>
      <c r="AP27" s="1088">
        <v>5.0599999999999996</v>
      </c>
      <c r="AQ27" s="1150"/>
      <c r="AR27" s="1150"/>
      <c r="AS27" s="1118">
        <f t="shared" si="1"/>
        <v>5.0149999999999997</v>
      </c>
      <c r="AT27" s="1124">
        <v>19.100000000000001</v>
      </c>
      <c r="AU27" s="1124">
        <v>19.399999999999999</v>
      </c>
      <c r="AV27" s="1150"/>
      <c r="AW27" s="1150"/>
      <c r="AX27" s="1124">
        <v>10.4</v>
      </c>
      <c r="AY27" s="1151">
        <v>11.2</v>
      </c>
      <c r="AZ27" s="1150"/>
      <c r="BA27" s="1150"/>
      <c r="BB27" s="1124">
        <v>85.6</v>
      </c>
      <c r="BC27" s="1124">
        <v>81.8</v>
      </c>
      <c r="BD27" s="1124">
        <v>84.1</v>
      </c>
      <c r="BE27" s="1124">
        <v>73.3</v>
      </c>
      <c r="BF27" s="1150"/>
      <c r="BG27" s="1150"/>
      <c r="BH27" s="1150"/>
      <c r="BI27" s="1150"/>
      <c r="BJ27" s="1124">
        <v>42.6</v>
      </c>
      <c r="BK27" s="1124">
        <v>38.6</v>
      </c>
      <c r="BL27" s="1124">
        <v>41.6</v>
      </c>
      <c r="BM27" s="1124">
        <v>36.4</v>
      </c>
      <c r="BN27" s="1150"/>
      <c r="BO27" s="1150"/>
      <c r="BP27" s="1150"/>
      <c r="BQ27" s="1150"/>
      <c r="BR27" s="1145">
        <v>15</v>
      </c>
      <c r="BS27" s="1145">
        <v>50</v>
      </c>
      <c r="BT27" s="1145">
        <v>2</v>
      </c>
      <c r="BU27" s="1145">
        <v>57</v>
      </c>
      <c r="BV27" s="1145">
        <v>15</v>
      </c>
      <c r="BW27" s="1145">
        <v>46</v>
      </c>
      <c r="BX27" s="1145">
        <v>4</v>
      </c>
      <c r="BY27" s="1145">
        <v>23</v>
      </c>
      <c r="BZ27" s="1150"/>
      <c r="CA27" s="1150"/>
      <c r="CB27" s="1150"/>
      <c r="CC27" s="1150"/>
      <c r="CD27" s="1121">
        <f t="shared" si="2"/>
        <v>15.833333333333334</v>
      </c>
      <c r="CE27" s="1117">
        <f t="shared" si="3"/>
        <v>2.95</v>
      </c>
      <c r="CF27" s="1117">
        <f t="shared" si="4"/>
        <v>15.766666666666667</v>
      </c>
      <c r="CG27" s="1117">
        <f t="shared" si="5"/>
        <v>4.3833333333333337</v>
      </c>
      <c r="CH27" s="1150"/>
      <c r="CI27" s="1150"/>
      <c r="CJ27" s="1150"/>
      <c r="CK27" s="1150"/>
      <c r="CL27" s="1110">
        <v>52</v>
      </c>
      <c r="CM27" s="1122">
        <v>1.5</v>
      </c>
      <c r="CN27" s="1152" t="s">
        <v>1723</v>
      </c>
      <c r="CO27" s="1154">
        <v>46058</v>
      </c>
      <c r="CP27" s="1090" t="s">
        <v>1547</v>
      </c>
      <c r="CQ27" s="1088">
        <v>318.8</v>
      </c>
      <c r="CR27" s="1119">
        <v>315</v>
      </c>
      <c r="CS27" s="1159" t="s">
        <v>1729</v>
      </c>
      <c r="CT27" s="1116">
        <f t="shared" si="18"/>
        <v>101.20634920634922</v>
      </c>
      <c r="CU27" s="1116">
        <v>4.76</v>
      </c>
      <c r="CV27" s="1032" t="s">
        <v>62</v>
      </c>
      <c r="CW27" s="1128" t="s">
        <v>1730</v>
      </c>
      <c r="CX27" s="1126" t="s">
        <v>1723</v>
      </c>
      <c r="CY27" s="1161">
        <v>46056</v>
      </c>
      <c r="CZ27" s="773">
        <v>2</v>
      </c>
      <c r="DA27" s="1128" t="s">
        <v>932</v>
      </c>
      <c r="DB27" s="1128" t="s">
        <v>1743</v>
      </c>
      <c r="DC27" s="1125" t="s">
        <v>1717</v>
      </c>
      <c r="DD27" s="1128">
        <f t="shared" si="19"/>
        <v>200</v>
      </c>
      <c r="DE27" s="1164">
        <v>72</v>
      </c>
      <c r="DF27" s="1164">
        <v>72.2</v>
      </c>
      <c r="DG27" s="1164">
        <v>72</v>
      </c>
      <c r="DH27" s="1164">
        <v>71.8</v>
      </c>
      <c r="DI27" s="1164">
        <v>71.599999999999994</v>
      </c>
      <c r="DJ27" s="1164">
        <v>71.400000000000006</v>
      </c>
      <c r="DK27" s="1164">
        <v>71.7</v>
      </c>
      <c r="DL27" s="1164">
        <v>71.5</v>
      </c>
      <c r="DM27" s="1165">
        <f>142.95+132.34+138.76+127.99</f>
        <v>542.04</v>
      </c>
      <c r="DN27" s="1130">
        <v>531.53</v>
      </c>
      <c r="DO27" s="1131" t="s">
        <v>1734</v>
      </c>
      <c r="DP27" s="1132">
        <f t="shared" si="12"/>
        <v>101.97731078208191</v>
      </c>
      <c r="DQ27" s="1164">
        <v>3.3</v>
      </c>
      <c r="DR27" s="1164">
        <v>3.32</v>
      </c>
      <c r="DS27" s="1169">
        <v>3.44</v>
      </c>
      <c r="DT27" s="1164">
        <v>3.41</v>
      </c>
      <c r="DU27" s="1134">
        <f t="shared" si="13"/>
        <v>3.3674999999999997</v>
      </c>
      <c r="DV27" s="1165">
        <v>71.599999999999994</v>
      </c>
      <c r="DW27" s="1165">
        <v>72</v>
      </c>
      <c r="DX27" s="1165">
        <v>71.5</v>
      </c>
      <c r="DY27" s="1165">
        <v>71.3</v>
      </c>
      <c r="DZ27" s="1165">
        <v>71.2</v>
      </c>
      <c r="EA27" s="1165">
        <v>71.099999999999994</v>
      </c>
      <c r="EB27" s="1165">
        <v>71.3</v>
      </c>
      <c r="EC27" s="1165">
        <v>71.2</v>
      </c>
      <c r="ED27" s="1164">
        <v>18.899999999999999</v>
      </c>
      <c r="EE27" s="1164">
        <v>19</v>
      </c>
      <c r="EF27" s="1164">
        <v>18.8</v>
      </c>
      <c r="EG27" s="1164">
        <v>19.100000000000001</v>
      </c>
      <c r="EH27" s="1164">
        <v>10.6</v>
      </c>
      <c r="EI27" s="1164">
        <v>11.5</v>
      </c>
      <c r="EJ27" s="1164">
        <v>10.199999999999999</v>
      </c>
      <c r="EK27" s="1164">
        <v>11.6</v>
      </c>
      <c r="EL27" s="1164">
        <v>88.1</v>
      </c>
      <c r="EM27" s="1092"/>
      <c r="EN27" s="1164">
        <v>86.2</v>
      </c>
      <c r="EO27" s="1092"/>
      <c r="EP27" s="1164">
        <v>84.8</v>
      </c>
      <c r="EQ27" s="1092"/>
      <c r="ER27" s="1164">
        <v>87.3</v>
      </c>
      <c r="ES27" s="1092"/>
      <c r="ET27" s="1164">
        <v>39.200000000000003</v>
      </c>
      <c r="EU27" s="1092"/>
      <c r="EV27" s="1164">
        <v>39.799999999999997</v>
      </c>
      <c r="EW27" s="1092"/>
      <c r="EX27" s="1164">
        <v>40.299999999999997</v>
      </c>
      <c r="EY27" s="1092"/>
      <c r="EZ27" s="1164">
        <v>40.1</v>
      </c>
      <c r="FA27" s="1092"/>
      <c r="FB27" s="1164">
        <v>33</v>
      </c>
      <c r="FC27" s="1164">
        <v>15</v>
      </c>
      <c r="FD27" s="1164">
        <v>33</v>
      </c>
      <c r="FE27" s="1164">
        <v>38</v>
      </c>
      <c r="FF27" s="1164">
        <v>32</v>
      </c>
      <c r="FG27" s="1164">
        <v>41</v>
      </c>
      <c r="FH27" s="1164">
        <v>33</v>
      </c>
      <c r="FI27" s="1164">
        <v>23</v>
      </c>
      <c r="FJ27" s="1164"/>
      <c r="FK27" s="1164"/>
      <c r="FL27" s="1164"/>
      <c r="FM27" s="1164"/>
      <c r="FN27" s="1164"/>
      <c r="FO27" s="1164"/>
      <c r="FP27" s="1164"/>
      <c r="FQ27" s="1164"/>
      <c r="FR27" s="1137">
        <f t="shared" si="14"/>
        <v>33.25</v>
      </c>
      <c r="FS27" s="1092"/>
      <c r="FT27" s="1136">
        <f t="shared" si="15"/>
        <v>33.633333333333333</v>
      </c>
      <c r="FU27" s="1092"/>
      <c r="FV27" s="1136">
        <f t="shared" si="16"/>
        <v>32.68333333333333</v>
      </c>
      <c r="FW27" s="1092"/>
      <c r="FX27" s="1136">
        <f t="shared" si="17"/>
        <v>33.383333333333333</v>
      </c>
      <c r="FY27" s="1092"/>
      <c r="FZ27" s="1125">
        <v>52</v>
      </c>
      <c r="GA27" s="1138">
        <v>1.5</v>
      </c>
      <c r="GB27" s="1125" t="s">
        <v>62</v>
      </c>
      <c r="GC27" s="1092"/>
      <c r="GD27" s="1139"/>
      <c r="GE27" s="1135"/>
      <c r="GF27" s="1140"/>
      <c r="GG27" s="1140"/>
      <c r="GH27" s="1103" t="s">
        <v>583</v>
      </c>
      <c r="GI27" s="1098" t="s">
        <v>584</v>
      </c>
      <c r="GJ27" s="1098" t="s">
        <v>585</v>
      </c>
      <c r="GK27" s="1076" t="s">
        <v>163</v>
      </c>
    </row>
    <row r="28" spans="2:193">
      <c r="B28" s="1103" t="s">
        <v>583</v>
      </c>
      <c r="C28" s="1098"/>
      <c r="D28" s="1098"/>
      <c r="E28" s="1076"/>
      <c r="F28" s="856"/>
      <c r="G28" s="936"/>
      <c r="H28" s="3"/>
      <c r="I28" s="1469"/>
      <c r="J28" s="1144">
        <v>5</v>
      </c>
      <c r="K28" s="1089" t="s">
        <v>1709</v>
      </c>
      <c r="L28" s="1089" t="s">
        <v>1723</v>
      </c>
      <c r="M28" s="1087">
        <v>46057</v>
      </c>
      <c r="N28" s="1145">
        <v>2</v>
      </c>
      <c r="O28" s="1146" t="s">
        <v>1041</v>
      </c>
      <c r="P28" s="1090" t="s">
        <v>1740</v>
      </c>
      <c r="Q28" s="1080" t="s">
        <v>1717</v>
      </c>
      <c r="R28" s="1113" t="s">
        <v>1745</v>
      </c>
      <c r="S28" s="1080">
        <f t="shared" si="20"/>
        <v>76</v>
      </c>
      <c r="T28" s="1080"/>
      <c r="U28" s="1080">
        <v>74.900000000000006</v>
      </c>
      <c r="V28" s="1080">
        <v>74.599999999999994</v>
      </c>
      <c r="W28" s="1145">
        <v>73.599999999999994</v>
      </c>
      <c r="X28" s="1145">
        <v>73.400000000000006</v>
      </c>
      <c r="Y28" s="1150"/>
      <c r="Z28" s="1150"/>
      <c r="AA28" s="1150"/>
      <c r="AB28" s="1150"/>
      <c r="AC28" s="851">
        <v>74.599999999999994</v>
      </c>
      <c r="AD28" s="1486" t="s">
        <v>1735</v>
      </c>
      <c r="AE28" s="851">
        <v>73.400000000000006</v>
      </c>
      <c r="AF28" s="851">
        <v>73.2</v>
      </c>
      <c r="AG28" s="1115"/>
      <c r="AH28" s="1115"/>
      <c r="AI28" s="1115"/>
      <c r="AJ28" s="1115"/>
      <c r="AK28" s="1088">
        <f>154.5+149.17</f>
        <v>303.66999999999996</v>
      </c>
      <c r="AL28" s="1110">
        <v>299</v>
      </c>
      <c r="AM28" s="1110" t="s">
        <v>1728</v>
      </c>
      <c r="AN28" s="1117">
        <f t="shared" si="0"/>
        <v>101.56187290969898</v>
      </c>
      <c r="AO28" s="1088">
        <v>5.04</v>
      </c>
      <c r="AP28" s="1088">
        <v>5</v>
      </c>
      <c r="AQ28" s="1150"/>
      <c r="AR28" s="1150"/>
      <c r="AS28" s="1118">
        <f t="shared" si="1"/>
        <v>5.0199999999999996</v>
      </c>
      <c r="AT28" s="1124">
        <v>20.100000000000001</v>
      </c>
      <c r="AU28" s="1124">
        <v>20.100000000000001</v>
      </c>
      <c r="AV28" s="1150"/>
      <c r="AW28" s="1150"/>
      <c r="AX28" s="1124">
        <v>11.4</v>
      </c>
      <c r="AY28" s="1151">
        <v>11.3</v>
      </c>
      <c r="AZ28" s="1150"/>
      <c r="BA28" s="1150"/>
      <c r="BB28" s="1124">
        <v>83.8</v>
      </c>
      <c r="BC28" s="1124">
        <v>82.8</v>
      </c>
      <c r="BD28" s="1124">
        <v>83</v>
      </c>
      <c r="BE28" s="1124">
        <v>80</v>
      </c>
      <c r="BF28" s="1150"/>
      <c r="BG28" s="1150"/>
      <c r="BH28" s="1150"/>
      <c r="BI28" s="1150"/>
      <c r="BJ28" s="1124">
        <v>41.7</v>
      </c>
      <c r="BK28" s="1124">
        <v>38</v>
      </c>
      <c r="BL28" s="1124">
        <v>43.2</v>
      </c>
      <c r="BM28" s="1124">
        <v>38.200000000000003</v>
      </c>
      <c r="BN28" s="1150"/>
      <c r="BO28" s="1150"/>
      <c r="BP28" s="1150"/>
      <c r="BQ28" s="1150"/>
      <c r="BR28" s="1145">
        <v>18</v>
      </c>
      <c r="BS28" s="1145">
        <v>47</v>
      </c>
      <c r="BT28" s="1145">
        <v>1</v>
      </c>
      <c r="BU28" s="1145">
        <v>30</v>
      </c>
      <c r="BV28" s="1145">
        <v>18</v>
      </c>
      <c r="BW28" s="1145">
        <v>0</v>
      </c>
      <c r="BX28" s="1145">
        <v>2</v>
      </c>
      <c r="BY28" s="1145">
        <v>8</v>
      </c>
      <c r="BZ28" s="1150"/>
      <c r="CA28" s="1150"/>
      <c r="CB28" s="1150"/>
      <c r="CC28" s="1150"/>
      <c r="CD28" s="1121">
        <f t="shared" si="2"/>
        <v>18.783333333333335</v>
      </c>
      <c r="CE28" s="1117">
        <f t="shared" si="3"/>
        <v>1.5</v>
      </c>
      <c r="CF28" s="1117">
        <f t="shared" si="4"/>
        <v>18</v>
      </c>
      <c r="CG28" s="1117">
        <f t="shared" si="5"/>
        <v>2.1333333333333333</v>
      </c>
      <c r="CH28" s="1150"/>
      <c r="CI28" s="1150"/>
      <c r="CJ28" s="1150"/>
      <c r="CK28" s="1150"/>
      <c r="CL28" s="1110">
        <v>52</v>
      </c>
      <c r="CM28" s="1122">
        <v>1.5</v>
      </c>
      <c r="CN28" s="1152" t="s">
        <v>1723</v>
      </c>
      <c r="CO28" s="1154">
        <v>46058</v>
      </c>
      <c r="CP28" s="1090" t="s">
        <v>1547</v>
      </c>
      <c r="CQ28" s="1088">
        <v>319.10000000000002</v>
      </c>
      <c r="CR28" s="1119">
        <v>315</v>
      </c>
      <c r="CS28" s="1159" t="s">
        <v>1729</v>
      </c>
      <c r="CT28" s="1116">
        <f t="shared" si="18"/>
        <v>101.30158730158732</v>
      </c>
      <c r="CU28" s="1116">
        <v>4.49</v>
      </c>
      <c r="CV28" s="1032" t="s">
        <v>62</v>
      </c>
      <c r="CW28" s="1128" t="s">
        <v>1730</v>
      </c>
      <c r="CX28" s="1126" t="s">
        <v>1723</v>
      </c>
      <c r="CY28" s="1161">
        <v>46056</v>
      </c>
      <c r="CZ28" s="773">
        <v>2</v>
      </c>
      <c r="DA28" s="1128" t="s">
        <v>932</v>
      </c>
      <c r="DB28" s="1125" t="s">
        <v>1746</v>
      </c>
      <c r="DC28" s="1125" t="s">
        <v>1717</v>
      </c>
      <c r="DD28" s="1128">
        <f t="shared" si="19"/>
        <v>200</v>
      </c>
      <c r="DE28" s="1164">
        <v>71.7</v>
      </c>
      <c r="DF28" s="1164">
        <v>71.5</v>
      </c>
      <c r="DG28" s="1164">
        <v>71.400000000000006</v>
      </c>
      <c r="DH28" s="1164">
        <v>71.2</v>
      </c>
      <c r="DI28" s="1164">
        <v>71.5</v>
      </c>
      <c r="DJ28" s="1164">
        <v>71.8</v>
      </c>
      <c r="DK28" s="1164">
        <v>71.599999999999994</v>
      </c>
      <c r="DL28" s="1164">
        <v>71.900000000000006</v>
      </c>
      <c r="DM28" s="1165">
        <f>136.53+136.44+129.48+140.9</f>
        <v>543.35</v>
      </c>
      <c r="DN28" s="1130">
        <v>531.53</v>
      </c>
      <c r="DO28" s="1131" t="s">
        <v>1734</v>
      </c>
      <c r="DP28" s="1132">
        <f t="shared" si="12"/>
        <v>102.22376911933475</v>
      </c>
      <c r="DQ28" s="1164">
        <v>3.47</v>
      </c>
      <c r="DR28" s="1164">
        <v>3.47</v>
      </c>
      <c r="DS28" s="1169">
        <v>3.47</v>
      </c>
      <c r="DT28" s="1164">
        <v>3.42</v>
      </c>
      <c r="DU28" s="1134">
        <f t="shared" si="13"/>
        <v>3.4575</v>
      </c>
      <c r="DV28" s="1165">
        <v>71.400000000000006</v>
      </c>
      <c r="DW28" s="1165">
        <v>71.2</v>
      </c>
      <c r="DX28" s="1165">
        <v>71.099999999999994</v>
      </c>
      <c r="DY28" s="1165">
        <v>71</v>
      </c>
      <c r="DZ28" s="1165">
        <v>71.3</v>
      </c>
      <c r="EA28" s="1165">
        <v>71.599999999999994</v>
      </c>
      <c r="EB28" s="1165">
        <v>71.400000000000006</v>
      </c>
      <c r="EC28" s="1165">
        <v>71.2</v>
      </c>
      <c r="ED28" s="1164">
        <v>19.3</v>
      </c>
      <c r="EE28" s="1164">
        <v>19.2</v>
      </c>
      <c r="EF28" s="1164">
        <v>18.8</v>
      </c>
      <c r="EG28" s="1164">
        <v>20.100000000000001</v>
      </c>
      <c r="EH28" s="1164">
        <v>11.9</v>
      </c>
      <c r="EI28" s="1164">
        <v>11.7</v>
      </c>
      <c r="EJ28" s="1164">
        <v>10.4</v>
      </c>
      <c r="EK28" s="1164">
        <v>10.8</v>
      </c>
      <c r="EL28" s="1164">
        <v>83.8</v>
      </c>
      <c r="EM28" s="1092"/>
      <c r="EN28" s="1164">
        <v>86.7</v>
      </c>
      <c r="EO28" s="1092"/>
      <c r="EP28" s="1164">
        <v>84.8</v>
      </c>
      <c r="EQ28" s="1092"/>
      <c r="ER28" s="1164">
        <v>83.9</v>
      </c>
      <c r="ES28" s="1092"/>
      <c r="ET28" s="1164">
        <v>39.700000000000003</v>
      </c>
      <c r="EU28" s="1092"/>
      <c r="EV28" s="1164">
        <v>39.4</v>
      </c>
      <c r="EW28" s="1092"/>
      <c r="EX28" s="1164">
        <v>39.6</v>
      </c>
      <c r="EY28" s="1092"/>
      <c r="EZ28" s="1164">
        <v>39.4</v>
      </c>
      <c r="FA28" s="1092"/>
      <c r="FB28" s="1164">
        <v>32</v>
      </c>
      <c r="FC28" s="1164">
        <v>16</v>
      </c>
      <c r="FD28" s="1164">
        <v>32</v>
      </c>
      <c r="FE28" s="1164">
        <v>27</v>
      </c>
      <c r="FF28" s="1164">
        <v>32</v>
      </c>
      <c r="FG28" s="1164">
        <v>21</v>
      </c>
      <c r="FH28" s="1164">
        <v>31</v>
      </c>
      <c r="FI28" s="1164">
        <v>58</v>
      </c>
      <c r="FJ28" s="1164"/>
      <c r="FK28" s="1164"/>
      <c r="FL28" s="1164"/>
      <c r="FM28" s="1164"/>
      <c r="FN28" s="1164"/>
      <c r="FO28" s="1164"/>
      <c r="FP28" s="1164"/>
      <c r="FQ28" s="1164"/>
      <c r="FR28" s="1137">
        <f t="shared" si="14"/>
        <v>32.266666666666666</v>
      </c>
      <c r="FS28" s="1092"/>
      <c r="FT28" s="1136">
        <f t="shared" si="15"/>
        <v>32.450000000000003</v>
      </c>
      <c r="FU28" s="1092"/>
      <c r="FV28" s="1136">
        <f t="shared" si="16"/>
        <v>32.35</v>
      </c>
      <c r="FW28" s="1092"/>
      <c r="FX28" s="1136">
        <f t="shared" si="17"/>
        <v>31.966666666666665</v>
      </c>
      <c r="FY28" s="1092"/>
      <c r="FZ28" s="1125">
        <v>52</v>
      </c>
      <c r="GA28" s="1138">
        <v>1.5</v>
      </c>
      <c r="GB28" s="1125" t="s">
        <v>62</v>
      </c>
      <c r="GC28" s="1092"/>
      <c r="GD28" s="1139"/>
      <c r="GE28" s="1135"/>
      <c r="GF28" s="1140"/>
      <c r="GG28" s="1140"/>
      <c r="GH28" s="1103" t="s">
        <v>583</v>
      </c>
      <c r="GI28" s="1098" t="s">
        <v>584</v>
      </c>
      <c r="GJ28" s="1098" t="s">
        <v>585</v>
      </c>
      <c r="GK28" s="1076" t="s">
        <v>163</v>
      </c>
    </row>
    <row r="29" spans="2:193">
      <c r="B29" s="1103" t="s">
        <v>583</v>
      </c>
      <c r="C29" s="1098"/>
      <c r="D29" s="1098"/>
      <c r="E29" s="1076"/>
      <c r="F29" s="856"/>
      <c r="G29" s="936"/>
      <c r="H29" s="3"/>
      <c r="I29" s="1469"/>
      <c r="J29" s="1144">
        <v>6</v>
      </c>
      <c r="K29" s="1089" t="s">
        <v>1709</v>
      </c>
      <c r="L29" s="1089" t="s">
        <v>1723</v>
      </c>
      <c r="M29" s="1087">
        <v>46057</v>
      </c>
      <c r="N29" s="1145">
        <v>2</v>
      </c>
      <c r="O29" s="1146" t="s">
        <v>1041</v>
      </c>
      <c r="P29" s="1090" t="s">
        <v>1724</v>
      </c>
      <c r="Q29" s="1080" t="s">
        <v>1717</v>
      </c>
      <c r="R29" s="1147" t="s">
        <v>1747</v>
      </c>
      <c r="S29" s="1080">
        <f t="shared" si="20"/>
        <v>76</v>
      </c>
      <c r="T29" s="1080"/>
      <c r="U29" s="1080">
        <v>73.5</v>
      </c>
      <c r="V29" s="1080">
        <v>74.3</v>
      </c>
      <c r="W29" s="1145">
        <v>73.2</v>
      </c>
      <c r="X29" s="1145">
        <v>73.599999999999994</v>
      </c>
      <c r="Y29" s="1150"/>
      <c r="Z29" s="1150"/>
      <c r="AA29" s="1150"/>
      <c r="AB29" s="1150"/>
      <c r="AC29" s="851">
        <v>73.3</v>
      </c>
      <c r="AD29" s="851">
        <v>74.099999999999994</v>
      </c>
      <c r="AE29" s="851">
        <v>73.099999999999994</v>
      </c>
      <c r="AF29" s="851">
        <v>73.5</v>
      </c>
      <c r="AG29" s="1115"/>
      <c r="AH29" s="1115"/>
      <c r="AI29" s="1115"/>
      <c r="AJ29" s="1115"/>
      <c r="AK29" s="1088">
        <f>154.31+153.48</f>
        <v>307.78999999999996</v>
      </c>
      <c r="AL29" s="1110">
        <v>299</v>
      </c>
      <c r="AM29" s="1110" t="s">
        <v>1728</v>
      </c>
      <c r="AN29" s="1117">
        <f t="shared" si="0"/>
        <v>102.93979933110367</v>
      </c>
      <c r="AO29" s="1088">
        <v>4.79</v>
      </c>
      <c r="AP29" s="1088">
        <v>5.07</v>
      </c>
      <c r="AQ29" s="1150"/>
      <c r="AR29" s="1150"/>
      <c r="AS29" s="1118">
        <f t="shared" si="1"/>
        <v>4.93</v>
      </c>
      <c r="AT29" s="1124">
        <v>20.399999999999999</v>
      </c>
      <c r="AU29" s="1124">
        <v>20.3</v>
      </c>
      <c r="AV29" s="1150"/>
      <c r="AW29" s="1150"/>
      <c r="AX29" s="1124">
        <v>11.2</v>
      </c>
      <c r="AY29" s="1151">
        <v>10.8</v>
      </c>
      <c r="AZ29" s="1150"/>
      <c r="BA29" s="1150"/>
      <c r="BB29" s="1124">
        <v>82.6</v>
      </c>
      <c r="BC29" s="1124">
        <v>82.3</v>
      </c>
      <c r="BD29" s="1124">
        <v>83.6</v>
      </c>
      <c r="BE29" s="1124">
        <v>82.1</v>
      </c>
      <c r="BF29" s="1150"/>
      <c r="BG29" s="1150"/>
      <c r="BH29" s="1150"/>
      <c r="BI29" s="1150"/>
      <c r="BJ29" s="1124">
        <v>41.6</v>
      </c>
      <c r="BK29" s="1124">
        <v>38.6</v>
      </c>
      <c r="BL29" s="1124">
        <v>42.6</v>
      </c>
      <c r="BM29" s="1124">
        <v>38.200000000000003</v>
      </c>
      <c r="BN29" s="1150"/>
      <c r="BO29" s="1150"/>
      <c r="BP29" s="1150"/>
      <c r="BQ29" s="1150"/>
      <c r="BR29" s="1145">
        <v>20</v>
      </c>
      <c r="BS29" s="1145">
        <v>0</v>
      </c>
      <c r="BT29" s="1145">
        <v>3</v>
      </c>
      <c r="BU29" s="1145">
        <v>0</v>
      </c>
      <c r="BV29" s="1145">
        <v>18</v>
      </c>
      <c r="BW29" s="1145">
        <v>1</v>
      </c>
      <c r="BX29" s="1145">
        <v>2</v>
      </c>
      <c r="BY29" s="1145">
        <v>5</v>
      </c>
      <c r="BZ29" s="1150"/>
      <c r="CA29" s="1150"/>
      <c r="CB29" s="1150"/>
      <c r="CC29" s="1150"/>
      <c r="CD29" s="1121">
        <f t="shared" si="2"/>
        <v>20</v>
      </c>
      <c r="CE29" s="1117">
        <f t="shared" si="3"/>
        <v>3</v>
      </c>
      <c r="CF29" s="1117">
        <f t="shared" si="4"/>
        <v>18.016666666666666</v>
      </c>
      <c r="CG29" s="1117">
        <f t="shared" si="5"/>
        <v>2.0833333333333335</v>
      </c>
      <c r="CH29" s="1150"/>
      <c r="CI29" s="1150"/>
      <c r="CJ29" s="1150"/>
      <c r="CK29" s="1150"/>
      <c r="CL29" s="1110">
        <v>52</v>
      </c>
      <c r="CM29" s="1122">
        <v>1.5</v>
      </c>
      <c r="CN29" s="1152" t="s">
        <v>1723</v>
      </c>
      <c r="CO29" s="1154">
        <v>46058</v>
      </c>
      <c r="CP29" s="1090" t="s">
        <v>1547</v>
      </c>
      <c r="CQ29" s="1088">
        <v>323.3</v>
      </c>
      <c r="CR29" s="1119">
        <v>315</v>
      </c>
      <c r="CS29" s="1159" t="s">
        <v>1729</v>
      </c>
      <c r="CT29" s="1116">
        <f t="shared" si="18"/>
        <v>102.63492063492063</v>
      </c>
      <c r="CU29" s="1116">
        <v>4.6100000000000003</v>
      </c>
      <c r="CV29" s="1032" t="s">
        <v>62</v>
      </c>
      <c r="CW29" s="1128" t="s">
        <v>1730</v>
      </c>
      <c r="CX29" s="1126" t="s">
        <v>1723</v>
      </c>
      <c r="CY29" s="1161">
        <v>46056</v>
      </c>
      <c r="CZ29" s="773">
        <v>3</v>
      </c>
      <c r="DA29" s="1128" t="s">
        <v>932</v>
      </c>
      <c r="DB29" s="1125" t="s">
        <v>1748</v>
      </c>
      <c r="DC29" s="1125" t="s">
        <v>1717</v>
      </c>
      <c r="DD29" s="1125">
        <f t="shared" si="19"/>
        <v>200</v>
      </c>
      <c r="DE29" s="1164">
        <v>71.7</v>
      </c>
      <c r="DF29" s="1164">
        <v>71.3</v>
      </c>
      <c r="DG29" s="1164">
        <v>71.400000000000006</v>
      </c>
      <c r="DH29" s="1164">
        <v>71.599999999999994</v>
      </c>
      <c r="DI29" s="1164">
        <v>71.8</v>
      </c>
      <c r="DJ29" s="1164">
        <v>71.5</v>
      </c>
      <c r="DK29" s="1164">
        <v>71.900000000000006</v>
      </c>
      <c r="DL29" s="1164">
        <v>72.099999999999994</v>
      </c>
      <c r="DM29" s="1165">
        <v>533.34</v>
      </c>
      <c r="DN29" s="1130">
        <v>531.53</v>
      </c>
      <c r="DO29" s="1131" t="s">
        <v>1734</v>
      </c>
      <c r="DP29" s="1132">
        <f t="shared" si="12"/>
        <v>100.3405264049066</v>
      </c>
      <c r="DQ29" s="1164">
        <v>3.35</v>
      </c>
      <c r="DR29" s="1164">
        <v>3.42</v>
      </c>
      <c r="DS29" s="1169">
        <v>3.2</v>
      </c>
      <c r="DT29" s="1164">
        <v>3.3</v>
      </c>
      <c r="DU29" s="1134">
        <f t="shared" si="13"/>
        <v>3.3174999999999999</v>
      </c>
      <c r="DV29" s="1165">
        <v>71.5</v>
      </c>
      <c r="DW29" s="1165">
        <v>71.099999999999994</v>
      </c>
      <c r="DX29" s="1165">
        <v>71.2</v>
      </c>
      <c r="DY29" s="1165">
        <v>71.400000000000006</v>
      </c>
      <c r="DZ29" s="1165">
        <v>71.599999999999994</v>
      </c>
      <c r="EA29" s="1165">
        <v>71.3</v>
      </c>
      <c r="EB29" s="1165">
        <v>71.7</v>
      </c>
      <c r="EC29" s="1165">
        <v>71.900000000000006</v>
      </c>
      <c r="ED29" s="1164">
        <v>19.600000000000001</v>
      </c>
      <c r="EE29" s="1164">
        <v>19.399999999999999</v>
      </c>
      <c r="EF29" s="1164">
        <v>19.8</v>
      </c>
      <c r="EG29" s="1164">
        <v>20.2</v>
      </c>
      <c r="EH29" s="1164">
        <v>10.199999999999999</v>
      </c>
      <c r="EI29" s="1164">
        <v>10.9</v>
      </c>
      <c r="EJ29" s="1164">
        <v>10.7</v>
      </c>
      <c r="EK29" s="1164">
        <v>10.6</v>
      </c>
      <c r="EL29" s="1164">
        <v>84.9</v>
      </c>
      <c r="EM29" s="1092"/>
      <c r="EN29" s="1164">
        <v>83.8</v>
      </c>
      <c r="EO29" s="1092"/>
      <c r="EP29" s="1164">
        <v>84.8</v>
      </c>
      <c r="EQ29" s="1092"/>
      <c r="ER29" s="1164">
        <v>83.7</v>
      </c>
      <c r="ES29" s="1092"/>
      <c r="ET29" s="1164">
        <v>40</v>
      </c>
      <c r="EU29" s="1092"/>
      <c r="EV29" s="1164">
        <v>39.799999999999997</v>
      </c>
      <c r="EW29" s="1092"/>
      <c r="EX29" s="1164">
        <v>40.700000000000003</v>
      </c>
      <c r="EY29" s="1092"/>
      <c r="EZ29" s="1164">
        <v>39.9</v>
      </c>
      <c r="FA29" s="1092"/>
      <c r="FB29" s="1164">
        <v>33</v>
      </c>
      <c r="FC29" s="1164">
        <v>15</v>
      </c>
      <c r="FD29" s="1164">
        <v>32</v>
      </c>
      <c r="FE29" s="1164">
        <v>12</v>
      </c>
      <c r="FF29" s="1164">
        <v>33</v>
      </c>
      <c r="FG29" s="1164">
        <v>20</v>
      </c>
      <c r="FH29" s="1164">
        <v>32</v>
      </c>
      <c r="FI29" s="1164">
        <v>30</v>
      </c>
      <c r="FJ29" s="1164"/>
      <c r="FK29" s="1164"/>
      <c r="FL29" s="1164"/>
      <c r="FM29" s="1164"/>
      <c r="FN29" s="1164"/>
      <c r="FO29" s="1164"/>
      <c r="FP29" s="1164"/>
      <c r="FQ29" s="1164"/>
      <c r="FR29" s="1137">
        <f t="shared" si="14"/>
        <v>33.25</v>
      </c>
      <c r="FS29" s="1092"/>
      <c r="FT29" s="1136">
        <f t="shared" si="15"/>
        <v>32.200000000000003</v>
      </c>
      <c r="FU29" s="1092"/>
      <c r="FV29" s="1136">
        <f t="shared" si="16"/>
        <v>33.333333333333336</v>
      </c>
      <c r="FW29" s="1092"/>
      <c r="FX29" s="1136">
        <f t="shared" si="17"/>
        <v>32.5</v>
      </c>
      <c r="FY29" s="1092"/>
      <c r="FZ29" s="1125">
        <v>52</v>
      </c>
      <c r="GA29" s="1138">
        <v>1.5</v>
      </c>
      <c r="GB29" s="1125" t="s">
        <v>62</v>
      </c>
      <c r="GC29" s="1092"/>
      <c r="GD29" s="1139"/>
      <c r="GE29" s="1135"/>
      <c r="GF29" s="1140"/>
      <c r="GG29" s="1140"/>
      <c r="GH29" s="1103" t="s">
        <v>583</v>
      </c>
      <c r="GI29" s="1098" t="s">
        <v>584</v>
      </c>
      <c r="GJ29" s="1098" t="s">
        <v>585</v>
      </c>
      <c r="GK29" s="1076" t="s">
        <v>163</v>
      </c>
    </row>
    <row r="30" spans="2:193">
      <c r="B30" s="1103" t="s">
        <v>583</v>
      </c>
      <c r="C30" s="1098"/>
      <c r="D30" s="1098"/>
      <c r="E30" s="1076"/>
      <c r="F30" s="856"/>
      <c r="G30" s="936"/>
      <c r="H30" s="3"/>
      <c r="I30" s="1469"/>
      <c r="J30" s="1144">
        <v>7</v>
      </c>
      <c r="K30" s="1089" t="s">
        <v>1709</v>
      </c>
      <c r="L30" s="1089" t="s">
        <v>1723</v>
      </c>
      <c r="M30" s="1087">
        <v>46057</v>
      </c>
      <c r="N30" s="1145">
        <v>3</v>
      </c>
      <c r="O30" s="1146" t="s">
        <v>1041</v>
      </c>
      <c r="P30" s="1090" t="s">
        <v>1725</v>
      </c>
      <c r="Q30" s="1080" t="s">
        <v>1717</v>
      </c>
      <c r="R30" s="1147" t="s">
        <v>1747</v>
      </c>
      <c r="S30" s="1080">
        <f t="shared" si="20"/>
        <v>76</v>
      </c>
      <c r="T30" s="1080"/>
      <c r="U30" s="1080">
        <v>74.2</v>
      </c>
      <c r="V30" s="1080">
        <v>74.3</v>
      </c>
      <c r="W30" s="1145">
        <v>73.599999999999994</v>
      </c>
      <c r="X30" s="1145">
        <v>74.3</v>
      </c>
      <c r="Y30" s="1150"/>
      <c r="Z30" s="1150"/>
      <c r="AA30" s="1150"/>
      <c r="AB30" s="1150"/>
      <c r="AC30" s="851">
        <v>74</v>
      </c>
      <c r="AD30" s="851">
        <v>74.099999999999994</v>
      </c>
      <c r="AE30" s="851">
        <v>73.400000000000006</v>
      </c>
      <c r="AF30" s="851">
        <v>74.099999999999994</v>
      </c>
      <c r="AG30" s="1115"/>
      <c r="AH30" s="1115"/>
      <c r="AI30" s="1115"/>
      <c r="AJ30" s="1115"/>
      <c r="AK30" s="1088">
        <f>151.92+154.22</f>
        <v>306.14</v>
      </c>
      <c r="AL30" s="1110">
        <v>299</v>
      </c>
      <c r="AM30" s="1110" t="s">
        <v>1728</v>
      </c>
      <c r="AN30" s="1117">
        <f t="shared" si="0"/>
        <v>102.38795986622074</v>
      </c>
      <c r="AO30" s="1088">
        <v>4.8499999999999996</v>
      </c>
      <c r="AP30" s="1088">
        <v>5.0599999999999996</v>
      </c>
      <c r="AQ30" s="1150"/>
      <c r="AR30" s="1150"/>
      <c r="AS30" s="1118">
        <f t="shared" si="1"/>
        <v>4.9550000000000001</v>
      </c>
      <c r="AT30" s="1124">
        <v>19.899999999999999</v>
      </c>
      <c r="AU30" s="1124">
        <v>20.6</v>
      </c>
      <c r="AV30" s="1150"/>
      <c r="AW30" s="1150"/>
      <c r="AX30" s="1124">
        <v>11.4</v>
      </c>
      <c r="AY30" s="1151">
        <v>11.3</v>
      </c>
      <c r="AZ30" s="1150"/>
      <c r="BA30" s="1150"/>
      <c r="BB30" s="1124">
        <v>84.5</v>
      </c>
      <c r="BC30" s="1124">
        <v>82.2</v>
      </c>
      <c r="BD30" s="1124">
        <v>83.5</v>
      </c>
      <c r="BE30" s="1124">
        <v>80.8</v>
      </c>
      <c r="BF30" s="1150"/>
      <c r="BG30" s="1150"/>
      <c r="BH30" s="1150"/>
      <c r="BI30" s="1150"/>
      <c r="BJ30" s="1124">
        <v>43.3</v>
      </c>
      <c r="BK30" s="1124">
        <v>38.700000000000003</v>
      </c>
      <c r="BL30" s="1124">
        <v>41.8</v>
      </c>
      <c r="BM30" s="1124">
        <v>38.299999999999997</v>
      </c>
      <c r="BN30" s="1150"/>
      <c r="BO30" s="1150"/>
      <c r="BP30" s="1150"/>
      <c r="BQ30" s="1150"/>
      <c r="BR30" s="1145">
        <v>17</v>
      </c>
      <c r="BS30" s="1145">
        <v>1</v>
      </c>
      <c r="BT30" s="1145">
        <v>2</v>
      </c>
      <c r="BU30" s="1145">
        <v>0</v>
      </c>
      <c r="BV30" s="1145">
        <v>17</v>
      </c>
      <c r="BW30" s="1145">
        <v>43</v>
      </c>
      <c r="BX30" s="1145">
        <v>3</v>
      </c>
      <c r="BY30" s="1145">
        <v>12</v>
      </c>
      <c r="BZ30" s="1150"/>
      <c r="CA30" s="1150"/>
      <c r="CB30" s="1150"/>
      <c r="CC30" s="1150"/>
      <c r="CD30" s="1121">
        <f t="shared" si="2"/>
        <v>17.016666666666666</v>
      </c>
      <c r="CE30" s="1117">
        <f t="shared" si="3"/>
        <v>2</v>
      </c>
      <c r="CF30" s="1117">
        <f t="shared" si="4"/>
        <v>17.716666666666665</v>
      </c>
      <c r="CG30" s="1117">
        <f t="shared" si="5"/>
        <v>3.2</v>
      </c>
      <c r="CH30" s="1150"/>
      <c r="CI30" s="1150"/>
      <c r="CJ30" s="1150"/>
      <c r="CK30" s="1150"/>
      <c r="CL30" s="1110">
        <v>52</v>
      </c>
      <c r="CM30" s="1122">
        <v>1.5</v>
      </c>
      <c r="CN30" s="1152" t="s">
        <v>1723</v>
      </c>
      <c r="CO30" s="1154">
        <v>46058</v>
      </c>
      <c r="CP30" s="1090" t="s">
        <v>1547</v>
      </c>
      <c r="CQ30" s="1088">
        <v>321.7</v>
      </c>
      <c r="CR30" s="1119">
        <v>315</v>
      </c>
      <c r="CS30" s="1159" t="s">
        <v>1729</v>
      </c>
      <c r="CT30" s="1116">
        <f t="shared" si="18"/>
        <v>102.12698412698413</v>
      </c>
      <c r="CU30" s="1116">
        <v>4.92</v>
      </c>
      <c r="CV30" s="1032" t="s">
        <v>62</v>
      </c>
      <c r="CW30" s="1128" t="s">
        <v>1730</v>
      </c>
      <c r="CX30" s="1126" t="s">
        <v>1723</v>
      </c>
      <c r="CY30" s="1161" t="s">
        <v>1751</v>
      </c>
      <c r="CZ30" s="773" t="s">
        <v>1722</v>
      </c>
      <c r="DA30" s="1128" t="s">
        <v>932</v>
      </c>
      <c r="DB30" s="1164" t="s">
        <v>1752</v>
      </c>
      <c r="DC30" s="1125" t="s">
        <v>1717</v>
      </c>
      <c r="DD30" s="1125">
        <f t="shared" si="19"/>
        <v>200</v>
      </c>
      <c r="DE30" s="1164">
        <v>72</v>
      </c>
      <c r="DF30" s="1164">
        <v>71.8</v>
      </c>
      <c r="DG30" s="1164">
        <v>71.900000000000006</v>
      </c>
      <c r="DH30" s="1164">
        <v>71.599999999999994</v>
      </c>
      <c r="DI30" s="1164">
        <v>71.900000000000006</v>
      </c>
      <c r="DJ30" s="1164">
        <v>71.3</v>
      </c>
      <c r="DK30" s="1164">
        <v>71.5</v>
      </c>
      <c r="DL30" s="1164">
        <v>71.599999999999994</v>
      </c>
      <c r="DM30" s="1165">
        <v>543.202</v>
      </c>
      <c r="DN30" s="1130">
        <v>531.53</v>
      </c>
      <c r="DO30" s="1131" t="s">
        <v>1734</v>
      </c>
      <c r="DP30" s="1132">
        <f t="shared" si="12"/>
        <v>102.19592497130925</v>
      </c>
      <c r="DQ30" s="1164">
        <v>3.35</v>
      </c>
      <c r="DR30" s="1164">
        <v>3.49</v>
      </c>
      <c r="DS30" s="1169">
        <v>3.36</v>
      </c>
      <c r="DT30" s="1164">
        <v>3.22</v>
      </c>
      <c r="DU30" s="1134">
        <f t="shared" si="13"/>
        <v>3.355</v>
      </c>
      <c r="DV30" s="1165">
        <v>71.8</v>
      </c>
      <c r="DW30" s="1165">
        <v>71.599999999999994</v>
      </c>
      <c r="DX30" s="1165">
        <v>71.599999999999994</v>
      </c>
      <c r="DY30" s="1165">
        <v>71.2</v>
      </c>
      <c r="DZ30" s="1165">
        <v>71.5</v>
      </c>
      <c r="EA30" s="1165">
        <v>71</v>
      </c>
      <c r="EB30" s="1165">
        <v>71.2</v>
      </c>
      <c r="EC30" s="1165">
        <v>71</v>
      </c>
      <c r="ED30" s="1164">
        <v>20.2</v>
      </c>
      <c r="EE30" s="1164">
        <v>19</v>
      </c>
      <c r="EF30" s="1164">
        <v>19.100000000000001</v>
      </c>
      <c r="EG30" s="1164">
        <v>18.899999999999999</v>
      </c>
      <c r="EH30" s="1164">
        <v>11.4</v>
      </c>
      <c r="EI30" s="1164">
        <v>10.6</v>
      </c>
      <c r="EJ30" s="1164">
        <v>10.8</v>
      </c>
      <c r="EK30" s="1164">
        <v>11</v>
      </c>
      <c r="EL30" s="1164">
        <v>80</v>
      </c>
      <c r="EM30" s="1092"/>
      <c r="EN30" s="1164">
        <v>78.7</v>
      </c>
      <c r="EO30" s="1092"/>
      <c r="EP30" s="1164">
        <v>84.8</v>
      </c>
      <c r="EQ30" s="1092"/>
      <c r="ER30" s="1164">
        <v>80.2</v>
      </c>
      <c r="ES30" s="1092"/>
      <c r="ET30" s="1164">
        <v>40</v>
      </c>
      <c r="EU30" s="1092"/>
      <c r="EV30" s="1164">
        <v>40.200000000000003</v>
      </c>
      <c r="EW30" s="1092"/>
      <c r="EX30" s="1164">
        <v>40.299999999999997</v>
      </c>
      <c r="EY30" s="1092"/>
      <c r="EZ30" s="1164">
        <v>40.4</v>
      </c>
      <c r="FA30" s="1092"/>
      <c r="FB30" s="1164">
        <v>40</v>
      </c>
      <c r="FC30" s="1164">
        <v>5</v>
      </c>
      <c r="FD30" s="1164">
        <v>40</v>
      </c>
      <c r="FE30" s="1164">
        <v>12</v>
      </c>
      <c r="FF30" s="1164">
        <v>40</v>
      </c>
      <c r="FG30" s="1164">
        <v>17</v>
      </c>
      <c r="FH30" s="1164">
        <v>40</v>
      </c>
      <c r="FI30" s="1164">
        <v>20</v>
      </c>
      <c r="FJ30" s="1164"/>
      <c r="FK30" s="1164"/>
      <c r="FL30" s="1164"/>
      <c r="FM30" s="1164"/>
      <c r="FN30" s="1164"/>
      <c r="FO30" s="1164"/>
      <c r="FP30" s="1164"/>
      <c r="FQ30" s="1164"/>
      <c r="FR30" s="1137">
        <f t="shared" si="14"/>
        <v>40.083333333333336</v>
      </c>
      <c r="FS30" s="1092"/>
      <c r="FT30" s="1136">
        <f t="shared" si="15"/>
        <v>40.200000000000003</v>
      </c>
      <c r="FU30" s="1092"/>
      <c r="FV30" s="1136">
        <f t="shared" si="16"/>
        <v>40.283333333333331</v>
      </c>
      <c r="FW30" s="1092"/>
      <c r="FX30" s="1136">
        <f t="shared" si="17"/>
        <v>40.333333333333336</v>
      </c>
      <c r="FY30" s="1092"/>
      <c r="FZ30" s="1125">
        <v>52</v>
      </c>
      <c r="GA30" s="1138">
        <v>1.5</v>
      </c>
      <c r="GB30" s="1125" t="s">
        <v>62</v>
      </c>
      <c r="GC30" s="1092"/>
      <c r="GD30" s="1139"/>
      <c r="GE30" s="1135"/>
      <c r="GF30" s="1140"/>
      <c r="GG30" s="1140"/>
      <c r="GH30" s="1103" t="s">
        <v>583</v>
      </c>
      <c r="GI30" s="1098" t="s">
        <v>584</v>
      </c>
      <c r="GJ30" s="1098" t="s">
        <v>585</v>
      </c>
      <c r="GK30" s="1076" t="s">
        <v>163</v>
      </c>
    </row>
    <row r="31" spans="2:193">
      <c r="B31" s="1103" t="s">
        <v>583</v>
      </c>
      <c r="C31" s="1098"/>
      <c r="D31" s="1098"/>
      <c r="E31" s="1076"/>
      <c r="F31" s="856"/>
      <c r="G31" s="936"/>
      <c r="H31" s="3"/>
      <c r="I31" s="1469"/>
      <c r="J31" s="1144">
        <v>8</v>
      </c>
      <c r="K31" s="1089" t="s">
        <v>1709</v>
      </c>
      <c r="L31" s="1089" t="s">
        <v>1723</v>
      </c>
      <c r="M31" s="1087">
        <v>46057</v>
      </c>
      <c r="N31" s="1145">
        <v>3</v>
      </c>
      <c r="O31" s="1146" t="s">
        <v>1041</v>
      </c>
      <c r="P31" s="1090" t="s">
        <v>1727</v>
      </c>
      <c r="Q31" s="1080" t="s">
        <v>1717</v>
      </c>
      <c r="R31" s="1147" t="s">
        <v>1747</v>
      </c>
      <c r="S31" s="1080">
        <f t="shared" si="20"/>
        <v>76</v>
      </c>
      <c r="T31" s="1080"/>
      <c r="U31" s="1080">
        <v>74.2</v>
      </c>
      <c r="V31" s="1080">
        <v>74.099999999999994</v>
      </c>
      <c r="W31" s="1145">
        <v>73.400000000000006</v>
      </c>
      <c r="X31" s="1145">
        <v>73.7</v>
      </c>
      <c r="Y31" s="1150"/>
      <c r="Z31" s="1150"/>
      <c r="AA31" s="1150"/>
      <c r="AB31" s="1150"/>
      <c r="AC31" s="851">
        <v>74.2</v>
      </c>
      <c r="AD31" s="851">
        <v>74.099999999999994</v>
      </c>
      <c r="AE31" s="851">
        <v>73.400000000000006</v>
      </c>
      <c r="AF31" s="851">
        <v>73.7</v>
      </c>
      <c r="AG31" s="1115"/>
      <c r="AH31" s="1115"/>
      <c r="AI31" s="1115"/>
      <c r="AJ31" s="1115"/>
      <c r="AK31" s="1088">
        <v>306.70999999999998</v>
      </c>
      <c r="AL31" s="1110">
        <v>299</v>
      </c>
      <c r="AM31" s="1110" t="s">
        <v>1728</v>
      </c>
      <c r="AN31" s="1117">
        <f t="shared" si="0"/>
        <v>102.57859531772576</v>
      </c>
      <c r="AO31" s="1088">
        <v>4.99</v>
      </c>
      <c r="AP31" s="1088">
        <v>4.99</v>
      </c>
      <c r="AQ31" s="1150"/>
      <c r="AR31" s="1150"/>
      <c r="AS31" s="1118">
        <f t="shared" si="1"/>
        <v>4.99</v>
      </c>
      <c r="AT31" s="1124">
        <v>20.6</v>
      </c>
      <c r="AU31" s="1124">
        <v>20.399999999999999</v>
      </c>
      <c r="AV31" s="1150"/>
      <c r="AW31" s="1150"/>
      <c r="AX31" s="1124">
        <v>12.1</v>
      </c>
      <c r="AY31" s="1151">
        <v>11.8</v>
      </c>
      <c r="AZ31" s="1150"/>
      <c r="BA31" s="1150"/>
      <c r="BB31" s="1124">
        <v>87.6</v>
      </c>
      <c r="BC31" s="1124">
        <v>84.1</v>
      </c>
      <c r="BD31" s="1124">
        <v>84.5</v>
      </c>
      <c r="BE31" s="1124">
        <v>80.3</v>
      </c>
      <c r="BF31" s="1150"/>
      <c r="BG31" s="1150"/>
      <c r="BH31" s="1150"/>
      <c r="BI31" s="1150"/>
      <c r="BJ31" s="1124">
        <v>42</v>
      </c>
      <c r="BK31" s="1124">
        <v>38.5</v>
      </c>
      <c r="BL31" s="1124">
        <v>41.6</v>
      </c>
      <c r="BM31" s="1124">
        <v>38.4</v>
      </c>
      <c r="BN31" s="1150"/>
      <c r="BO31" s="1150"/>
      <c r="BP31" s="1150"/>
      <c r="BQ31" s="1150"/>
      <c r="BR31" s="1145">
        <v>17</v>
      </c>
      <c r="BS31" s="1145">
        <v>22</v>
      </c>
      <c r="BT31" s="1145">
        <v>2</v>
      </c>
      <c r="BU31" s="1145">
        <v>18</v>
      </c>
      <c r="BV31" s="1145">
        <v>18</v>
      </c>
      <c r="BW31" s="1145">
        <v>14</v>
      </c>
      <c r="BX31" s="1145">
        <v>2</v>
      </c>
      <c r="BY31" s="1145">
        <v>26</v>
      </c>
      <c r="BZ31" s="1150"/>
      <c r="CA31" s="1150"/>
      <c r="CB31" s="1150"/>
      <c r="CC31" s="1150"/>
      <c r="CD31" s="1121">
        <f t="shared" si="2"/>
        <v>17.366666666666667</v>
      </c>
      <c r="CE31" s="1117">
        <f t="shared" si="3"/>
        <v>2.2999999999999998</v>
      </c>
      <c r="CF31" s="1117">
        <f t="shared" si="4"/>
        <v>18.233333333333334</v>
      </c>
      <c r="CG31" s="1117">
        <f t="shared" si="5"/>
        <v>2.4333333333333336</v>
      </c>
      <c r="CH31" s="1150"/>
      <c r="CI31" s="1150"/>
      <c r="CJ31" s="1150"/>
      <c r="CK31" s="1150"/>
      <c r="CL31" s="1110">
        <v>52</v>
      </c>
      <c r="CM31" s="1122">
        <v>1.5</v>
      </c>
      <c r="CN31" s="1152" t="s">
        <v>1723</v>
      </c>
      <c r="CO31" s="1154">
        <v>46058</v>
      </c>
      <c r="CP31" s="1090" t="s">
        <v>1547</v>
      </c>
      <c r="CQ31" s="1088">
        <v>322.60000000000002</v>
      </c>
      <c r="CR31" s="1119">
        <v>315</v>
      </c>
      <c r="CS31" s="1159" t="s">
        <v>1729</v>
      </c>
      <c r="CT31" s="1116">
        <f t="shared" si="18"/>
        <v>102.41269841269842</v>
      </c>
      <c r="CU31" s="1088">
        <v>4.8099999999999996</v>
      </c>
      <c r="CV31" s="1032" t="s">
        <v>62</v>
      </c>
      <c r="CW31" s="1128" t="s">
        <v>1730</v>
      </c>
      <c r="CX31" s="1126" t="s">
        <v>1723</v>
      </c>
      <c r="CY31" s="1161">
        <v>46058</v>
      </c>
      <c r="CZ31" s="775">
        <v>1</v>
      </c>
      <c r="DA31" s="1128" t="s">
        <v>1041</v>
      </c>
      <c r="DB31" s="1128" t="s">
        <v>1743</v>
      </c>
      <c r="DC31" s="1125" t="s">
        <v>1717</v>
      </c>
      <c r="DD31" s="1125">
        <f t="shared" si="19"/>
        <v>200</v>
      </c>
      <c r="DE31" s="1164">
        <v>71.8</v>
      </c>
      <c r="DF31" s="1164">
        <v>71.400000000000006</v>
      </c>
      <c r="DG31" s="1164">
        <v>71.599999999999994</v>
      </c>
      <c r="DH31" s="1164">
        <v>71.8</v>
      </c>
      <c r="DI31" s="1164">
        <v>72</v>
      </c>
      <c r="DJ31" s="1164">
        <v>71.099999999999994</v>
      </c>
      <c r="DK31" s="1164">
        <v>71.3</v>
      </c>
      <c r="DL31" s="1164">
        <v>71.5</v>
      </c>
      <c r="DM31" s="1165">
        <v>528.57000000000005</v>
      </c>
      <c r="DN31" s="1130">
        <v>531.53</v>
      </c>
      <c r="DO31" s="1131" t="s">
        <v>1734</v>
      </c>
      <c r="DP31" s="1132">
        <f t="shared" si="12"/>
        <v>99.443117039489792</v>
      </c>
      <c r="DQ31" s="1164">
        <v>3.41</v>
      </c>
      <c r="DR31" s="1164">
        <v>3.34</v>
      </c>
      <c r="DS31" s="1169">
        <v>3.5</v>
      </c>
      <c r="DT31" s="1164">
        <v>3.15</v>
      </c>
      <c r="DU31" s="1134">
        <f t="shared" si="13"/>
        <v>3.35</v>
      </c>
      <c r="DV31" s="1165">
        <v>71.5</v>
      </c>
      <c r="DW31" s="1165"/>
      <c r="DX31" s="1165">
        <v>71.3</v>
      </c>
      <c r="DY31" s="1165"/>
      <c r="DZ31" s="1165">
        <v>71.8</v>
      </c>
      <c r="EA31" s="1165"/>
      <c r="EB31" s="1165">
        <v>71</v>
      </c>
      <c r="EC31" s="1165"/>
      <c r="ED31" s="1164">
        <v>18.899999999999999</v>
      </c>
      <c r="EE31" s="1164">
        <v>19</v>
      </c>
      <c r="EF31" s="1164">
        <v>18.899999999999999</v>
      </c>
      <c r="EG31" s="1164">
        <v>19.2</v>
      </c>
      <c r="EH31" s="1164">
        <v>9.1999999999999993</v>
      </c>
      <c r="EI31" s="1164">
        <v>9.6999999999999993</v>
      </c>
      <c r="EJ31" s="1164">
        <v>9.6</v>
      </c>
      <c r="EK31" s="1164">
        <v>9.6999999999999993</v>
      </c>
      <c r="EL31" s="1164">
        <v>80.900000000000006</v>
      </c>
      <c r="EM31" s="1092"/>
      <c r="EN31" s="1164">
        <v>83</v>
      </c>
      <c r="EO31" s="1092"/>
      <c r="EP31" s="1164">
        <v>80.7</v>
      </c>
      <c r="EQ31" s="1092"/>
      <c r="ER31" s="1164">
        <v>80.5</v>
      </c>
      <c r="ES31" s="1092"/>
      <c r="ET31" s="1164">
        <v>44.1</v>
      </c>
      <c r="EU31" s="1092"/>
      <c r="EV31" s="1164">
        <v>44.2</v>
      </c>
      <c r="EW31" s="1092"/>
      <c r="EX31" s="1164">
        <v>44.6</v>
      </c>
      <c r="EY31" s="1092"/>
      <c r="EZ31" s="1164">
        <v>44.8</v>
      </c>
      <c r="FA31" s="1092"/>
      <c r="FB31" s="1164">
        <v>31</v>
      </c>
      <c r="FC31" s="1164">
        <v>20</v>
      </c>
      <c r="FD31" s="1164">
        <v>31</v>
      </c>
      <c r="FE31" s="1164">
        <v>34</v>
      </c>
      <c r="FF31" s="1164">
        <v>31</v>
      </c>
      <c r="FG31" s="1164">
        <v>37</v>
      </c>
      <c r="FH31" s="1164">
        <v>32</v>
      </c>
      <c r="FI31" s="1164">
        <v>34</v>
      </c>
      <c r="FJ31" s="1164"/>
      <c r="FK31" s="1164"/>
      <c r="FL31" s="1164"/>
      <c r="FM31" s="1164"/>
      <c r="FN31" s="1164"/>
      <c r="FO31" s="1164"/>
      <c r="FP31" s="1164"/>
      <c r="FQ31" s="1164"/>
      <c r="FR31" s="1137">
        <f t="shared" si="14"/>
        <v>31.333333333333332</v>
      </c>
      <c r="FS31" s="1092"/>
      <c r="FT31" s="1136">
        <f t="shared" si="15"/>
        <v>31.566666666666666</v>
      </c>
      <c r="FU31" s="1092"/>
      <c r="FV31" s="1136">
        <f t="shared" si="16"/>
        <v>31.616666666666667</v>
      </c>
      <c r="FW31" s="1092"/>
      <c r="FX31" s="1136">
        <f t="shared" si="17"/>
        <v>32.56666666666667</v>
      </c>
      <c r="FY31" s="1092"/>
      <c r="FZ31" s="1125">
        <v>52</v>
      </c>
      <c r="GA31" s="1138">
        <v>1.5</v>
      </c>
      <c r="GB31" s="1125" t="s">
        <v>62</v>
      </c>
      <c r="GC31" s="1092"/>
      <c r="GD31" s="1139"/>
      <c r="GE31" s="1135"/>
      <c r="GF31" s="1140"/>
      <c r="GG31" s="1140"/>
      <c r="GH31" s="1103" t="s">
        <v>583</v>
      </c>
      <c r="GI31" s="1098" t="s">
        <v>584</v>
      </c>
      <c r="GJ31" s="1098" t="s">
        <v>585</v>
      </c>
      <c r="GK31" s="1076" t="s">
        <v>163</v>
      </c>
    </row>
    <row r="32" spans="2:193">
      <c r="B32" s="1103" t="s">
        <v>583</v>
      </c>
      <c r="C32" s="1098"/>
      <c r="D32" s="1098"/>
      <c r="E32" s="1076"/>
      <c r="F32" s="856"/>
      <c r="G32" s="936"/>
      <c r="H32" s="3"/>
      <c r="I32" s="1469"/>
      <c r="J32" s="1144">
        <v>9</v>
      </c>
      <c r="K32" s="1089" t="s">
        <v>1709</v>
      </c>
      <c r="L32" s="1089" t="s">
        <v>1723</v>
      </c>
      <c r="M32" s="1087">
        <v>46057</v>
      </c>
      <c r="N32" s="1145">
        <v>3</v>
      </c>
      <c r="O32" s="1146" t="s">
        <v>1041</v>
      </c>
      <c r="P32" s="1090" t="s">
        <v>1740</v>
      </c>
      <c r="Q32" s="1080" t="s">
        <v>1717</v>
      </c>
      <c r="R32" s="1147" t="s">
        <v>1745</v>
      </c>
      <c r="S32" s="1080">
        <f t="shared" si="20"/>
        <v>76</v>
      </c>
      <c r="T32" s="1080"/>
      <c r="U32" s="1080">
        <v>73.5</v>
      </c>
      <c r="V32" s="1080">
        <v>74.2</v>
      </c>
      <c r="W32" s="1145">
        <v>73.7</v>
      </c>
      <c r="X32" s="1145">
        <v>73.400000000000006</v>
      </c>
      <c r="Y32" s="1150"/>
      <c r="Z32" s="1150"/>
      <c r="AA32" s="1150"/>
      <c r="AB32" s="1150"/>
      <c r="AC32" s="851">
        <v>73.5</v>
      </c>
      <c r="AD32" s="851">
        <v>74.2</v>
      </c>
      <c r="AE32" s="851">
        <v>73.7</v>
      </c>
      <c r="AF32" s="851">
        <v>73.400000000000006</v>
      </c>
      <c r="AG32" s="1115"/>
      <c r="AH32" s="1115"/>
      <c r="AI32" s="1115"/>
      <c r="AJ32" s="1115"/>
      <c r="AK32" s="1088">
        <f>151.11+155.02</f>
        <v>306.13</v>
      </c>
      <c r="AL32" s="1110">
        <v>299</v>
      </c>
      <c r="AM32" s="1110" t="s">
        <v>1728</v>
      </c>
      <c r="AN32" s="1117">
        <f t="shared" si="0"/>
        <v>102.38461538461539</v>
      </c>
      <c r="AO32" s="1088">
        <v>4.82</v>
      </c>
      <c r="AP32" s="1088">
        <v>4.7300000000000004</v>
      </c>
      <c r="AQ32" s="1150"/>
      <c r="AR32" s="1150"/>
      <c r="AS32" s="1118">
        <f t="shared" si="1"/>
        <v>4.7750000000000004</v>
      </c>
      <c r="AT32" s="1124">
        <v>20.5</v>
      </c>
      <c r="AU32" s="1124">
        <v>20.3</v>
      </c>
      <c r="AV32" s="1150"/>
      <c r="AW32" s="1150"/>
      <c r="AX32" s="1124">
        <v>11.6</v>
      </c>
      <c r="AY32" s="1151">
        <v>11.4</v>
      </c>
      <c r="AZ32" s="1150"/>
      <c r="BA32" s="1150"/>
      <c r="BB32" s="1124">
        <v>83.7</v>
      </c>
      <c r="BC32" s="1124">
        <v>81.400000000000006</v>
      </c>
      <c r="BD32" s="1124">
        <v>85</v>
      </c>
      <c r="BE32" s="1124">
        <v>82.8</v>
      </c>
      <c r="BF32" s="1150"/>
      <c r="BG32" s="1150"/>
      <c r="BH32" s="1150"/>
      <c r="BI32" s="1150"/>
      <c r="BJ32" s="1124">
        <v>41.8</v>
      </c>
      <c r="BK32" s="1124">
        <v>38.5</v>
      </c>
      <c r="BL32" s="1124">
        <v>41.6</v>
      </c>
      <c r="BM32" s="1124">
        <v>38.6</v>
      </c>
      <c r="BN32" s="1150"/>
      <c r="BO32" s="1150"/>
      <c r="BP32" s="1150"/>
      <c r="BQ32" s="1150"/>
      <c r="BR32" s="1145">
        <v>18</v>
      </c>
      <c r="BS32" s="1145">
        <v>11</v>
      </c>
      <c r="BT32" s="1145">
        <v>2</v>
      </c>
      <c r="BU32" s="1145">
        <v>4</v>
      </c>
      <c r="BV32" s="1145">
        <v>17</v>
      </c>
      <c r="BW32" s="1145">
        <v>53</v>
      </c>
      <c r="BX32" s="1145">
        <v>2</v>
      </c>
      <c r="BY32" s="1145">
        <v>11</v>
      </c>
      <c r="BZ32" s="1150"/>
      <c r="CA32" s="1150"/>
      <c r="CB32" s="1150"/>
      <c r="CC32" s="1150"/>
      <c r="CD32" s="1121">
        <f t="shared" si="2"/>
        <v>18.183333333333334</v>
      </c>
      <c r="CE32" s="1117">
        <f t="shared" si="3"/>
        <v>2.0666666666666669</v>
      </c>
      <c r="CF32" s="1117">
        <f t="shared" si="4"/>
        <v>17.883333333333333</v>
      </c>
      <c r="CG32" s="1117">
        <f t="shared" si="5"/>
        <v>2.1833333333333331</v>
      </c>
      <c r="CH32" s="1150"/>
      <c r="CI32" s="1150"/>
      <c r="CJ32" s="1150"/>
      <c r="CK32" s="1150"/>
      <c r="CL32" s="1155">
        <v>52</v>
      </c>
      <c r="CM32" s="1156">
        <v>1.5</v>
      </c>
      <c r="CN32" s="1152" t="s">
        <v>1723</v>
      </c>
      <c r="CO32" s="1157">
        <v>46058</v>
      </c>
      <c r="CP32" s="1090" t="s">
        <v>1547</v>
      </c>
      <c r="CQ32" s="1158">
        <v>321.5</v>
      </c>
      <c r="CR32" s="1119">
        <v>315</v>
      </c>
      <c r="CS32" s="1159" t="s">
        <v>1729</v>
      </c>
      <c r="CT32" s="1152">
        <f t="shared" si="18"/>
        <v>102.06349206349205</v>
      </c>
      <c r="CU32" s="1158"/>
      <c r="CV32" s="1032" t="s">
        <v>62</v>
      </c>
      <c r="CW32" s="1128" t="s">
        <v>1730</v>
      </c>
      <c r="CX32" s="1126" t="s">
        <v>1723</v>
      </c>
      <c r="CY32" s="1127">
        <v>46058</v>
      </c>
      <c r="CZ32" s="773">
        <v>2</v>
      </c>
      <c r="DA32" s="1125" t="s">
        <v>1041</v>
      </c>
      <c r="DB32" s="1125" t="s">
        <v>1746</v>
      </c>
      <c r="DC32" s="1125" t="s">
        <v>1717</v>
      </c>
      <c r="DD32" s="1125">
        <f t="shared" si="19"/>
        <v>200</v>
      </c>
      <c r="DE32" s="1125">
        <v>71.7</v>
      </c>
      <c r="DF32" s="1125">
        <v>71.3</v>
      </c>
      <c r="DG32" s="1125">
        <v>71.900000000000006</v>
      </c>
      <c r="DH32" s="1125">
        <v>71.5</v>
      </c>
      <c r="DI32" s="1125">
        <v>71.599999999999994</v>
      </c>
      <c r="DJ32" s="1164">
        <v>72.5</v>
      </c>
      <c r="DK32" s="1164">
        <v>72.400000000000006</v>
      </c>
      <c r="DL32" s="1164">
        <v>72.400000000000006</v>
      </c>
      <c r="DM32" s="1165">
        <f>141.84+136.31+132.38+136.29</f>
        <v>546.81999999999994</v>
      </c>
      <c r="DN32" s="1130">
        <v>531.53</v>
      </c>
      <c r="DO32" s="1131" t="s">
        <v>1734</v>
      </c>
      <c r="DP32" s="1132">
        <f t="shared" si="12"/>
        <v>102.87660150885181</v>
      </c>
      <c r="DQ32" s="1164">
        <v>3.43</v>
      </c>
      <c r="DR32" s="1164">
        <v>3.42</v>
      </c>
      <c r="DS32" s="1169">
        <v>3.19</v>
      </c>
      <c r="DT32" s="1164">
        <v>3.12</v>
      </c>
      <c r="DU32" s="1134">
        <f t="shared" si="13"/>
        <v>3.29</v>
      </c>
      <c r="DV32" s="1165">
        <v>71.400000000000006</v>
      </c>
      <c r="DW32" s="1165"/>
      <c r="DX32" s="1165">
        <v>71.599999999999994</v>
      </c>
      <c r="DY32" s="1165"/>
      <c r="DZ32" s="1165">
        <v>71.8</v>
      </c>
      <c r="EA32" s="1165">
        <v>72.2</v>
      </c>
      <c r="EB32" s="1165">
        <v>72.099999999999994</v>
      </c>
      <c r="EC32" s="1165">
        <v>72.2</v>
      </c>
      <c r="ED32" s="1164">
        <v>19.100000000000001</v>
      </c>
      <c r="EE32" s="1164">
        <v>19.100000000000001</v>
      </c>
      <c r="EF32" s="1164">
        <v>20.2</v>
      </c>
      <c r="EG32" s="1164">
        <v>19.8</v>
      </c>
      <c r="EH32" s="1164">
        <v>9.6</v>
      </c>
      <c r="EI32" s="1164">
        <v>9.6999999999999993</v>
      </c>
      <c r="EJ32" s="1164">
        <v>10.199999999999999</v>
      </c>
      <c r="EK32" s="1164">
        <v>9.9</v>
      </c>
      <c r="EL32" s="1164">
        <v>80.599999999999994</v>
      </c>
      <c r="EM32" s="1092"/>
      <c r="EN32" s="1164">
        <v>80.8</v>
      </c>
      <c r="EO32" s="1092"/>
      <c r="EP32" s="1164">
        <v>81</v>
      </c>
      <c r="EQ32" s="1092"/>
      <c r="ER32" s="1164">
        <v>80.7</v>
      </c>
      <c r="ES32" s="1092"/>
      <c r="ET32" s="1164">
        <v>44.9</v>
      </c>
      <c r="EU32" s="1092"/>
      <c r="EV32" s="1164">
        <v>45.7</v>
      </c>
      <c r="EW32" s="1092"/>
      <c r="EX32" s="1164">
        <v>46</v>
      </c>
      <c r="EY32" s="1092"/>
      <c r="EZ32" s="1164">
        <v>45.9</v>
      </c>
      <c r="FA32" s="1092"/>
      <c r="FB32" s="1164">
        <v>31</v>
      </c>
      <c r="FC32" s="1164">
        <v>43</v>
      </c>
      <c r="FD32" s="1164">
        <v>34</v>
      </c>
      <c r="FE32" s="1164">
        <v>46</v>
      </c>
      <c r="FF32" s="1164">
        <v>33</v>
      </c>
      <c r="FG32" s="1164">
        <v>4</v>
      </c>
      <c r="FH32" s="1164">
        <v>34</v>
      </c>
      <c r="FI32" s="1164">
        <v>30</v>
      </c>
      <c r="FJ32" s="1164"/>
      <c r="FK32" s="1164"/>
      <c r="FL32" s="1164"/>
      <c r="FM32" s="1164"/>
      <c r="FN32" s="1164"/>
      <c r="FO32" s="1164"/>
      <c r="FP32" s="1164"/>
      <c r="FQ32" s="1164"/>
      <c r="FR32" s="1137">
        <f t="shared" si="14"/>
        <v>31.716666666666665</v>
      </c>
      <c r="FS32" s="1092"/>
      <c r="FT32" s="1136">
        <f t="shared" si="15"/>
        <v>34.766666666666666</v>
      </c>
      <c r="FU32" s="1092"/>
      <c r="FV32" s="1136">
        <f t="shared" si="16"/>
        <v>33.06666666666667</v>
      </c>
      <c r="FW32" s="1092"/>
      <c r="FX32" s="1136">
        <f t="shared" si="17"/>
        <v>34.5</v>
      </c>
      <c r="FY32" s="1092"/>
      <c r="FZ32" s="1125">
        <v>52</v>
      </c>
      <c r="GA32" s="1138">
        <v>1.5</v>
      </c>
      <c r="GB32" s="1125" t="s">
        <v>62</v>
      </c>
      <c r="GC32" s="1092"/>
      <c r="GD32" s="1139"/>
      <c r="GE32" s="1135"/>
      <c r="GF32" s="1140"/>
      <c r="GG32" s="1140"/>
      <c r="GH32" s="1103" t="s">
        <v>583</v>
      </c>
      <c r="GI32" s="1098" t="s">
        <v>584</v>
      </c>
      <c r="GJ32" s="1098" t="s">
        <v>585</v>
      </c>
      <c r="GK32" s="1076" t="s">
        <v>163</v>
      </c>
    </row>
    <row r="33" spans="2:193">
      <c r="B33" s="1103" t="s">
        <v>583</v>
      </c>
      <c r="C33" s="1098"/>
      <c r="D33" s="1098"/>
      <c r="E33" s="1076"/>
      <c r="F33" s="856"/>
      <c r="G33" s="936"/>
      <c r="H33" s="3"/>
      <c r="I33" s="1469"/>
      <c r="J33" s="1144">
        <v>1</v>
      </c>
      <c r="K33" s="1089" t="s">
        <v>1709</v>
      </c>
      <c r="L33" s="1089" t="s">
        <v>1723</v>
      </c>
      <c r="M33" s="1087">
        <v>46079</v>
      </c>
      <c r="N33" s="1145">
        <v>3</v>
      </c>
      <c r="O33" s="1146" t="s">
        <v>1041</v>
      </c>
      <c r="P33" s="1090" t="s">
        <v>1727</v>
      </c>
      <c r="Q33" s="1080" t="s">
        <v>1717</v>
      </c>
      <c r="R33" s="1147" t="s">
        <v>1745</v>
      </c>
      <c r="S33" s="1080">
        <f t="shared" si="20"/>
        <v>76</v>
      </c>
      <c r="T33" s="1080"/>
      <c r="U33" s="1080">
        <v>73.7</v>
      </c>
      <c r="V33" s="1080">
        <v>73.5</v>
      </c>
      <c r="W33" s="1145">
        <v>73.400000000000006</v>
      </c>
      <c r="X33" s="1145">
        <v>73.7</v>
      </c>
      <c r="Y33" s="1150"/>
      <c r="Z33" s="1150"/>
      <c r="AA33" s="1150"/>
      <c r="AB33" s="1150"/>
      <c r="AC33" s="851">
        <v>73.5</v>
      </c>
      <c r="AD33" s="851">
        <v>73.400000000000006</v>
      </c>
      <c r="AE33" s="851">
        <v>73.2</v>
      </c>
      <c r="AF33" s="851">
        <v>73</v>
      </c>
      <c r="AG33" s="1115"/>
      <c r="AH33" s="1115"/>
      <c r="AI33" s="1115"/>
      <c r="AJ33" s="1115"/>
      <c r="AK33" s="1088">
        <f>148.71+151.33</f>
        <v>300.04000000000002</v>
      </c>
      <c r="AL33" s="1110">
        <v>299</v>
      </c>
      <c r="AM33" s="1110" t="s">
        <v>1728</v>
      </c>
      <c r="AN33" s="1117">
        <f t="shared" si="0"/>
        <v>100.34782608695653</v>
      </c>
      <c r="AO33" s="1088">
        <v>4.8899999999999997</v>
      </c>
      <c r="AP33" s="1088">
        <v>4.88</v>
      </c>
      <c r="AQ33" s="1150"/>
      <c r="AR33" s="1150"/>
      <c r="AS33" s="1118">
        <f t="shared" si="1"/>
        <v>4.8849999999999998</v>
      </c>
      <c r="AT33" s="1124">
        <v>22.4</v>
      </c>
      <c r="AU33" s="1124">
        <v>23.6</v>
      </c>
      <c r="AV33" s="1150"/>
      <c r="AW33" s="1150"/>
      <c r="AX33" s="1124">
        <v>13.2</v>
      </c>
      <c r="AY33" s="1151">
        <v>14.2</v>
      </c>
      <c r="AZ33" s="1150"/>
      <c r="BA33" s="1150"/>
      <c r="BB33" s="1124">
        <v>84.2</v>
      </c>
      <c r="BC33" s="1124">
        <v>83.9</v>
      </c>
      <c r="BD33" s="1124">
        <v>85.2</v>
      </c>
      <c r="BE33" s="1124">
        <v>84.7</v>
      </c>
      <c r="BF33" s="1150"/>
      <c r="BG33" s="1150"/>
      <c r="BH33" s="1150"/>
      <c r="BI33" s="1150"/>
      <c r="BJ33" s="1124">
        <v>38.5</v>
      </c>
      <c r="BK33" s="1124">
        <v>37.9</v>
      </c>
      <c r="BL33" s="1124">
        <v>39</v>
      </c>
      <c r="BM33" s="1124">
        <v>38.6</v>
      </c>
      <c r="BN33" s="1150"/>
      <c r="BO33" s="1150"/>
      <c r="BP33" s="1150"/>
      <c r="BQ33" s="1150"/>
      <c r="BR33" s="1145">
        <v>15</v>
      </c>
      <c r="BS33" s="1145">
        <v>10</v>
      </c>
      <c r="BT33" s="1145">
        <v>5</v>
      </c>
      <c r="BU33" s="1145">
        <v>10</v>
      </c>
      <c r="BV33" s="1145">
        <v>16</v>
      </c>
      <c r="BW33" s="1145">
        <v>0</v>
      </c>
      <c r="BX33" s="1145">
        <v>5</v>
      </c>
      <c r="BY33" s="1145">
        <v>12</v>
      </c>
      <c r="BZ33" s="1150"/>
      <c r="CA33" s="1150"/>
      <c r="CB33" s="1150"/>
      <c r="CC33" s="1150"/>
      <c r="CD33" s="1121">
        <f t="shared" si="2"/>
        <v>15.166666666666666</v>
      </c>
      <c r="CE33" s="1117">
        <f t="shared" si="3"/>
        <v>5.166666666666667</v>
      </c>
      <c r="CF33" s="1117">
        <f t="shared" si="4"/>
        <v>16</v>
      </c>
      <c r="CG33" s="1117">
        <f t="shared" si="5"/>
        <v>5.2</v>
      </c>
      <c r="CH33" s="1150"/>
      <c r="CI33" s="1150"/>
      <c r="CJ33" s="1150"/>
      <c r="CK33" s="1150"/>
      <c r="CL33" s="1155">
        <v>52</v>
      </c>
      <c r="CM33" s="1156">
        <v>1.5</v>
      </c>
      <c r="CN33" s="1152" t="s">
        <v>1723</v>
      </c>
      <c r="CO33" s="1153">
        <v>46080</v>
      </c>
      <c r="CP33" s="1090" t="s">
        <v>1547</v>
      </c>
      <c r="CQ33" s="1116">
        <v>315.89999999999998</v>
      </c>
      <c r="CR33" s="1119">
        <v>315</v>
      </c>
      <c r="CS33" s="1159" t="s">
        <v>1729</v>
      </c>
      <c r="CT33" s="1152">
        <f t="shared" si="18"/>
        <v>100.28571428571429</v>
      </c>
      <c r="CU33" s="1116">
        <v>4.76</v>
      </c>
      <c r="CV33" s="1032" t="s">
        <v>62</v>
      </c>
      <c r="CW33" s="1128" t="s">
        <v>1730</v>
      </c>
      <c r="CX33" s="1126" t="s">
        <v>1723</v>
      </c>
      <c r="CY33" s="1127">
        <v>46079</v>
      </c>
      <c r="CZ33" s="773" t="s">
        <v>1720</v>
      </c>
      <c r="DA33" s="1125" t="s">
        <v>932</v>
      </c>
      <c r="DB33" s="1128" t="s">
        <v>1743</v>
      </c>
      <c r="DC33" s="1125" t="s">
        <v>1717</v>
      </c>
      <c r="DD33" s="1125">
        <f t="shared" si="19"/>
        <v>200</v>
      </c>
      <c r="DE33" s="1125">
        <v>73.2</v>
      </c>
      <c r="DF33" s="1125">
        <v>72.599999999999994</v>
      </c>
      <c r="DG33" s="1125">
        <v>71.900000000000006</v>
      </c>
      <c r="DH33" s="1125">
        <v>72.2</v>
      </c>
      <c r="DI33" s="1125">
        <v>72.3</v>
      </c>
      <c r="DJ33" s="1164">
        <v>72.099999999999994</v>
      </c>
      <c r="DK33" s="1164">
        <v>72.400000000000006</v>
      </c>
      <c r="DL33" s="1164">
        <v>72.2</v>
      </c>
      <c r="DM33" s="1165">
        <v>530.15</v>
      </c>
      <c r="DN33" s="1130">
        <v>531.53</v>
      </c>
      <c r="DO33" s="1131" t="s">
        <v>1734</v>
      </c>
      <c r="DP33" s="1132">
        <f t="shared" si="12"/>
        <v>99.740372133275628</v>
      </c>
      <c r="DQ33" s="1164">
        <v>3.5</v>
      </c>
      <c r="DR33" s="1164">
        <v>3.4</v>
      </c>
      <c r="DS33" s="1169">
        <v>3.48</v>
      </c>
      <c r="DT33" s="1164">
        <v>3.19</v>
      </c>
      <c r="DU33" s="1134">
        <f t="shared" si="13"/>
        <v>3.3925000000000001</v>
      </c>
      <c r="DV33" s="1165">
        <v>73.099999999999994</v>
      </c>
      <c r="DW33" s="1165">
        <v>72.400000000000006</v>
      </c>
      <c r="DX33" s="1165">
        <v>71.7</v>
      </c>
      <c r="DY33" s="1165">
        <v>72</v>
      </c>
      <c r="DZ33" s="1165">
        <v>72.099999999999994</v>
      </c>
      <c r="EA33" s="1165">
        <v>72.3</v>
      </c>
      <c r="EB33" s="1165">
        <v>71.8</v>
      </c>
      <c r="EC33" s="1165">
        <v>72.2</v>
      </c>
      <c r="ED33" s="1164">
        <v>20.399999999999999</v>
      </c>
      <c r="EE33" s="1164">
        <v>20.100000000000001</v>
      </c>
      <c r="EF33" s="1164">
        <v>20.5</v>
      </c>
      <c r="EG33" s="1164">
        <v>20.3</v>
      </c>
      <c r="EH33" s="1164">
        <v>11.9</v>
      </c>
      <c r="EI33" s="1164">
        <v>11.7</v>
      </c>
      <c r="EJ33" s="1164">
        <v>11.9</v>
      </c>
      <c r="EK33" s="1164">
        <v>11.7</v>
      </c>
      <c r="EL33" s="1164">
        <v>85.1</v>
      </c>
      <c r="EM33" s="1092"/>
      <c r="EN33" s="1164">
        <v>83.7</v>
      </c>
      <c r="EO33" s="1092"/>
      <c r="EP33" s="1164">
        <v>85.8</v>
      </c>
      <c r="EQ33" s="1092"/>
      <c r="ER33" s="1164">
        <v>80.400000000000006</v>
      </c>
      <c r="ES33" s="1092"/>
      <c r="ET33" s="1164">
        <v>40.799999999999997</v>
      </c>
      <c r="EU33" s="1092"/>
      <c r="EV33" s="1164">
        <v>41</v>
      </c>
      <c r="EW33" s="1092"/>
      <c r="EX33" s="1164">
        <v>41</v>
      </c>
      <c r="EY33" s="1092"/>
      <c r="EZ33" s="1164">
        <v>41.2</v>
      </c>
      <c r="FA33" s="1092"/>
      <c r="FB33" s="1164">
        <v>31</v>
      </c>
      <c r="FC33" s="1164">
        <v>17</v>
      </c>
      <c r="FD33" s="1164">
        <v>31</v>
      </c>
      <c r="FE33" s="1164">
        <v>33</v>
      </c>
      <c r="FF33" s="1164">
        <v>31</v>
      </c>
      <c r="FG33" s="1164">
        <v>36</v>
      </c>
      <c r="FH33" s="1164">
        <v>33</v>
      </c>
      <c r="FI33" s="1164">
        <v>19</v>
      </c>
      <c r="FJ33" s="1164"/>
      <c r="FK33" s="1164"/>
      <c r="FL33" s="1164"/>
      <c r="FM33" s="1164"/>
      <c r="FN33" s="1164"/>
      <c r="FO33" s="1164"/>
      <c r="FP33" s="1164"/>
      <c r="FQ33" s="1164"/>
      <c r="FR33" s="1137">
        <f t="shared" si="14"/>
        <v>31.283333333333335</v>
      </c>
      <c r="FS33" s="1092"/>
      <c r="FT33" s="1136">
        <f t="shared" si="15"/>
        <v>31.55</v>
      </c>
      <c r="FU33" s="1092"/>
      <c r="FV33" s="1136">
        <f t="shared" si="16"/>
        <v>31.6</v>
      </c>
      <c r="FW33" s="1092"/>
      <c r="FX33" s="1136">
        <f t="shared" si="17"/>
        <v>33.31666666666667</v>
      </c>
      <c r="FY33" s="1092"/>
      <c r="FZ33" s="1125">
        <v>52</v>
      </c>
      <c r="GA33" s="1138">
        <v>1.5</v>
      </c>
      <c r="GB33" s="1125" t="s">
        <v>62</v>
      </c>
      <c r="GC33" s="1092"/>
      <c r="GD33" s="1139"/>
      <c r="GE33" s="1135"/>
      <c r="GF33" s="1140"/>
      <c r="GG33" s="1140"/>
      <c r="GH33" s="1103" t="s">
        <v>583</v>
      </c>
      <c r="GI33" s="1098" t="s">
        <v>584</v>
      </c>
      <c r="GJ33" s="1098" t="s">
        <v>585</v>
      </c>
      <c r="GK33" s="1076" t="s">
        <v>213</v>
      </c>
    </row>
    <row r="34" spans="2:193" ht="30" customHeight="1">
      <c r="B34" s="1104" t="s">
        <v>583</v>
      </c>
      <c r="C34" s="1105"/>
      <c r="D34" s="1105"/>
      <c r="E34" s="1106"/>
      <c r="F34" s="1107"/>
      <c r="G34" s="1108"/>
      <c r="H34" s="807"/>
      <c r="I34" s="1438"/>
      <c r="J34" s="1109">
        <v>2</v>
      </c>
      <c r="K34" s="1089" t="s">
        <v>1709</v>
      </c>
      <c r="L34" s="1089" t="s">
        <v>1723</v>
      </c>
      <c r="M34" s="1087">
        <v>46079</v>
      </c>
      <c r="N34" s="1145">
        <v>3</v>
      </c>
      <c r="O34" s="1146" t="s">
        <v>1041</v>
      </c>
      <c r="P34" s="1090" t="s">
        <v>1740</v>
      </c>
      <c r="Q34" s="1080" t="s">
        <v>1717</v>
      </c>
      <c r="R34" s="1148" t="s">
        <v>1753</v>
      </c>
      <c r="S34" s="1080">
        <f t="shared" si="20"/>
        <v>76</v>
      </c>
      <c r="T34" s="1080"/>
      <c r="U34" s="1080">
        <v>73.599999999999994</v>
      </c>
      <c r="V34" s="1080">
        <v>73.400000000000006</v>
      </c>
      <c r="W34" s="1145">
        <v>73.8</v>
      </c>
      <c r="X34" s="1145">
        <v>73.599999999999994</v>
      </c>
      <c r="Y34" s="1150"/>
      <c r="Z34" s="1150"/>
      <c r="AA34" s="1150"/>
      <c r="AB34" s="1150"/>
      <c r="AC34" s="851">
        <v>73.400000000000006</v>
      </c>
      <c r="AD34" s="851">
        <v>73.3</v>
      </c>
      <c r="AE34" s="851">
        <v>73.7</v>
      </c>
      <c r="AF34" s="851">
        <v>73.5</v>
      </c>
      <c r="AG34" s="1115"/>
      <c r="AH34" s="1115"/>
      <c r="AI34" s="1115"/>
      <c r="AJ34" s="1115"/>
      <c r="AK34" s="1088">
        <f>150.9+151.4</f>
        <v>302.3</v>
      </c>
      <c r="AL34" s="1110">
        <v>299</v>
      </c>
      <c r="AM34" s="1110" t="s">
        <v>1728</v>
      </c>
      <c r="AN34" s="1117">
        <f t="shared" si="0"/>
        <v>101.10367892976588</v>
      </c>
      <c r="AO34" s="1088">
        <v>5.01</v>
      </c>
      <c r="AP34" s="1088">
        <v>4.9800000000000004</v>
      </c>
      <c r="AQ34" s="1150"/>
      <c r="AR34" s="1150"/>
      <c r="AS34" s="1118">
        <f t="shared" si="1"/>
        <v>4.9950000000000001</v>
      </c>
      <c r="AT34" s="1124">
        <v>25.7</v>
      </c>
      <c r="AU34" s="1124">
        <v>22.3</v>
      </c>
      <c r="AV34" s="1150"/>
      <c r="AW34" s="1150"/>
      <c r="AX34" s="1124">
        <v>13.8</v>
      </c>
      <c r="AY34" s="1151">
        <v>13.6</v>
      </c>
      <c r="AZ34" s="1150"/>
      <c r="BA34" s="1150"/>
      <c r="BB34" s="1124">
        <v>85.6</v>
      </c>
      <c r="BC34" s="1124">
        <v>84.5</v>
      </c>
      <c r="BD34" s="1124">
        <v>86.5</v>
      </c>
      <c r="BE34" s="1124"/>
      <c r="BF34" s="1150"/>
      <c r="BG34" s="1150"/>
      <c r="BH34" s="1150"/>
      <c r="BI34" s="1150"/>
      <c r="BJ34" s="1124">
        <v>38.9</v>
      </c>
      <c r="BK34" s="1124">
        <v>38</v>
      </c>
      <c r="BL34" s="1124">
        <v>39.700000000000003</v>
      </c>
      <c r="BM34" s="1124"/>
      <c r="BN34" s="1150"/>
      <c r="BO34" s="1150"/>
      <c r="BP34" s="1150"/>
      <c r="BQ34" s="1150"/>
      <c r="BR34" s="1145">
        <v>15</v>
      </c>
      <c r="BS34" s="1145">
        <v>30</v>
      </c>
      <c r="BT34" s="1145">
        <v>5</v>
      </c>
      <c r="BU34" s="1145">
        <v>0</v>
      </c>
      <c r="BV34" s="1145">
        <v>16</v>
      </c>
      <c r="BW34" s="1145">
        <v>44</v>
      </c>
      <c r="BX34" s="1145"/>
      <c r="BY34" s="1145"/>
      <c r="BZ34" s="1150"/>
      <c r="CA34" s="1150"/>
      <c r="CB34" s="1150"/>
      <c r="CC34" s="1150"/>
      <c r="CD34" s="1121">
        <f t="shared" si="2"/>
        <v>15.5</v>
      </c>
      <c r="CE34" s="1117">
        <f t="shared" si="3"/>
        <v>5</v>
      </c>
      <c r="CF34" s="1117">
        <f t="shared" si="4"/>
        <v>16.733333333333334</v>
      </c>
      <c r="CG34" s="1117">
        <f t="shared" si="5"/>
        <v>0</v>
      </c>
      <c r="CH34" s="1150"/>
      <c r="CI34" s="1150"/>
      <c r="CJ34" s="1150"/>
      <c r="CK34" s="1150"/>
      <c r="CL34" s="1155">
        <v>52</v>
      </c>
      <c r="CM34" s="1156">
        <v>1.5</v>
      </c>
      <c r="CN34" s="1152" t="s">
        <v>1723</v>
      </c>
      <c r="CO34" s="1153">
        <v>46080</v>
      </c>
      <c r="CP34" s="1090" t="s">
        <v>1547</v>
      </c>
      <c r="CQ34" s="1116">
        <v>318.3</v>
      </c>
      <c r="CR34" s="1119">
        <v>315</v>
      </c>
      <c r="CS34" s="1159" t="s">
        <v>1729</v>
      </c>
      <c r="CT34" s="1152">
        <f t="shared" si="18"/>
        <v>101.04761904761905</v>
      </c>
      <c r="CU34" s="1116">
        <v>4.74</v>
      </c>
      <c r="CV34" s="1032" t="s">
        <v>62</v>
      </c>
      <c r="CW34" s="1128" t="s">
        <v>1730</v>
      </c>
      <c r="CX34" s="1126" t="s">
        <v>1723</v>
      </c>
      <c r="CY34" s="1127" t="s">
        <v>1721</v>
      </c>
      <c r="CZ34" s="773">
        <v>3</v>
      </c>
      <c r="DA34" s="1125" t="s">
        <v>932</v>
      </c>
      <c r="DB34" s="1125" t="s">
        <v>1746</v>
      </c>
      <c r="DC34" s="1125" t="s">
        <v>1717</v>
      </c>
      <c r="DD34" s="1125">
        <f t="shared" si="19"/>
        <v>200</v>
      </c>
      <c r="DE34" s="1125">
        <v>71.099999999999994</v>
      </c>
      <c r="DF34" s="1125">
        <v>71.5</v>
      </c>
      <c r="DG34" s="1125">
        <v>71.2</v>
      </c>
      <c r="DH34" s="1125">
        <v>71.400000000000006</v>
      </c>
      <c r="DI34" s="1125">
        <v>71.3</v>
      </c>
      <c r="DJ34" s="1164">
        <v>71.2</v>
      </c>
      <c r="DK34" s="1164">
        <v>71.5</v>
      </c>
      <c r="DL34" s="1164">
        <v>72.2</v>
      </c>
      <c r="DM34" s="1165">
        <f>134.62+133.58+133.96+138.41</f>
        <v>540.57000000000005</v>
      </c>
      <c r="DN34" s="1130">
        <v>531.53</v>
      </c>
      <c r="DO34" s="1131" t="s">
        <v>1734</v>
      </c>
      <c r="DP34" s="1132">
        <f t="shared" si="12"/>
        <v>101.70075066317989</v>
      </c>
      <c r="DQ34" s="1164">
        <v>3.17</v>
      </c>
      <c r="DR34" s="1164">
        <v>3.49</v>
      </c>
      <c r="DS34" s="1169">
        <v>3.46</v>
      </c>
      <c r="DT34" s="1164">
        <v>3.44</v>
      </c>
      <c r="DU34" s="1134">
        <f t="shared" si="13"/>
        <v>3.39</v>
      </c>
      <c r="DV34" s="1165">
        <v>70.900000000000006</v>
      </c>
      <c r="DW34" s="1165">
        <v>71.3</v>
      </c>
      <c r="DX34" s="1165">
        <v>71</v>
      </c>
      <c r="DY34" s="1165">
        <v>71.2</v>
      </c>
      <c r="DZ34" s="1165">
        <v>71.099999999999994</v>
      </c>
      <c r="EA34" s="1165">
        <v>70.900000000000006</v>
      </c>
      <c r="EB34" s="1165">
        <v>71.7</v>
      </c>
      <c r="EC34" s="1165">
        <v>72</v>
      </c>
      <c r="ED34" s="1164">
        <v>20</v>
      </c>
      <c r="EE34" s="1164">
        <v>20</v>
      </c>
      <c r="EF34" s="1164">
        <v>20.100000000000001</v>
      </c>
      <c r="EG34" s="1164">
        <v>20.3</v>
      </c>
      <c r="EH34" s="1164">
        <v>11.3</v>
      </c>
      <c r="EI34" s="1164">
        <v>11.2</v>
      </c>
      <c r="EJ34" s="1164">
        <v>11.3</v>
      </c>
      <c r="EK34" s="1164">
        <v>11.8</v>
      </c>
      <c r="EL34" s="1164">
        <v>84.5</v>
      </c>
      <c r="EM34" s="1092"/>
      <c r="EN34" s="1164">
        <v>81.3</v>
      </c>
      <c r="EO34" s="1092"/>
      <c r="EP34" s="1164">
        <v>85.5</v>
      </c>
      <c r="EQ34" s="1092"/>
      <c r="ER34" s="1164">
        <v>78.900000000000006</v>
      </c>
      <c r="ES34" s="1092"/>
      <c r="ET34" s="1164">
        <v>41</v>
      </c>
      <c r="EU34" s="1092"/>
      <c r="EV34" s="1164">
        <v>40.5</v>
      </c>
      <c r="EW34" s="1092"/>
      <c r="EX34" s="1164">
        <v>40.799999999999997</v>
      </c>
      <c r="EY34" s="1092"/>
      <c r="EZ34" s="1164">
        <v>39.9</v>
      </c>
      <c r="FA34" s="1092"/>
      <c r="FB34" s="1164">
        <v>32</v>
      </c>
      <c r="FC34" s="1164">
        <v>42</v>
      </c>
      <c r="FD34" s="1164">
        <v>31</v>
      </c>
      <c r="FE34" s="1164">
        <v>50</v>
      </c>
      <c r="FF34" s="1164">
        <v>32</v>
      </c>
      <c r="FG34" s="1164">
        <v>16</v>
      </c>
      <c r="FH34" s="1164">
        <v>34</v>
      </c>
      <c r="FI34" s="1164">
        <v>35</v>
      </c>
      <c r="FJ34" s="1164"/>
      <c r="FK34" s="1164"/>
      <c r="FL34" s="1164"/>
      <c r="FM34" s="1164"/>
      <c r="FN34" s="1164"/>
      <c r="FO34" s="1164"/>
      <c r="FP34" s="1164"/>
      <c r="FQ34" s="1164"/>
      <c r="FR34" s="1137">
        <f t="shared" si="14"/>
        <v>32.700000000000003</v>
      </c>
      <c r="FS34" s="1092"/>
      <c r="FT34" s="1136">
        <f t="shared" si="15"/>
        <v>31.833333333333332</v>
      </c>
      <c r="FU34" s="1092"/>
      <c r="FV34" s="1136">
        <f t="shared" si="16"/>
        <v>32.266666666666666</v>
      </c>
      <c r="FW34" s="1092"/>
      <c r="FX34" s="1136">
        <f t="shared" si="17"/>
        <v>34.583333333333336</v>
      </c>
      <c r="FY34" s="1092"/>
      <c r="FZ34" s="1125">
        <v>52</v>
      </c>
      <c r="GA34" s="1138">
        <v>1.5</v>
      </c>
      <c r="GB34" s="1125" t="s">
        <v>62</v>
      </c>
      <c r="GC34" s="1092"/>
      <c r="GD34" s="1139"/>
      <c r="GE34" s="1135"/>
      <c r="GF34" s="1140"/>
      <c r="GG34" s="1140"/>
      <c r="GH34" s="1103" t="s">
        <v>583</v>
      </c>
      <c r="GI34" s="1098" t="s">
        <v>584</v>
      </c>
      <c r="GJ34" s="1098" t="s">
        <v>585</v>
      </c>
      <c r="GK34" s="1076" t="s">
        <v>213</v>
      </c>
    </row>
    <row r="35" spans="2:193" ht="26.25" customHeight="1">
      <c r="B35" s="1103" t="s">
        <v>583</v>
      </c>
      <c r="C35" s="1098"/>
      <c r="D35" s="1098"/>
      <c r="E35" s="1076"/>
      <c r="F35" s="856"/>
      <c r="G35" s="936"/>
      <c r="H35" s="3"/>
      <c r="I35" s="1469"/>
      <c r="J35" s="1144">
        <v>3</v>
      </c>
      <c r="K35" s="1089" t="s">
        <v>1709</v>
      </c>
      <c r="L35" s="1089" t="s">
        <v>1723</v>
      </c>
      <c r="M35" s="1087">
        <v>46079</v>
      </c>
      <c r="N35" s="1145">
        <v>3</v>
      </c>
      <c r="O35" s="1146" t="s">
        <v>1041</v>
      </c>
      <c r="P35" s="1090" t="s">
        <v>1724</v>
      </c>
      <c r="Q35" s="1080" t="s">
        <v>1717</v>
      </c>
      <c r="R35" s="1148" t="s">
        <v>1753</v>
      </c>
      <c r="S35" s="1080">
        <f t="shared" si="20"/>
        <v>76</v>
      </c>
      <c r="T35" s="1080"/>
      <c r="U35" s="1080">
        <v>73.5</v>
      </c>
      <c r="V35" s="1080">
        <v>73.3</v>
      </c>
      <c r="W35" s="1145">
        <v>73.7</v>
      </c>
      <c r="X35" s="1145">
        <v>73.400000000000006</v>
      </c>
      <c r="Y35" s="1150"/>
      <c r="Z35" s="1150"/>
      <c r="AA35" s="1150"/>
      <c r="AB35" s="1150"/>
      <c r="AC35" s="851">
        <v>73.2</v>
      </c>
      <c r="AD35" s="851">
        <v>73</v>
      </c>
      <c r="AE35" s="851">
        <v>73.599999999999994</v>
      </c>
      <c r="AF35" s="851">
        <v>73.2</v>
      </c>
      <c r="AG35" s="1115"/>
      <c r="AH35" s="1115"/>
      <c r="AI35" s="1115"/>
      <c r="AJ35" s="1115"/>
      <c r="AK35" s="1088">
        <f>153.1+154.43</f>
        <v>307.52999999999997</v>
      </c>
      <c r="AL35" s="1110">
        <v>299</v>
      </c>
      <c r="AM35" s="1110" t="s">
        <v>1728</v>
      </c>
      <c r="AN35" s="1117">
        <f t="shared" si="0"/>
        <v>102.85284280936453</v>
      </c>
      <c r="AO35" s="1088">
        <v>4.88</v>
      </c>
      <c r="AP35" s="1088">
        <v>4.92</v>
      </c>
      <c r="AQ35" s="1150"/>
      <c r="AR35" s="1150"/>
      <c r="AS35" s="1118">
        <f t="shared" si="1"/>
        <v>4.9000000000000004</v>
      </c>
      <c r="AT35" s="1124">
        <v>23.4</v>
      </c>
      <c r="AU35" s="1124">
        <v>23.8</v>
      </c>
      <c r="AV35" s="1150"/>
      <c r="AW35" s="1150"/>
      <c r="AX35" s="1124">
        <v>14</v>
      </c>
      <c r="AY35" s="1151">
        <v>14.6</v>
      </c>
      <c r="AZ35" s="1150"/>
      <c r="BA35" s="1150"/>
      <c r="BB35" s="1124">
        <v>77.900000000000006</v>
      </c>
      <c r="BC35" s="1124">
        <v>87</v>
      </c>
      <c r="BD35" s="1124">
        <v>76.7</v>
      </c>
      <c r="BE35" s="1124">
        <v>86.2</v>
      </c>
      <c r="BF35" s="1150"/>
      <c r="BG35" s="1150"/>
      <c r="BH35" s="1150"/>
      <c r="BI35" s="1150"/>
      <c r="BJ35" s="1124">
        <v>36.5</v>
      </c>
      <c r="BK35" s="1124">
        <v>39.200000000000003</v>
      </c>
      <c r="BL35" s="1124">
        <v>36.6</v>
      </c>
      <c r="BM35" s="1124">
        <v>39.9</v>
      </c>
      <c r="BN35" s="1150"/>
      <c r="BO35" s="1150"/>
      <c r="BP35" s="1150"/>
      <c r="BQ35" s="1150"/>
      <c r="BR35" s="1145">
        <v>25</v>
      </c>
      <c r="BS35" s="1145">
        <v>10</v>
      </c>
      <c r="BT35" s="1145">
        <v>10</v>
      </c>
      <c r="BU35" s="1145">
        <v>5</v>
      </c>
      <c r="BV35" s="1145">
        <v>20</v>
      </c>
      <c r="BW35" s="1145">
        <v>10</v>
      </c>
      <c r="BX35" s="1145">
        <v>8</v>
      </c>
      <c r="BY35" s="1145">
        <v>10</v>
      </c>
      <c r="BZ35" s="1150"/>
      <c r="CA35" s="1150"/>
      <c r="CB35" s="1150"/>
      <c r="CC35" s="1150"/>
      <c r="CD35" s="1121">
        <f t="shared" si="2"/>
        <v>25.166666666666668</v>
      </c>
      <c r="CE35" s="1117">
        <f t="shared" si="3"/>
        <v>10.083333333333334</v>
      </c>
      <c r="CF35" s="1117">
        <f t="shared" si="4"/>
        <v>20.166666666666668</v>
      </c>
      <c r="CG35" s="1117">
        <f t="shared" si="5"/>
        <v>8.1666666666666661</v>
      </c>
      <c r="CH35" s="1150"/>
      <c r="CI35" s="1150"/>
      <c r="CJ35" s="1150"/>
      <c r="CK35" s="1150"/>
      <c r="CL35" s="1155">
        <v>52</v>
      </c>
      <c r="CM35" s="1156">
        <v>1.5</v>
      </c>
      <c r="CN35" s="1152" t="s">
        <v>1723</v>
      </c>
      <c r="CO35" s="1153">
        <v>46080</v>
      </c>
      <c r="CP35" s="1090" t="s">
        <v>1547</v>
      </c>
      <c r="CQ35" s="1116">
        <v>323.10000000000002</v>
      </c>
      <c r="CR35" s="1119">
        <v>315</v>
      </c>
      <c r="CS35" s="1159" t="s">
        <v>1729</v>
      </c>
      <c r="CT35" s="1152">
        <f t="shared" si="18"/>
        <v>102.57142857142858</v>
      </c>
      <c r="CU35" s="1116">
        <v>4.97</v>
      </c>
      <c r="CV35" s="1032" t="s">
        <v>62</v>
      </c>
      <c r="CW35" s="1128" t="s">
        <v>1730</v>
      </c>
      <c r="CX35" s="1126" t="s">
        <v>1723</v>
      </c>
      <c r="CY35" s="1127">
        <v>46080</v>
      </c>
      <c r="CZ35" s="773">
        <v>1</v>
      </c>
      <c r="DA35" s="1125" t="s">
        <v>932</v>
      </c>
      <c r="DB35" s="1125" t="s">
        <v>1743</v>
      </c>
      <c r="DC35" s="1125" t="s">
        <v>1717</v>
      </c>
      <c r="DD35" s="1125">
        <f t="shared" si="19"/>
        <v>200</v>
      </c>
      <c r="DE35" s="1125">
        <v>71.900000000000006</v>
      </c>
      <c r="DF35" s="1125">
        <v>71.7</v>
      </c>
      <c r="DG35" s="1125">
        <v>72.099999999999994</v>
      </c>
      <c r="DH35" s="1125">
        <v>71</v>
      </c>
      <c r="DI35" s="1125">
        <v>71.5</v>
      </c>
      <c r="DJ35" s="1164">
        <v>71.8</v>
      </c>
      <c r="DK35" s="1164">
        <v>71.3</v>
      </c>
      <c r="DL35" s="1164">
        <v>71.7</v>
      </c>
      <c r="DM35" s="1165">
        <f>133.54+133.3+134.89+138.88</f>
        <v>540.61</v>
      </c>
      <c r="DN35" s="1130">
        <v>531.53</v>
      </c>
      <c r="DO35" s="1131" t="s">
        <v>1734</v>
      </c>
      <c r="DP35" s="1132">
        <f t="shared" si="12"/>
        <v>101.70827610859219</v>
      </c>
      <c r="DQ35" s="1164">
        <v>3.42</v>
      </c>
      <c r="DR35" s="1164">
        <v>3.4</v>
      </c>
      <c r="DS35" s="1169">
        <v>3.39</v>
      </c>
      <c r="DT35" s="1164">
        <v>3.44</v>
      </c>
      <c r="DU35" s="1134">
        <f t="shared" si="13"/>
        <v>3.4125000000000001</v>
      </c>
      <c r="DV35" s="1165">
        <v>71.7</v>
      </c>
      <c r="DW35" s="1165">
        <v>71.599999999999994</v>
      </c>
      <c r="DX35" s="1165">
        <v>71.900000000000006</v>
      </c>
      <c r="DY35" s="1165">
        <v>71</v>
      </c>
      <c r="DZ35" s="1165">
        <v>71.3</v>
      </c>
      <c r="EA35" s="1165">
        <v>71.7</v>
      </c>
      <c r="EB35" s="1165">
        <v>71.099999999999994</v>
      </c>
      <c r="EC35" s="1165">
        <v>71.599999999999994</v>
      </c>
      <c r="ED35" s="1164">
        <v>18.399999999999999</v>
      </c>
      <c r="EE35" s="1164">
        <v>18.7</v>
      </c>
      <c r="EF35" s="1164">
        <v>18.5</v>
      </c>
      <c r="EG35" s="1164">
        <v>18.7</v>
      </c>
      <c r="EH35" s="1164">
        <v>9.8000000000000007</v>
      </c>
      <c r="EI35" s="1164">
        <v>11.4</v>
      </c>
      <c r="EJ35" s="1164">
        <v>10.6</v>
      </c>
      <c r="EK35" s="1164">
        <v>11.3</v>
      </c>
      <c r="EL35" s="1164">
        <v>79.8</v>
      </c>
      <c r="EM35" s="1092"/>
      <c r="EN35" s="1164">
        <v>79.099999999999994</v>
      </c>
      <c r="EO35" s="1092"/>
      <c r="EP35" s="1164">
        <v>79.5</v>
      </c>
      <c r="EQ35" s="1092"/>
      <c r="ER35" s="1164">
        <v>80</v>
      </c>
      <c r="ES35" s="1092"/>
      <c r="ET35" s="1164">
        <v>39.9</v>
      </c>
      <c r="EU35" s="1092"/>
      <c r="EV35" s="1164">
        <v>39.799999999999997</v>
      </c>
      <c r="EW35" s="1092"/>
      <c r="EX35" s="1164">
        <v>39.700000000000003</v>
      </c>
      <c r="EY35" s="1092"/>
      <c r="EZ35" s="1164">
        <v>40.200000000000003</v>
      </c>
      <c r="FA35" s="1092"/>
      <c r="FB35" s="1164">
        <v>34</v>
      </c>
      <c r="FC35" s="1164">
        <v>1</v>
      </c>
      <c r="FD35" s="1164">
        <v>34</v>
      </c>
      <c r="FE35" s="1164">
        <v>48</v>
      </c>
      <c r="FF35" s="1164">
        <v>34</v>
      </c>
      <c r="FG35" s="1164">
        <v>53</v>
      </c>
      <c r="FH35" s="1164">
        <v>35</v>
      </c>
      <c r="FI35" s="1164">
        <v>19</v>
      </c>
      <c r="FJ35" s="1164"/>
      <c r="FK35" s="1164"/>
      <c r="FL35" s="1164"/>
      <c r="FM35" s="1164"/>
      <c r="FN35" s="1164"/>
      <c r="FO35" s="1164"/>
      <c r="FP35" s="1164"/>
      <c r="FQ35" s="1164"/>
      <c r="FR35" s="1137">
        <f t="shared" si="14"/>
        <v>34.016666666666666</v>
      </c>
      <c r="FS35" s="1092"/>
      <c r="FT35" s="1136">
        <f t="shared" si="15"/>
        <v>34.799999999999997</v>
      </c>
      <c r="FU35" s="1092"/>
      <c r="FV35" s="1136">
        <f t="shared" si="16"/>
        <v>34.883333333333333</v>
      </c>
      <c r="FW35" s="1092"/>
      <c r="FX35" s="1136">
        <f t="shared" si="17"/>
        <v>35.31666666666667</v>
      </c>
      <c r="FY35" s="1092"/>
      <c r="FZ35" s="1125">
        <v>52</v>
      </c>
      <c r="GA35" s="1138">
        <v>1.5</v>
      </c>
      <c r="GB35" s="1125" t="s">
        <v>62</v>
      </c>
      <c r="GC35" s="1092"/>
      <c r="GD35" s="1139"/>
      <c r="GE35" s="1135"/>
      <c r="GF35" s="1140"/>
      <c r="GG35" s="1140"/>
      <c r="GH35" s="1103" t="s">
        <v>583</v>
      </c>
      <c r="GI35" s="1098" t="s">
        <v>584</v>
      </c>
      <c r="GJ35" s="1098" t="s">
        <v>585</v>
      </c>
      <c r="GK35" s="1076" t="s">
        <v>213</v>
      </c>
    </row>
    <row r="36" spans="2:193">
      <c r="B36" s="1103" t="s">
        <v>583</v>
      </c>
      <c r="C36" s="1098"/>
      <c r="D36" s="1098"/>
      <c r="E36" s="1076"/>
      <c r="F36" s="856"/>
      <c r="G36" s="936"/>
      <c r="H36" s="3"/>
      <c r="I36" s="1469"/>
      <c r="J36" s="1144">
        <v>4</v>
      </c>
      <c r="K36" s="1089" t="s">
        <v>1709</v>
      </c>
      <c r="L36" s="1089" t="s">
        <v>1723</v>
      </c>
      <c r="M36" s="1087">
        <v>46080</v>
      </c>
      <c r="N36" s="1145">
        <v>1</v>
      </c>
      <c r="O36" s="1146" t="s">
        <v>1041</v>
      </c>
      <c r="P36" s="1090" t="s">
        <v>1725</v>
      </c>
      <c r="Q36" s="1080" t="s">
        <v>1717</v>
      </c>
      <c r="R36" s="1147" t="s">
        <v>1745</v>
      </c>
      <c r="S36" s="1080">
        <f t="shared" si="20"/>
        <v>76</v>
      </c>
      <c r="T36" s="1080"/>
      <c r="U36" s="1080">
        <v>74</v>
      </c>
      <c r="V36" s="1080">
        <v>75.900000000000006</v>
      </c>
      <c r="W36" s="1145">
        <v>73.7</v>
      </c>
      <c r="X36" s="1145">
        <v>75</v>
      </c>
      <c r="Y36" s="1150"/>
      <c r="Z36" s="1150"/>
      <c r="AA36" s="1150"/>
      <c r="AB36" s="1150"/>
      <c r="AC36" s="851">
        <v>73.7</v>
      </c>
      <c r="AD36" s="851">
        <v>75.7</v>
      </c>
      <c r="AE36" s="851">
        <v>73.599999999999994</v>
      </c>
      <c r="AF36" s="851">
        <v>74.2</v>
      </c>
      <c r="AG36" s="1115"/>
      <c r="AH36" s="1115"/>
      <c r="AI36" s="1115"/>
      <c r="AJ36" s="1115"/>
      <c r="AK36" s="1088">
        <f>150.93+153.27</f>
        <v>304.20000000000005</v>
      </c>
      <c r="AL36" s="1110">
        <v>299</v>
      </c>
      <c r="AM36" s="1110" t="s">
        <v>1728</v>
      </c>
      <c r="AN36" s="1117">
        <f t="shared" si="0"/>
        <v>101.73913043478262</v>
      </c>
      <c r="AO36" s="1088">
        <v>4.7300000000000004</v>
      </c>
      <c r="AP36" s="1088">
        <v>5.05</v>
      </c>
      <c r="AQ36" s="1150"/>
      <c r="AR36" s="1150"/>
      <c r="AS36" s="1118">
        <f t="shared" si="1"/>
        <v>4.8900000000000006</v>
      </c>
      <c r="AT36" s="1124">
        <v>20.8</v>
      </c>
      <c r="AU36" s="1124">
        <v>21.5</v>
      </c>
      <c r="AV36" s="1150"/>
      <c r="AW36" s="1150"/>
      <c r="AX36" s="1124">
        <v>11.6</v>
      </c>
      <c r="AY36" s="1151">
        <v>12.2</v>
      </c>
      <c r="AZ36" s="1150"/>
      <c r="BA36" s="1150"/>
      <c r="BB36" s="1124">
        <v>86.2</v>
      </c>
      <c r="BC36" s="1124">
        <v>78.8</v>
      </c>
      <c r="BD36" s="1124">
        <v>77.7</v>
      </c>
      <c r="BE36" s="1124">
        <v>84.7</v>
      </c>
      <c r="BF36" s="1150"/>
      <c r="BG36" s="1150"/>
      <c r="BH36" s="1150"/>
      <c r="BI36" s="1150"/>
      <c r="BJ36" s="1124">
        <v>39.9</v>
      </c>
      <c r="BK36" s="1124">
        <v>37.6</v>
      </c>
      <c r="BL36" s="1124">
        <v>39.200000000000003</v>
      </c>
      <c r="BM36" s="1124">
        <v>39.200000000000003</v>
      </c>
      <c r="BN36" s="1150"/>
      <c r="BO36" s="1150"/>
      <c r="BP36" s="1150"/>
      <c r="BQ36" s="1150"/>
      <c r="BR36" s="1145">
        <v>25</v>
      </c>
      <c r="BS36" s="1145">
        <v>10</v>
      </c>
      <c r="BT36" s="1145">
        <v>8</v>
      </c>
      <c r="BU36" s="1145">
        <v>5</v>
      </c>
      <c r="BV36" s="1145">
        <v>19</v>
      </c>
      <c r="BW36" s="1145">
        <v>10</v>
      </c>
      <c r="BX36" s="1145">
        <v>8</v>
      </c>
      <c r="BY36" s="1145">
        <v>0</v>
      </c>
      <c r="BZ36" s="1150"/>
      <c r="CA36" s="1150"/>
      <c r="CB36" s="1150"/>
      <c r="CC36" s="1150"/>
      <c r="CD36" s="1121">
        <f t="shared" si="2"/>
        <v>25.166666666666668</v>
      </c>
      <c r="CE36" s="1117">
        <f t="shared" si="3"/>
        <v>8.0833333333333339</v>
      </c>
      <c r="CF36" s="1117">
        <f t="shared" si="4"/>
        <v>19.166666666666668</v>
      </c>
      <c r="CG36" s="1117">
        <f t="shared" si="5"/>
        <v>8</v>
      </c>
      <c r="CH36" s="1150"/>
      <c r="CI36" s="1150"/>
      <c r="CJ36" s="1150"/>
      <c r="CK36" s="1150"/>
      <c r="CL36" s="1155">
        <v>52</v>
      </c>
      <c r="CM36" s="1156">
        <v>1.5</v>
      </c>
      <c r="CN36" s="1152" t="s">
        <v>1723</v>
      </c>
      <c r="CO36" s="1153">
        <v>46080</v>
      </c>
      <c r="CP36" s="1090" t="s">
        <v>1547</v>
      </c>
      <c r="CQ36" s="1116">
        <v>320.3</v>
      </c>
      <c r="CR36" s="1119">
        <v>315</v>
      </c>
      <c r="CS36" s="1159" t="s">
        <v>1729</v>
      </c>
      <c r="CT36" s="1152">
        <f t="shared" si="18"/>
        <v>101.68253968253968</v>
      </c>
      <c r="CU36" s="1116">
        <v>4.7300000000000004</v>
      </c>
      <c r="CV36" s="1032" t="s">
        <v>62</v>
      </c>
      <c r="CW36" s="1128" t="s">
        <v>1730</v>
      </c>
      <c r="CX36" s="1126" t="s">
        <v>1723</v>
      </c>
      <c r="CY36" s="1127">
        <v>46080</v>
      </c>
      <c r="CZ36" s="773">
        <v>2</v>
      </c>
      <c r="DA36" s="1125" t="s">
        <v>932</v>
      </c>
      <c r="DB36" s="1125" t="s">
        <v>1746</v>
      </c>
      <c r="DC36" s="1125" t="s">
        <v>1717</v>
      </c>
      <c r="DD36" s="1125">
        <f t="shared" si="19"/>
        <v>200</v>
      </c>
      <c r="DE36" s="1125">
        <v>71.8</v>
      </c>
      <c r="DF36" s="1125">
        <v>72</v>
      </c>
      <c r="DG36" s="1125">
        <v>72.2</v>
      </c>
      <c r="DH36" s="1125">
        <v>72.5</v>
      </c>
      <c r="DI36" s="1125">
        <v>72.5</v>
      </c>
      <c r="DJ36" s="1164">
        <v>72.8</v>
      </c>
      <c r="DK36" s="1164">
        <v>71.599999999999994</v>
      </c>
      <c r="DL36" s="1164">
        <v>71.400000000000006</v>
      </c>
      <c r="DM36" s="1165">
        <f>130.83+130.21+131.81+138.25</f>
        <v>531.1</v>
      </c>
      <c r="DN36" s="1130">
        <v>531.53</v>
      </c>
      <c r="DO36" s="1131" t="s">
        <v>1734</v>
      </c>
      <c r="DP36" s="1132">
        <f t="shared" si="12"/>
        <v>99.919101461817789</v>
      </c>
      <c r="DQ36" s="1164">
        <v>3.46</v>
      </c>
      <c r="DR36" s="1164">
        <v>3.22</v>
      </c>
      <c r="DS36" s="1169">
        <v>3.38</v>
      </c>
      <c r="DT36" s="1164">
        <v>3.45</v>
      </c>
      <c r="DU36" s="1134">
        <f t="shared" si="13"/>
        <v>3.3774999999999995</v>
      </c>
      <c r="DV36" s="1165">
        <v>71.5</v>
      </c>
      <c r="DW36" s="1165">
        <v>71.599999999999994</v>
      </c>
      <c r="DX36" s="1165">
        <v>72</v>
      </c>
      <c r="DY36" s="1165">
        <v>72.099999999999994</v>
      </c>
      <c r="DZ36" s="1165">
        <v>72.2</v>
      </c>
      <c r="EA36" s="1165">
        <v>72.400000000000006</v>
      </c>
      <c r="EB36" s="1165">
        <v>71.3</v>
      </c>
      <c r="EC36" s="1165">
        <v>71.099999999999994</v>
      </c>
      <c r="ED36" s="1164">
        <v>18.899999999999999</v>
      </c>
      <c r="EE36" s="1164">
        <v>18.7</v>
      </c>
      <c r="EF36" s="1164">
        <v>18.399999999999999</v>
      </c>
      <c r="EG36" s="1164">
        <v>18.8</v>
      </c>
      <c r="EH36" s="1164">
        <v>11.3</v>
      </c>
      <c r="EI36" s="1164">
        <v>11.1</v>
      </c>
      <c r="EJ36" s="1164">
        <v>10.9</v>
      </c>
      <c r="EK36" s="1164">
        <v>11</v>
      </c>
      <c r="EL36" s="1164">
        <v>84.2</v>
      </c>
      <c r="EM36" s="1092"/>
      <c r="EN36" s="1164">
        <v>80.400000000000006</v>
      </c>
      <c r="EO36" s="1092"/>
      <c r="EP36" s="1164">
        <v>79.8</v>
      </c>
      <c r="EQ36" s="1092"/>
      <c r="ER36" s="1164">
        <v>84.3</v>
      </c>
      <c r="ES36" s="1092"/>
      <c r="ET36" s="1164">
        <v>39.799999999999997</v>
      </c>
      <c r="EU36" s="1092"/>
      <c r="EV36" s="1164">
        <v>40.299999999999997</v>
      </c>
      <c r="EW36" s="1092"/>
      <c r="EX36" s="1164">
        <v>39.700000000000003</v>
      </c>
      <c r="EY36" s="1092"/>
      <c r="EZ36" s="1164">
        <v>39.9</v>
      </c>
      <c r="FA36" s="1092"/>
      <c r="FB36" s="1164">
        <v>35</v>
      </c>
      <c r="FC36" s="1164">
        <v>58</v>
      </c>
      <c r="FD36" s="1164">
        <v>37</v>
      </c>
      <c r="FE36" s="1164">
        <v>11</v>
      </c>
      <c r="FF36" s="1164">
        <v>36</v>
      </c>
      <c r="FG36" s="1164">
        <v>42</v>
      </c>
      <c r="FH36" s="1164">
        <v>35</v>
      </c>
      <c r="FI36" s="1164">
        <v>31</v>
      </c>
      <c r="FJ36" s="1164"/>
      <c r="FK36" s="1164"/>
      <c r="FL36" s="1164"/>
      <c r="FM36" s="1164"/>
      <c r="FN36" s="1164"/>
      <c r="FO36" s="1164"/>
      <c r="FP36" s="1164"/>
      <c r="FQ36" s="1164"/>
      <c r="FR36" s="1137">
        <f t="shared" si="14"/>
        <v>35.966666666666669</v>
      </c>
      <c r="FS36" s="1092"/>
      <c r="FT36" s="1136">
        <f t="shared" si="15"/>
        <v>37.18333333333333</v>
      </c>
      <c r="FU36" s="1092"/>
      <c r="FV36" s="1136">
        <f t="shared" si="16"/>
        <v>36.700000000000003</v>
      </c>
      <c r="FW36" s="1092"/>
      <c r="FX36" s="1136">
        <f t="shared" si="17"/>
        <v>35.516666666666666</v>
      </c>
      <c r="FY36" s="1092"/>
      <c r="FZ36" s="1125">
        <v>52</v>
      </c>
      <c r="GA36" s="1138">
        <v>1.5</v>
      </c>
      <c r="GB36" s="1125" t="s">
        <v>62</v>
      </c>
      <c r="GC36" s="1092"/>
      <c r="GD36" s="1139"/>
      <c r="GE36" s="1135"/>
      <c r="GF36" s="1140"/>
      <c r="GG36" s="1140"/>
      <c r="GH36" s="1103" t="s">
        <v>583</v>
      </c>
      <c r="GI36" s="1098" t="s">
        <v>584</v>
      </c>
      <c r="GJ36" s="1098" t="s">
        <v>585</v>
      </c>
      <c r="GK36" s="1076" t="s">
        <v>213</v>
      </c>
    </row>
    <row r="37" spans="2:193">
      <c r="B37" s="1103" t="s">
        <v>583</v>
      </c>
      <c r="C37" s="1098"/>
      <c r="D37" s="1098"/>
      <c r="E37" s="1076"/>
      <c r="F37" s="856"/>
      <c r="G37" s="936"/>
      <c r="H37" s="3"/>
      <c r="I37" s="1469"/>
      <c r="J37" s="1144">
        <v>5</v>
      </c>
      <c r="K37" s="1089" t="s">
        <v>1709</v>
      </c>
      <c r="L37" s="1089" t="s">
        <v>1723</v>
      </c>
      <c r="M37" s="1087">
        <v>46080</v>
      </c>
      <c r="N37" s="1145">
        <v>1</v>
      </c>
      <c r="O37" s="1146" t="s">
        <v>1041</v>
      </c>
      <c r="P37" s="1090" t="s">
        <v>1749</v>
      </c>
      <c r="Q37" s="1080" t="s">
        <v>1717</v>
      </c>
      <c r="R37" s="1147" t="s">
        <v>1745</v>
      </c>
      <c r="S37" s="1080">
        <f t="shared" si="20"/>
        <v>76</v>
      </c>
      <c r="T37" s="1080"/>
      <c r="U37" s="1080">
        <v>74.900000000000006</v>
      </c>
      <c r="V37" s="1080">
        <v>74.400000000000006</v>
      </c>
      <c r="W37" s="1145">
        <v>74.400000000000006</v>
      </c>
      <c r="X37" s="1145">
        <v>74</v>
      </c>
      <c r="Y37" s="1150"/>
      <c r="Z37" s="1150"/>
      <c r="AA37" s="1150"/>
      <c r="AB37" s="1150"/>
      <c r="AC37" s="851">
        <v>74.5</v>
      </c>
      <c r="AD37" s="851">
        <v>74</v>
      </c>
      <c r="AE37" s="851">
        <v>74.099999999999994</v>
      </c>
      <c r="AF37" s="851">
        <v>73.5</v>
      </c>
      <c r="AG37" s="1115"/>
      <c r="AH37" s="1115"/>
      <c r="AI37" s="1115"/>
      <c r="AJ37" s="1115"/>
      <c r="AK37" s="1088">
        <f>151.66+154.85</f>
        <v>306.51</v>
      </c>
      <c r="AL37" s="1110">
        <v>299</v>
      </c>
      <c r="AM37" s="1110" t="s">
        <v>1728</v>
      </c>
      <c r="AN37" s="1117">
        <f t="shared" si="0"/>
        <v>102.51170568561874</v>
      </c>
      <c r="AO37" s="1088">
        <v>4.83</v>
      </c>
      <c r="AP37" s="1088">
        <v>5.03</v>
      </c>
      <c r="AQ37" s="1150"/>
      <c r="AR37" s="1150"/>
      <c r="AS37" s="1118">
        <f t="shared" si="1"/>
        <v>4.93</v>
      </c>
      <c r="AT37" s="1124">
        <v>21.1</v>
      </c>
      <c r="AU37" s="1124">
        <v>21</v>
      </c>
      <c r="AV37" s="1150"/>
      <c r="AW37" s="1150"/>
      <c r="AX37" s="1124">
        <v>12</v>
      </c>
      <c r="AY37" s="1151">
        <v>12.6</v>
      </c>
      <c r="AZ37" s="1150"/>
      <c r="BA37" s="1150"/>
      <c r="BB37" s="1124">
        <v>84.7</v>
      </c>
      <c r="BC37" s="1124">
        <v>77.8</v>
      </c>
      <c r="BD37" s="1124">
        <v>88</v>
      </c>
      <c r="BE37" s="1124">
        <v>76.099999999999994</v>
      </c>
      <c r="BF37" s="1150"/>
      <c r="BG37" s="1150"/>
      <c r="BH37" s="1150"/>
      <c r="BI37" s="1150"/>
      <c r="BJ37" s="1124">
        <v>39.700000000000003</v>
      </c>
      <c r="BK37" s="1124">
        <v>36</v>
      </c>
      <c r="BL37" s="1124">
        <v>40</v>
      </c>
      <c r="BM37" s="1124">
        <v>36.5</v>
      </c>
      <c r="BN37" s="1150"/>
      <c r="BO37" s="1150"/>
      <c r="BP37" s="1150"/>
      <c r="BQ37" s="1150"/>
      <c r="BR37" s="1145">
        <v>16</v>
      </c>
      <c r="BS37" s="1145">
        <v>0</v>
      </c>
      <c r="BT37" s="1145">
        <v>2</v>
      </c>
      <c r="BU37" s="1145">
        <v>0</v>
      </c>
      <c r="BV37" s="1145">
        <v>15</v>
      </c>
      <c r="BW37" s="1145">
        <v>30</v>
      </c>
      <c r="BX37" s="1145">
        <v>2</v>
      </c>
      <c r="BY37" s="1145">
        <v>1</v>
      </c>
      <c r="BZ37" s="1150"/>
      <c r="CA37" s="1150"/>
      <c r="CB37" s="1150"/>
      <c r="CC37" s="1150"/>
      <c r="CD37" s="1121">
        <f t="shared" si="2"/>
        <v>16</v>
      </c>
      <c r="CE37" s="1117">
        <f t="shared" si="3"/>
        <v>2</v>
      </c>
      <c r="CF37" s="1117">
        <f t="shared" si="4"/>
        <v>15.5</v>
      </c>
      <c r="CG37" s="1117">
        <f t="shared" si="5"/>
        <v>2.0166666666666666</v>
      </c>
      <c r="CH37" s="1150"/>
      <c r="CI37" s="1150"/>
      <c r="CJ37" s="1150"/>
      <c r="CK37" s="1150"/>
      <c r="CL37" s="1155">
        <v>52</v>
      </c>
      <c r="CM37" s="1156">
        <v>1.5</v>
      </c>
      <c r="CN37" s="1152" t="s">
        <v>1723</v>
      </c>
      <c r="CO37" s="1153">
        <v>46080</v>
      </c>
      <c r="CP37" s="1090" t="s">
        <v>1547</v>
      </c>
      <c r="CQ37" s="1116">
        <v>322.5</v>
      </c>
      <c r="CR37" s="1119">
        <v>315</v>
      </c>
      <c r="CS37" s="1159" t="s">
        <v>1729</v>
      </c>
      <c r="CT37" s="1152">
        <f t="shared" si="18"/>
        <v>102.38095238095238</v>
      </c>
      <c r="CU37" s="1116">
        <v>4.88</v>
      </c>
      <c r="CV37" s="1032" t="s">
        <v>62</v>
      </c>
      <c r="CW37" s="1128" t="s">
        <v>1730</v>
      </c>
      <c r="CX37" s="1126" t="s">
        <v>1723</v>
      </c>
      <c r="CY37" s="1127">
        <v>46080</v>
      </c>
      <c r="CZ37" s="773" t="s">
        <v>1720</v>
      </c>
      <c r="DA37" s="1125" t="s">
        <v>932</v>
      </c>
      <c r="DB37" s="1125" t="s">
        <v>1748</v>
      </c>
      <c r="DC37" s="1125" t="s">
        <v>1717</v>
      </c>
      <c r="DD37" s="1125">
        <f t="shared" si="19"/>
        <v>200</v>
      </c>
      <c r="DE37" s="1125">
        <v>72.400000000000006</v>
      </c>
      <c r="DF37" s="1125">
        <v>72.599999999999994</v>
      </c>
      <c r="DG37" s="1125">
        <v>72.2</v>
      </c>
      <c r="DH37" s="1125">
        <v>72.3</v>
      </c>
      <c r="DI37" s="1125">
        <v>72</v>
      </c>
      <c r="DJ37" s="1164">
        <v>72.2</v>
      </c>
      <c r="DK37" s="1164">
        <v>72.400000000000006</v>
      </c>
      <c r="DL37" s="1164">
        <v>72.2</v>
      </c>
      <c r="DM37" s="1165">
        <f>133.12+129.45+134.81+143.79</f>
        <v>541.16999999999996</v>
      </c>
      <c r="DN37" s="1130">
        <v>531.53</v>
      </c>
      <c r="DO37" s="1131" t="s">
        <v>1734</v>
      </c>
      <c r="DP37" s="1132">
        <f t="shared" si="12"/>
        <v>101.81363234436438</v>
      </c>
      <c r="DQ37" s="1164">
        <v>3.35</v>
      </c>
      <c r="DR37" s="1164">
        <v>3.12</v>
      </c>
      <c r="DS37" s="1169">
        <v>3.49</v>
      </c>
      <c r="DT37" s="1164">
        <v>3.38</v>
      </c>
      <c r="DU37" s="1134">
        <f t="shared" si="13"/>
        <v>3.335</v>
      </c>
      <c r="DV37" s="1165">
        <v>72.099999999999994</v>
      </c>
      <c r="DW37" s="1165">
        <v>72.3</v>
      </c>
      <c r="DX37" s="1165">
        <v>72</v>
      </c>
      <c r="DY37" s="1165">
        <v>72</v>
      </c>
      <c r="DZ37" s="1165">
        <v>71.7</v>
      </c>
      <c r="EA37" s="1165">
        <v>72</v>
      </c>
      <c r="EB37" s="1165">
        <v>72.3</v>
      </c>
      <c r="EC37" s="1165">
        <v>72</v>
      </c>
      <c r="ED37" s="1164">
        <v>18.899999999999999</v>
      </c>
      <c r="EE37" s="1164">
        <v>18.5</v>
      </c>
      <c r="EF37" s="1164">
        <v>18.3</v>
      </c>
      <c r="EG37" s="1164">
        <v>19.100000000000001</v>
      </c>
      <c r="EH37" s="1164">
        <v>11.6</v>
      </c>
      <c r="EI37" s="1164">
        <v>11.5</v>
      </c>
      <c r="EJ37" s="1164">
        <v>10.9</v>
      </c>
      <c r="EK37" s="1164">
        <v>11.7</v>
      </c>
      <c r="EL37" s="1164">
        <v>78.900000000000006</v>
      </c>
      <c r="EM37" s="1092"/>
      <c r="EN37" s="1164">
        <v>81.599999999999994</v>
      </c>
      <c r="EO37" s="1092"/>
      <c r="EP37" s="1164">
        <v>81.400000000000006</v>
      </c>
      <c r="EQ37" s="1092"/>
      <c r="ER37" s="1164">
        <v>86</v>
      </c>
      <c r="ES37" s="1092"/>
      <c r="ET37" s="1164">
        <v>39.700000000000003</v>
      </c>
      <c r="EU37" s="1092"/>
      <c r="EV37" s="1164">
        <v>40.5</v>
      </c>
      <c r="EW37" s="1092"/>
      <c r="EX37" s="1164">
        <v>39.200000000000003</v>
      </c>
      <c r="EY37" s="1092"/>
      <c r="EZ37" s="1164">
        <v>39.6</v>
      </c>
      <c r="FA37" s="1092"/>
      <c r="FB37" s="1164">
        <v>36</v>
      </c>
      <c r="FC37" s="1164">
        <v>32</v>
      </c>
      <c r="FD37" s="1164">
        <v>37</v>
      </c>
      <c r="FE37" s="1164">
        <v>21</v>
      </c>
      <c r="FF37" s="1164">
        <v>35</v>
      </c>
      <c r="FG37" s="1164">
        <v>41</v>
      </c>
      <c r="FH37" s="1164">
        <v>36</v>
      </c>
      <c r="FI37" s="1164">
        <v>6</v>
      </c>
      <c r="FJ37" s="1164"/>
      <c r="FK37" s="1164"/>
      <c r="FL37" s="1164"/>
      <c r="FM37" s="1164"/>
      <c r="FN37" s="1164"/>
      <c r="FO37" s="1164"/>
      <c r="FP37" s="1164"/>
      <c r="FQ37" s="1164"/>
      <c r="FR37" s="1137">
        <f t="shared" si="14"/>
        <v>36.533333333333331</v>
      </c>
      <c r="FS37" s="1092"/>
      <c r="FT37" s="1136">
        <f t="shared" si="15"/>
        <v>37.35</v>
      </c>
      <c r="FU37" s="1092"/>
      <c r="FV37" s="1136">
        <f t="shared" si="16"/>
        <v>35.68333333333333</v>
      </c>
      <c r="FW37" s="1092"/>
      <c r="FX37" s="1136">
        <f t="shared" si="17"/>
        <v>36.1</v>
      </c>
      <c r="FY37" s="1092"/>
      <c r="FZ37" s="1125">
        <v>52</v>
      </c>
      <c r="GA37" s="1138">
        <v>1.5</v>
      </c>
      <c r="GB37" s="1125" t="s">
        <v>62</v>
      </c>
      <c r="GC37" s="1092"/>
      <c r="GD37" s="1139"/>
      <c r="GE37" s="1135"/>
      <c r="GF37" s="1140"/>
      <c r="GG37" s="1140"/>
      <c r="GH37" s="1103" t="s">
        <v>583</v>
      </c>
      <c r="GI37" s="1098" t="s">
        <v>584</v>
      </c>
      <c r="GJ37" s="1098" t="s">
        <v>585</v>
      </c>
      <c r="GK37" s="1076" t="s">
        <v>213</v>
      </c>
    </row>
    <row r="38" spans="2:193">
      <c r="B38" s="1103" t="s">
        <v>583</v>
      </c>
      <c r="C38" s="1098"/>
      <c r="D38" s="1098"/>
      <c r="E38" s="1076"/>
      <c r="F38" s="856"/>
      <c r="G38" s="936"/>
      <c r="H38" s="3"/>
      <c r="I38" s="1469"/>
      <c r="J38" s="1144">
        <v>6</v>
      </c>
      <c r="K38" s="1089" t="s">
        <v>1709</v>
      </c>
      <c r="L38" s="1089" t="s">
        <v>1723</v>
      </c>
      <c r="M38" s="1087">
        <v>46080</v>
      </c>
      <c r="N38" s="1145">
        <v>2</v>
      </c>
      <c r="O38" s="1146" t="s">
        <v>1041</v>
      </c>
      <c r="P38" s="1090" t="s">
        <v>1750</v>
      </c>
      <c r="Q38" s="1080" t="s">
        <v>1717</v>
      </c>
      <c r="R38" s="1147" t="s">
        <v>1745</v>
      </c>
      <c r="S38" s="1080">
        <f t="shared" si="20"/>
        <v>76</v>
      </c>
      <c r="T38" s="1080"/>
      <c r="U38" s="1080">
        <v>75.599999999999994</v>
      </c>
      <c r="V38" s="1080">
        <v>74.5</v>
      </c>
      <c r="W38" s="1145">
        <v>75.3</v>
      </c>
      <c r="X38" s="1145">
        <v>75</v>
      </c>
      <c r="Y38" s="1150"/>
      <c r="Z38" s="1150"/>
      <c r="AA38" s="1150"/>
      <c r="AB38" s="1150"/>
      <c r="AC38" s="851">
        <v>75.400000000000006</v>
      </c>
      <c r="AD38" s="851">
        <v>74.099999999999994</v>
      </c>
      <c r="AE38" s="851">
        <v>75.2</v>
      </c>
      <c r="AF38" s="851">
        <v>74.7</v>
      </c>
      <c r="AG38" s="1115"/>
      <c r="AH38" s="1115"/>
      <c r="AI38" s="1115"/>
      <c r="AJ38" s="1115"/>
      <c r="AK38" s="1088">
        <f>149.66+155.63</f>
        <v>305.28999999999996</v>
      </c>
      <c r="AL38" s="1110">
        <v>299</v>
      </c>
      <c r="AM38" s="1110" t="s">
        <v>1728</v>
      </c>
      <c r="AN38" s="1117">
        <f t="shared" si="0"/>
        <v>102.10367892976589</v>
      </c>
      <c r="AO38" s="1088">
        <v>4.99</v>
      </c>
      <c r="AP38" s="1088">
        <v>5.05</v>
      </c>
      <c r="AQ38" s="1150"/>
      <c r="AR38" s="1150"/>
      <c r="AS38" s="1118">
        <f t="shared" si="1"/>
        <v>5.0199999999999996</v>
      </c>
      <c r="AT38" s="1124">
        <v>20.8</v>
      </c>
      <c r="AU38" s="1124">
        <v>20.9</v>
      </c>
      <c r="AV38" s="1150"/>
      <c r="AW38" s="1150"/>
      <c r="AX38" s="1124">
        <v>12.1</v>
      </c>
      <c r="AY38" s="1151">
        <v>11.9</v>
      </c>
      <c r="AZ38" s="1150"/>
      <c r="BA38" s="1150"/>
      <c r="BB38" s="1124">
        <v>84</v>
      </c>
      <c r="BC38" s="1124">
        <v>82.2</v>
      </c>
      <c r="BD38" s="1124">
        <v>85.6</v>
      </c>
      <c r="BE38" s="1124">
        <v>88.8</v>
      </c>
      <c r="BF38" s="1150"/>
      <c r="BG38" s="1150"/>
      <c r="BH38" s="1150"/>
      <c r="BI38" s="1150"/>
      <c r="BJ38" s="1124">
        <v>40.700000000000003</v>
      </c>
      <c r="BK38" s="1124">
        <v>37.799999999999997</v>
      </c>
      <c r="BL38" s="1124">
        <v>40.799999999999997</v>
      </c>
      <c r="BM38" s="1124">
        <v>36.4</v>
      </c>
      <c r="BN38" s="1150"/>
      <c r="BO38" s="1150"/>
      <c r="BP38" s="1150"/>
      <c r="BQ38" s="1150"/>
      <c r="BR38" s="1145">
        <v>15</v>
      </c>
      <c r="BS38" s="1145">
        <v>27</v>
      </c>
      <c r="BT38" s="1145">
        <v>3</v>
      </c>
      <c r="BU38" s="1145">
        <v>30</v>
      </c>
      <c r="BV38" s="1145">
        <v>15</v>
      </c>
      <c r="BW38" s="1145">
        <v>45</v>
      </c>
      <c r="BX38" s="1145">
        <v>4</v>
      </c>
      <c r="BY38" s="1145">
        <v>0</v>
      </c>
      <c r="BZ38" s="1150"/>
      <c r="CA38" s="1150"/>
      <c r="CB38" s="1150"/>
      <c r="CC38" s="1150"/>
      <c r="CD38" s="1121">
        <f t="shared" si="2"/>
        <v>15.45</v>
      </c>
      <c r="CE38" s="1117">
        <f t="shared" si="3"/>
        <v>3.5</v>
      </c>
      <c r="CF38" s="1117">
        <f t="shared" si="4"/>
        <v>15.75</v>
      </c>
      <c r="CG38" s="1117">
        <f t="shared" si="5"/>
        <v>4</v>
      </c>
      <c r="CH38" s="1150"/>
      <c r="CI38" s="1150"/>
      <c r="CJ38" s="1150"/>
      <c r="CK38" s="1150"/>
      <c r="CL38" s="1155">
        <v>52</v>
      </c>
      <c r="CM38" s="1156">
        <v>1.5</v>
      </c>
      <c r="CN38" s="1152" t="s">
        <v>1723</v>
      </c>
      <c r="CO38" s="1153">
        <v>46080</v>
      </c>
      <c r="CP38" s="1090" t="s">
        <v>1547</v>
      </c>
      <c r="CQ38" s="1116">
        <v>321.3</v>
      </c>
      <c r="CR38" s="1119">
        <v>315</v>
      </c>
      <c r="CS38" s="1159" t="s">
        <v>1729</v>
      </c>
      <c r="CT38" s="1152">
        <f t="shared" si="18"/>
        <v>102</v>
      </c>
      <c r="CU38" s="1116">
        <v>4.01</v>
      </c>
      <c r="CV38" s="1032" t="s">
        <v>62</v>
      </c>
      <c r="CW38" s="1128" t="s">
        <v>1730</v>
      </c>
      <c r="CX38" s="1126" t="s">
        <v>1723</v>
      </c>
      <c r="CY38" s="1127">
        <v>46080</v>
      </c>
      <c r="CZ38" s="773">
        <v>3</v>
      </c>
      <c r="DA38" s="1125" t="s">
        <v>932</v>
      </c>
      <c r="DB38" s="1125" t="s">
        <v>1743</v>
      </c>
      <c r="DC38" s="1125" t="s">
        <v>1717</v>
      </c>
      <c r="DD38" s="1125">
        <f t="shared" si="19"/>
        <v>200</v>
      </c>
      <c r="DE38" s="1125">
        <v>71.900000000000006</v>
      </c>
      <c r="DF38" s="1125">
        <v>72.2</v>
      </c>
      <c r="DG38" s="1125">
        <v>71.3</v>
      </c>
      <c r="DH38" s="1125">
        <v>71.2</v>
      </c>
      <c r="DI38" s="1125">
        <v>71.7</v>
      </c>
      <c r="DJ38" s="1164">
        <v>72.2</v>
      </c>
      <c r="DK38" s="1164">
        <v>72.3</v>
      </c>
      <c r="DL38" s="1164">
        <v>72.7</v>
      </c>
      <c r="DM38" s="1165">
        <f>135.47+133.71+138.36+136.03</f>
        <v>543.57000000000005</v>
      </c>
      <c r="DN38" s="1130">
        <v>531.53</v>
      </c>
      <c r="DO38" s="1131" t="s">
        <v>1734</v>
      </c>
      <c r="DP38" s="1132">
        <f t="shared" si="12"/>
        <v>102.26515906910241</v>
      </c>
      <c r="DQ38" s="1164">
        <v>3.32</v>
      </c>
      <c r="DR38" s="1164">
        <v>3.12</v>
      </c>
      <c r="DS38" s="1169">
        <v>3.28</v>
      </c>
      <c r="DT38" s="1164">
        <v>3.42</v>
      </c>
      <c r="DU38" s="1134">
        <f t="shared" si="13"/>
        <v>3.2849999999999997</v>
      </c>
      <c r="DV38" s="1165">
        <v>71.7</v>
      </c>
      <c r="DW38" s="1165">
        <v>72.099999999999994</v>
      </c>
      <c r="DX38" s="1165">
        <v>71.099999999999994</v>
      </c>
      <c r="DY38" s="1165">
        <v>71</v>
      </c>
      <c r="DZ38" s="1165">
        <v>71.5</v>
      </c>
      <c r="EA38" s="1165">
        <v>72</v>
      </c>
      <c r="EB38" s="1165">
        <v>72.099999999999994</v>
      </c>
      <c r="EC38" s="1165">
        <v>72.5</v>
      </c>
      <c r="ED38" s="1164">
        <v>18.899999999999999</v>
      </c>
      <c r="EE38" s="1164">
        <v>18.8</v>
      </c>
      <c r="EF38" s="1164">
        <v>19</v>
      </c>
      <c r="EG38" s="1164">
        <v>19.100000000000001</v>
      </c>
      <c r="EH38" s="1164">
        <v>11.5</v>
      </c>
      <c r="EI38" s="1164">
        <v>11.3</v>
      </c>
      <c r="EJ38" s="1164">
        <v>11.6</v>
      </c>
      <c r="EK38" s="1164">
        <v>11.8</v>
      </c>
      <c r="EL38" s="1164">
        <v>81.8</v>
      </c>
      <c r="EM38" s="1092"/>
      <c r="EN38" s="1164">
        <v>83.3</v>
      </c>
      <c r="EO38" s="1092"/>
      <c r="EP38" s="1164">
        <v>85.5</v>
      </c>
      <c r="EQ38" s="1092"/>
      <c r="ER38" s="1164">
        <v>81.3</v>
      </c>
      <c r="ES38" s="1092"/>
      <c r="ET38" s="1164">
        <v>39.799999999999997</v>
      </c>
      <c r="EU38" s="1092"/>
      <c r="EV38" s="1164">
        <v>39.5</v>
      </c>
      <c r="EW38" s="1092"/>
      <c r="EX38" s="1164">
        <v>40</v>
      </c>
      <c r="EY38" s="1092"/>
      <c r="EZ38" s="1164">
        <v>39.799999999999997</v>
      </c>
      <c r="FA38" s="1092"/>
      <c r="FB38" s="1164">
        <v>35</v>
      </c>
      <c r="FC38" s="1164">
        <v>28</v>
      </c>
      <c r="FD38" s="1164">
        <v>37</v>
      </c>
      <c r="FE38" s="1164">
        <v>14</v>
      </c>
      <c r="FF38" s="1164">
        <v>36</v>
      </c>
      <c r="FG38" s="1164">
        <v>31</v>
      </c>
      <c r="FH38" s="1164">
        <v>36</v>
      </c>
      <c r="FI38" s="1164">
        <v>20</v>
      </c>
      <c r="FJ38" s="1164"/>
      <c r="FK38" s="1164"/>
      <c r="FL38" s="1164"/>
      <c r="FM38" s="1164"/>
      <c r="FN38" s="1164"/>
      <c r="FO38" s="1164"/>
      <c r="FP38" s="1164"/>
      <c r="FQ38" s="1164"/>
      <c r="FR38" s="1137">
        <f t="shared" si="14"/>
        <v>35.466666666666669</v>
      </c>
      <c r="FS38" s="1092"/>
      <c r="FT38" s="1136">
        <f t="shared" si="15"/>
        <v>37.233333333333334</v>
      </c>
      <c r="FU38" s="1092"/>
      <c r="FV38" s="1136">
        <f t="shared" si="16"/>
        <v>36.516666666666666</v>
      </c>
      <c r="FW38" s="1092"/>
      <c r="FX38" s="1136">
        <f t="shared" si="17"/>
        <v>36.333333333333336</v>
      </c>
      <c r="FY38" s="1092"/>
      <c r="FZ38" s="1125">
        <v>52</v>
      </c>
      <c r="GA38" s="1138">
        <v>1.5</v>
      </c>
      <c r="GB38" s="1125" t="s">
        <v>62</v>
      </c>
      <c r="GC38" s="1092"/>
      <c r="GD38" s="1139"/>
      <c r="GE38" s="1135"/>
      <c r="GF38" s="1140"/>
      <c r="GG38" s="1140"/>
      <c r="GH38" s="1103" t="s">
        <v>583</v>
      </c>
      <c r="GI38" s="1098" t="s">
        <v>584</v>
      </c>
      <c r="GJ38" s="1098" t="s">
        <v>585</v>
      </c>
      <c r="GK38" s="1076" t="s">
        <v>213</v>
      </c>
    </row>
    <row r="39" spans="2:193">
      <c r="B39" s="1104" t="s">
        <v>583</v>
      </c>
      <c r="C39" s="1105"/>
      <c r="D39" s="1105"/>
      <c r="E39" s="1106"/>
      <c r="F39" s="1107"/>
      <c r="G39" s="1108"/>
      <c r="H39" s="807"/>
      <c r="I39" s="1438"/>
      <c r="J39" s="1109">
        <v>7</v>
      </c>
      <c r="K39" s="1089" t="s">
        <v>1709</v>
      </c>
      <c r="L39" s="1089" t="s">
        <v>1723</v>
      </c>
      <c r="M39" s="1087">
        <v>46080</v>
      </c>
      <c r="N39" s="1145">
        <v>1</v>
      </c>
      <c r="O39" s="1146" t="s">
        <v>1041</v>
      </c>
      <c r="P39" s="1090" t="s">
        <v>1727</v>
      </c>
      <c r="Q39" s="1080" t="s">
        <v>1717</v>
      </c>
      <c r="R39" s="1147" t="s">
        <v>1745</v>
      </c>
      <c r="S39" s="1080">
        <f t="shared" si="20"/>
        <v>76</v>
      </c>
      <c r="T39" s="1080"/>
      <c r="U39" s="1080">
        <v>74.099999999999994</v>
      </c>
      <c r="V39" s="1080">
        <v>73.900000000000006</v>
      </c>
      <c r="W39" s="1145">
        <v>73.599999999999994</v>
      </c>
      <c r="X39" s="1145">
        <v>73.400000000000006</v>
      </c>
      <c r="Y39" s="1150"/>
      <c r="Z39" s="1150"/>
      <c r="AA39" s="1150"/>
      <c r="AB39" s="1150"/>
      <c r="AC39" s="851">
        <v>74</v>
      </c>
      <c r="AD39" s="851">
        <v>73.400000000000006</v>
      </c>
      <c r="AE39" s="851">
        <v>73.400000000000006</v>
      </c>
      <c r="AF39" s="851">
        <v>73.2</v>
      </c>
      <c r="AG39" s="1115"/>
      <c r="AH39" s="1115"/>
      <c r="AI39" s="1115"/>
      <c r="AJ39" s="1115"/>
      <c r="AK39" s="1088">
        <f>150.05+153.3</f>
        <v>303.35000000000002</v>
      </c>
      <c r="AL39" s="1110">
        <v>299</v>
      </c>
      <c r="AM39" s="1110" t="s">
        <v>1728</v>
      </c>
      <c r="AN39" s="1117">
        <f t="shared" si="0"/>
        <v>101.45484949832777</v>
      </c>
      <c r="AO39" s="1088">
        <v>5.07</v>
      </c>
      <c r="AP39" s="1088">
        <v>4.83</v>
      </c>
      <c r="AQ39" s="1150"/>
      <c r="AR39" s="1150"/>
      <c r="AS39" s="1118">
        <f t="shared" si="1"/>
        <v>4.95</v>
      </c>
      <c r="AT39" s="1124">
        <v>22.4</v>
      </c>
      <c r="AU39" s="1124">
        <v>23</v>
      </c>
      <c r="AV39" s="1150"/>
      <c r="AW39" s="1150"/>
      <c r="AX39" s="1124">
        <v>12.4</v>
      </c>
      <c r="AY39" s="1151">
        <v>12.8</v>
      </c>
      <c r="AZ39" s="1150"/>
      <c r="BA39" s="1150"/>
      <c r="BB39" s="1124">
        <v>84.7</v>
      </c>
      <c r="BC39" s="1124">
        <v>83.2</v>
      </c>
      <c r="BD39" s="1124">
        <v>85</v>
      </c>
      <c r="BE39" s="1124">
        <v>84.3</v>
      </c>
      <c r="BF39" s="1150"/>
      <c r="BG39" s="1150"/>
      <c r="BH39" s="1150"/>
      <c r="BI39" s="1150"/>
      <c r="BJ39" s="1124">
        <v>39.6</v>
      </c>
      <c r="BK39" s="1124">
        <v>38.700000000000003</v>
      </c>
      <c r="BL39" s="1124">
        <v>39.799999999999997</v>
      </c>
      <c r="BM39" s="1124">
        <v>39.1</v>
      </c>
      <c r="BN39" s="1150"/>
      <c r="BO39" s="1150"/>
      <c r="BP39" s="1150"/>
      <c r="BQ39" s="1150"/>
      <c r="BR39" s="1145">
        <v>15</v>
      </c>
      <c r="BS39" s="1145">
        <v>27</v>
      </c>
      <c r="BT39" s="1145">
        <v>3</v>
      </c>
      <c r="BU39" s="1145">
        <v>30</v>
      </c>
      <c r="BV39" s="1145">
        <v>15</v>
      </c>
      <c r="BW39" s="1145">
        <v>45</v>
      </c>
      <c r="BX39" s="1145">
        <v>4</v>
      </c>
      <c r="BY39" s="1145">
        <v>0</v>
      </c>
      <c r="BZ39" s="1150"/>
      <c r="CA39" s="1150"/>
      <c r="CB39" s="1150"/>
      <c r="CC39" s="1150"/>
      <c r="CD39" s="1121">
        <f t="shared" si="2"/>
        <v>15.45</v>
      </c>
      <c r="CE39" s="1117">
        <f t="shared" si="3"/>
        <v>3.5</v>
      </c>
      <c r="CF39" s="1117">
        <f t="shared" si="4"/>
        <v>15.75</v>
      </c>
      <c r="CG39" s="1117">
        <f t="shared" si="5"/>
        <v>4</v>
      </c>
      <c r="CH39" s="1150"/>
      <c r="CI39" s="1150"/>
      <c r="CJ39" s="1150"/>
      <c r="CK39" s="1150"/>
      <c r="CL39" s="1155">
        <v>52</v>
      </c>
      <c r="CM39" s="1156">
        <v>1.5</v>
      </c>
      <c r="CN39" s="1152" t="s">
        <v>1716</v>
      </c>
      <c r="CO39" s="1153">
        <v>46083</v>
      </c>
      <c r="CP39" s="1090" t="s">
        <v>1547</v>
      </c>
      <c r="CQ39" s="1116">
        <v>319.3</v>
      </c>
      <c r="CR39" s="1119">
        <v>315</v>
      </c>
      <c r="CS39" s="1159" t="s">
        <v>1729</v>
      </c>
      <c r="CT39" s="1152">
        <f t="shared" si="18"/>
        <v>101.36507936507937</v>
      </c>
      <c r="CU39" s="1116"/>
      <c r="CV39" s="1032" t="s">
        <v>62</v>
      </c>
      <c r="CW39" s="1128" t="s">
        <v>1730</v>
      </c>
      <c r="CX39" s="1126" t="s">
        <v>1716</v>
      </c>
      <c r="CY39" s="1127">
        <v>46083</v>
      </c>
      <c r="CZ39" s="773">
        <v>1</v>
      </c>
      <c r="DA39" s="1125" t="s">
        <v>932</v>
      </c>
      <c r="DB39" s="1125" t="s">
        <v>1743</v>
      </c>
      <c r="DC39" s="1125" t="s">
        <v>1717</v>
      </c>
      <c r="DD39" s="1125">
        <f t="shared" si="19"/>
        <v>200</v>
      </c>
      <c r="DE39" s="1125">
        <v>71.5</v>
      </c>
      <c r="DF39" s="1125">
        <v>71.8</v>
      </c>
      <c r="DG39" s="1125">
        <v>71.400000000000006</v>
      </c>
      <c r="DH39" s="1125">
        <v>71.599999999999994</v>
      </c>
      <c r="DI39" s="1125">
        <v>71.2</v>
      </c>
      <c r="DJ39" s="1164">
        <v>71.599999999999994</v>
      </c>
      <c r="DK39" s="1164">
        <v>72</v>
      </c>
      <c r="DL39" s="1164">
        <v>71.8</v>
      </c>
      <c r="DM39" s="1165">
        <v>541.1</v>
      </c>
      <c r="DN39" s="1130">
        <v>531.53</v>
      </c>
      <c r="DO39" s="1131" t="s">
        <v>1734</v>
      </c>
      <c r="DP39" s="1132">
        <f t="shared" si="12"/>
        <v>101.80046281489285</v>
      </c>
      <c r="DQ39" s="1164">
        <v>3.4</v>
      </c>
      <c r="DR39" s="1164">
        <v>3.27</v>
      </c>
      <c r="DS39" s="1169">
        <v>3.32</v>
      </c>
      <c r="DT39" s="1164">
        <v>3.44</v>
      </c>
      <c r="DU39" s="1134">
        <f t="shared" si="13"/>
        <v>3.3574999999999999</v>
      </c>
      <c r="DV39" s="1165">
        <v>71.3</v>
      </c>
      <c r="DW39" s="1165">
        <v>71.599999999999994</v>
      </c>
      <c r="DX39" s="1165">
        <v>71.2</v>
      </c>
      <c r="DY39" s="1165">
        <v>71.400000000000006</v>
      </c>
      <c r="DZ39" s="1165">
        <v>71</v>
      </c>
      <c r="EA39" s="1165">
        <v>71.400000000000006</v>
      </c>
      <c r="EB39" s="1165">
        <v>71.8</v>
      </c>
      <c r="EC39" s="1165">
        <v>71.599999999999994</v>
      </c>
      <c r="ED39" s="1164">
        <v>18.5</v>
      </c>
      <c r="EE39" s="1164">
        <v>18.7</v>
      </c>
      <c r="EF39" s="1164">
        <v>18.899999999999999</v>
      </c>
      <c r="EG39" s="1164">
        <v>18.7</v>
      </c>
      <c r="EH39" s="1164">
        <v>10.6</v>
      </c>
      <c r="EI39" s="1164">
        <v>11.1</v>
      </c>
      <c r="EJ39" s="1164">
        <v>11.4</v>
      </c>
      <c r="EK39" s="1164">
        <v>11.6</v>
      </c>
      <c r="EL39" s="1164">
        <v>82.9</v>
      </c>
      <c r="EM39" s="1092"/>
      <c r="EN39" s="1164">
        <v>83.8</v>
      </c>
      <c r="EO39" s="1092"/>
      <c r="EP39" s="1164">
        <v>82.8</v>
      </c>
      <c r="EQ39" s="1092"/>
      <c r="ER39" s="1164">
        <v>82.6</v>
      </c>
      <c r="ES39" s="1092"/>
      <c r="ET39" s="1164">
        <v>39.799999999999997</v>
      </c>
      <c r="EU39" s="1092"/>
      <c r="EV39" s="1164">
        <v>40</v>
      </c>
      <c r="EW39" s="1092"/>
      <c r="EX39" s="1164">
        <v>40.200000000000003</v>
      </c>
      <c r="EY39" s="1092"/>
      <c r="EZ39" s="1164">
        <v>39.9</v>
      </c>
      <c r="FA39" s="1092"/>
      <c r="FB39" s="1164">
        <v>33</v>
      </c>
      <c r="FC39" s="1164">
        <v>20</v>
      </c>
      <c r="FD39" s="1164">
        <v>34</v>
      </c>
      <c r="FE39" s="1164">
        <v>40</v>
      </c>
      <c r="FF39" s="1164">
        <v>35</v>
      </c>
      <c r="FG39" s="1164">
        <v>0</v>
      </c>
      <c r="FH39" s="1164">
        <v>34</v>
      </c>
      <c r="FI39" s="1164">
        <v>17</v>
      </c>
      <c r="FJ39" s="1164"/>
      <c r="FK39" s="1164"/>
      <c r="FL39" s="1164"/>
      <c r="FM39" s="1164"/>
      <c r="FN39" s="1164"/>
      <c r="FO39" s="1164"/>
      <c r="FP39" s="1164"/>
      <c r="FQ39" s="1164"/>
      <c r="FR39" s="1137">
        <f t="shared" si="14"/>
        <v>33.333333333333336</v>
      </c>
      <c r="FS39" s="1092"/>
      <c r="FT39" s="1136">
        <f t="shared" si="15"/>
        <v>34.666666666666664</v>
      </c>
      <c r="FU39" s="1092"/>
      <c r="FV39" s="1136">
        <f t="shared" si="16"/>
        <v>35</v>
      </c>
      <c r="FW39" s="1092"/>
      <c r="FX39" s="1136">
        <f t="shared" si="17"/>
        <v>34.283333333333331</v>
      </c>
      <c r="FY39" s="1092"/>
      <c r="FZ39" s="1125">
        <v>52</v>
      </c>
      <c r="GA39" s="1138">
        <v>1.5</v>
      </c>
      <c r="GB39" s="1125" t="s">
        <v>62</v>
      </c>
      <c r="GC39" s="1092"/>
      <c r="GD39" s="1139"/>
      <c r="GE39" s="1135"/>
      <c r="GF39" s="1140"/>
      <c r="GG39" s="1140"/>
      <c r="GH39" s="1103" t="s">
        <v>583</v>
      </c>
      <c r="GI39" s="1098" t="s">
        <v>584</v>
      </c>
      <c r="GJ39" s="1098" t="s">
        <v>585</v>
      </c>
      <c r="GK39" s="1076" t="s">
        <v>213</v>
      </c>
    </row>
    <row r="40" spans="2:193">
      <c r="B40" s="1103" t="s">
        <v>583</v>
      </c>
      <c r="C40" s="1098"/>
      <c r="D40" s="1098"/>
      <c r="E40" s="1076"/>
      <c r="F40" s="856"/>
      <c r="G40" s="936"/>
      <c r="H40" s="3"/>
      <c r="I40" s="1469"/>
      <c r="J40" s="1144">
        <v>8</v>
      </c>
      <c r="K40" s="1089" t="s">
        <v>1709</v>
      </c>
      <c r="L40" s="1089" t="s">
        <v>1716</v>
      </c>
      <c r="M40" s="1087">
        <v>46083</v>
      </c>
      <c r="N40" s="1145">
        <v>1</v>
      </c>
      <c r="O40" s="1146" t="s">
        <v>1041</v>
      </c>
      <c r="P40" s="1090" t="s">
        <v>1727</v>
      </c>
      <c r="Q40" s="1080" t="s">
        <v>1717</v>
      </c>
      <c r="R40" s="1147" t="s">
        <v>1745</v>
      </c>
      <c r="S40" s="1080">
        <f t="shared" si="20"/>
        <v>76</v>
      </c>
      <c r="T40" s="1080"/>
      <c r="U40" s="1080">
        <v>73.5</v>
      </c>
      <c r="V40" s="1080">
        <v>74</v>
      </c>
      <c r="W40" s="1145">
        <v>74</v>
      </c>
      <c r="X40" s="1145">
        <v>74.2</v>
      </c>
      <c r="Y40" s="1150"/>
      <c r="Z40" s="1150"/>
      <c r="AA40" s="1150"/>
      <c r="AB40" s="1150"/>
      <c r="AC40" s="851">
        <v>73.099999999999994</v>
      </c>
      <c r="AD40" s="851">
        <v>73.8</v>
      </c>
      <c r="AE40" s="851">
        <v>73.8</v>
      </c>
      <c r="AF40" s="851">
        <v>74</v>
      </c>
      <c r="AG40" s="1115"/>
      <c r="AH40" s="1115"/>
      <c r="AI40" s="1115"/>
      <c r="AJ40" s="1115"/>
      <c r="AK40" s="1088">
        <f>150.6+155.59</f>
        <v>306.19</v>
      </c>
      <c r="AL40" s="1110">
        <v>299</v>
      </c>
      <c r="AM40" s="1110" t="s">
        <v>1728</v>
      </c>
      <c r="AN40" s="1117">
        <f t="shared" si="0"/>
        <v>102.40468227424748</v>
      </c>
      <c r="AO40" s="1088">
        <v>5.04</v>
      </c>
      <c r="AP40" s="1088">
        <v>4.8899999999999997</v>
      </c>
      <c r="AQ40" s="1150"/>
      <c r="AR40" s="1150"/>
      <c r="AS40" s="1118">
        <f t="shared" si="1"/>
        <v>4.9649999999999999</v>
      </c>
      <c r="AT40" s="1124">
        <v>20.8</v>
      </c>
      <c r="AU40" s="1124">
        <v>20.9</v>
      </c>
      <c r="AV40" s="1150"/>
      <c r="AW40" s="1150"/>
      <c r="AX40" s="1124">
        <v>11.7</v>
      </c>
      <c r="AY40" s="1151">
        <v>11.7</v>
      </c>
      <c r="AZ40" s="1150"/>
      <c r="BA40" s="1150"/>
      <c r="BB40" s="1124">
        <v>82.9</v>
      </c>
      <c r="BC40" s="1124">
        <v>80.8</v>
      </c>
      <c r="BD40" s="1124">
        <v>82.5</v>
      </c>
      <c r="BE40" s="1124">
        <v>81.400000000000006</v>
      </c>
      <c r="BF40" s="1150"/>
      <c r="BG40" s="1150"/>
      <c r="BH40" s="1150"/>
      <c r="BI40" s="1150"/>
      <c r="BJ40" s="1124">
        <v>40</v>
      </c>
      <c r="BK40" s="1124">
        <v>38.4</v>
      </c>
      <c r="BL40" s="1124">
        <v>39.799999999999997</v>
      </c>
      <c r="BM40" s="1124">
        <v>38.5</v>
      </c>
      <c r="BN40" s="1150"/>
      <c r="BO40" s="1150"/>
      <c r="BP40" s="1150"/>
      <c r="BQ40" s="1150"/>
      <c r="BR40" s="1145">
        <v>16</v>
      </c>
      <c r="BS40" s="1145">
        <v>1</v>
      </c>
      <c r="BT40" s="1145">
        <v>2</v>
      </c>
      <c r="BU40" s="1145">
        <v>0</v>
      </c>
      <c r="BV40" s="1145">
        <v>16</v>
      </c>
      <c r="BW40" s="1145">
        <v>35</v>
      </c>
      <c r="BX40" s="1145">
        <v>1</v>
      </c>
      <c r="BY40" s="1145">
        <v>45</v>
      </c>
      <c r="BZ40" s="1150"/>
      <c r="CA40" s="1150"/>
      <c r="CB40" s="1150"/>
      <c r="CC40" s="1150"/>
      <c r="CD40" s="1121">
        <f t="shared" si="2"/>
        <v>16.016666666666666</v>
      </c>
      <c r="CE40" s="1117">
        <f t="shared" si="3"/>
        <v>2</v>
      </c>
      <c r="CF40" s="1117">
        <f t="shared" si="4"/>
        <v>16.583333333333332</v>
      </c>
      <c r="CG40" s="1117">
        <f t="shared" si="5"/>
        <v>1.75</v>
      </c>
      <c r="CH40" s="1150"/>
      <c r="CI40" s="1150"/>
      <c r="CJ40" s="1150"/>
      <c r="CK40" s="1150"/>
      <c r="CL40" s="1155">
        <v>52</v>
      </c>
      <c r="CM40" s="1156">
        <v>1.5</v>
      </c>
      <c r="CN40" s="1152" t="s">
        <v>1716</v>
      </c>
      <c r="CO40" s="1153">
        <v>46083</v>
      </c>
      <c r="CP40" s="1090" t="s">
        <v>1547</v>
      </c>
      <c r="CQ40" s="1116">
        <v>322.3</v>
      </c>
      <c r="CR40" s="1119">
        <v>315</v>
      </c>
      <c r="CS40" s="1159" t="s">
        <v>1729</v>
      </c>
      <c r="CT40" s="1152">
        <f t="shared" si="18"/>
        <v>102.31746031746032</v>
      </c>
      <c r="CU40" s="1116"/>
      <c r="CV40" s="1032" t="s">
        <v>62</v>
      </c>
      <c r="CW40" s="1128" t="s">
        <v>1730</v>
      </c>
      <c r="CX40" s="1126" t="s">
        <v>1716</v>
      </c>
      <c r="CY40" s="1127">
        <v>46083</v>
      </c>
      <c r="CZ40" s="773" t="s">
        <v>1714</v>
      </c>
      <c r="DA40" s="1125" t="s">
        <v>932</v>
      </c>
      <c r="DB40" s="1125" t="s">
        <v>1746</v>
      </c>
      <c r="DC40" s="1125" t="s">
        <v>1717</v>
      </c>
      <c r="DD40" s="1125">
        <f t="shared" si="19"/>
        <v>200</v>
      </c>
      <c r="DE40" s="1125">
        <v>71.400000000000006</v>
      </c>
      <c r="DF40" s="1125">
        <v>71.5</v>
      </c>
      <c r="DG40" s="1125">
        <v>71</v>
      </c>
      <c r="DH40" s="1125">
        <v>71.2</v>
      </c>
      <c r="DI40" s="1125">
        <v>71.900000000000006</v>
      </c>
      <c r="DJ40" s="1164">
        <v>71.599999999999994</v>
      </c>
      <c r="DK40" s="1164">
        <v>71.3</v>
      </c>
      <c r="DL40" s="1164">
        <v>71.5</v>
      </c>
      <c r="DM40" s="1165">
        <f>133.6+135.9+133+137.3</f>
        <v>539.79999999999995</v>
      </c>
      <c r="DN40" s="1130">
        <v>531.53</v>
      </c>
      <c r="DO40" s="1131" t="s">
        <v>1734</v>
      </c>
      <c r="DP40" s="1132">
        <f t="shared" si="12"/>
        <v>101.55588583899309</v>
      </c>
      <c r="DQ40" s="1164">
        <v>3.39</v>
      </c>
      <c r="DR40" s="1164">
        <v>3.45</v>
      </c>
      <c r="DS40" s="1169">
        <v>3.5</v>
      </c>
      <c r="DT40" s="1164">
        <v>3.2</v>
      </c>
      <c r="DU40" s="1134">
        <f t="shared" si="13"/>
        <v>3.3849999999999998</v>
      </c>
      <c r="DV40" s="1165">
        <v>71.099999999999994</v>
      </c>
      <c r="DW40" s="1165">
        <v>71.3</v>
      </c>
      <c r="DX40" s="1165">
        <v>70.900000000000006</v>
      </c>
      <c r="DY40" s="1165">
        <v>71</v>
      </c>
      <c r="DZ40" s="1165">
        <v>71.400000000000006</v>
      </c>
      <c r="EA40" s="1165">
        <v>71.5</v>
      </c>
      <c r="EB40" s="1165">
        <v>71</v>
      </c>
      <c r="EC40" s="1165">
        <v>71.400000000000006</v>
      </c>
      <c r="ED40" s="1164">
        <v>18.399999999999999</v>
      </c>
      <c r="EE40" s="1164">
        <v>18.7</v>
      </c>
      <c r="EF40" s="1164">
        <v>18.600000000000001</v>
      </c>
      <c r="EG40" s="1164">
        <v>18.8</v>
      </c>
      <c r="EH40" s="1164">
        <v>10.7</v>
      </c>
      <c r="EI40" s="1164">
        <v>11.4</v>
      </c>
      <c r="EJ40" s="1164">
        <v>10.8</v>
      </c>
      <c r="EK40" s="1164">
        <v>11.6</v>
      </c>
      <c r="EL40" s="1164">
        <v>83</v>
      </c>
      <c r="EM40" s="1092"/>
      <c r="EN40" s="1164">
        <v>80.400000000000006</v>
      </c>
      <c r="EO40" s="1092"/>
      <c r="EP40" s="1164">
        <v>85.1</v>
      </c>
      <c r="EQ40" s="1092"/>
      <c r="ER40" s="1164">
        <v>82.6</v>
      </c>
      <c r="ES40" s="1092"/>
      <c r="ET40" s="1164">
        <v>40.299999999999997</v>
      </c>
      <c r="EU40" s="1092"/>
      <c r="EV40" s="1164">
        <v>40</v>
      </c>
      <c r="EW40" s="1092"/>
      <c r="EX40" s="1164">
        <v>39.799999999999997</v>
      </c>
      <c r="EY40" s="1092"/>
      <c r="EZ40" s="1164">
        <v>39.799999999999997</v>
      </c>
      <c r="FA40" s="1092"/>
      <c r="FB40" s="1164">
        <v>35</v>
      </c>
      <c r="FC40" s="1164">
        <v>5</v>
      </c>
      <c r="FD40" s="1164">
        <v>37</v>
      </c>
      <c r="FE40" s="1164">
        <v>14</v>
      </c>
      <c r="FF40" s="1164">
        <v>37</v>
      </c>
      <c r="FG40" s="1164">
        <v>8</v>
      </c>
      <c r="FH40" s="1164">
        <v>37</v>
      </c>
      <c r="FI40" s="1164">
        <v>23</v>
      </c>
      <c r="FJ40" s="1164"/>
      <c r="FK40" s="1164"/>
      <c r="FL40" s="1164"/>
      <c r="FM40" s="1164"/>
      <c r="FN40" s="1164"/>
      <c r="FO40" s="1164"/>
      <c r="FP40" s="1164"/>
      <c r="FQ40" s="1164"/>
      <c r="FR40" s="1137">
        <f t="shared" si="14"/>
        <v>35.083333333333336</v>
      </c>
      <c r="FS40" s="1092"/>
      <c r="FT40" s="1136">
        <f t="shared" si="15"/>
        <v>37.233333333333334</v>
      </c>
      <c r="FU40" s="1092"/>
      <c r="FV40" s="1136">
        <f t="shared" si="16"/>
        <v>37.133333333333333</v>
      </c>
      <c r="FW40" s="1092"/>
      <c r="FX40" s="1136">
        <f t="shared" si="17"/>
        <v>37.383333333333333</v>
      </c>
      <c r="FY40" s="1092"/>
      <c r="FZ40" s="1125">
        <v>52</v>
      </c>
      <c r="GA40" s="1138">
        <v>1.5</v>
      </c>
      <c r="GB40" s="1125" t="s">
        <v>62</v>
      </c>
      <c r="GC40" s="1092"/>
      <c r="GD40" s="1139"/>
      <c r="GE40" s="1135"/>
      <c r="GF40" s="1140"/>
      <c r="GG40" s="1140"/>
      <c r="GH40" s="1103" t="s">
        <v>583</v>
      </c>
      <c r="GI40" s="1098" t="s">
        <v>584</v>
      </c>
      <c r="GJ40" s="1098" t="s">
        <v>585</v>
      </c>
      <c r="GK40" s="1076" t="s">
        <v>213</v>
      </c>
    </row>
    <row r="41" spans="2:193">
      <c r="B41" s="1103" t="s">
        <v>583</v>
      </c>
      <c r="C41" s="1098"/>
      <c r="D41" s="1098"/>
      <c r="E41" s="1076"/>
      <c r="F41" s="856"/>
      <c r="G41" s="936"/>
      <c r="H41" s="3"/>
      <c r="I41" s="1469"/>
      <c r="J41" s="1144">
        <v>9</v>
      </c>
      <c r="K41" s="1089" t="s">
        <v>1709</v>
      </c>
      <c r="L41" s="1089" t="s">
        <v>1716</v>
      </c>
      <c r="M41" s="1087">
        <v>46083</v>
      </c>
      <c r="N41" s="1145">
        <v>1</v>
      </c>
      <c r="O41" s="1146" t="s">
        <v>1041</v>
      </c>
      <c r="P41" s="1090" t="s">
        <v>1740</v>
      </c>
      <c r="Q41" s="1080" t="s">
        <v>1717</v>
      </c>
      <c r="R41" s="1147" t="s">
        <v>1745</v>
      </c>
      <c r="S41" s="1080">
        <f t="shared" si="20"/>
        <v>76</v>
      </c>
      <c r="T41" s="1080"/>
      <c r="U41" s="1080">
        <v>73.599999999999994</v>
      </c>
      <c r="V41" s="1080">
        <v>73.8</v>
      </c>
      <c r="W41" s="1145">
        <v>74.2</v>
      </c>
      <c r="X41" s="1145">
        <v>74.5</v>
      </c>
      <c r="Y41" s="1150"/>
      <c r="Z41" s="1150"/>
      <c r="AA41" s="1150"/>
      <c r="AB41" s="1150"/>
      <c r="AC41" s="851">
        <v>73.5</v>
      </c>
      <c r="AD41" s="851">
        <v>73.3</v>
      </c>
      <c r="AE41" s="851">
        <v>73.400000000000006</v>
      </c>
      <c r="AF41" s="851">
        <v>73.7</v>
      </c>
      <c r="AG41" s="1115"/>
      <c r="AH41" s="1115"/>
      <c r="AI41" s="1115"/>
      <c r="AJ41" s="1115"/>
      <c r="AK41" s="1088">
        <f>152.47+153.79</f>
        <v>306.26</v>
      </c>
      <c r="AL41" s="1110">
        <v>299</v>
      </c>
      <c r="AM41" s="1110" t="s">
        <v>1728</v>
      </c>
      <c r="AN41" s="1117">
        <f t="shared" si="0"/>
        <v>102.42809364548495</v>
      </c>
      <c r="AO41" s="1088">
        <v>5.09</v>
      </c>
      <c r="AP41" s="1088">
        <v>5.01</v>
      </c>
      <c r="AQ41" s="1150"/>
      <c r="AR41" s="1150"/>
      <c r="AS41" s="1118">
        <f t="shared" si="1"/>
        <v>5.05</v>
      </c>
      <c r="AT41" s="1124">
        <v>21</v>
      </c>
      <c r="AU41" s="1124">
        <v>21.1</v>
      </c>
      <c r="AV41" s="1150"/>
      <c r="AW41" s="1150"/>
      <c r="AX41" s="1124">
        <v>12.1</v>
      </c>
      <c r="AY41" s="1151">
        <v>12</v>
      </c>
      <c r="AZ41" s="1150"/>
      <c r="BA41" s="1150"/>
      <c r="BB41" s="1124">
        <v>83</v>
      </c>
      <c r="BC41" s="1124">
        <v>81.8</v>
      </c>
      <c r="BD41" s="1124">
        <v>83.3</v>
      </c>
      <c r="BE41" s="1124">
        <v>83</v>
      </c>
      <c r="BF41" s="1150"/>
      <c r="BG41" s="1150"/>
      <c r="BH41" s="1150"/>
      <c r="BI41" s="1150"/>
      <c r="BJ41" s="1124">
        <v>39.799999999999997</v>
      </c>
      <c r="BK41" s="1124">
        <v>38.5</v>
      </c>
      <c r="BL41" s="1124">
        <v>39.6</v>
      </c>
      <c r="BM41" s="1124">
        <v>40.4</v>
      </c>
      <c r="BN41" s="1150"/>
      <c r="BO41" s="1150"/>
      <c r="BP41" s="1150"/>
      <c r="BQ41" s="1150"/>
      <c r="BR41" s="1145">
        <v>14</v>
      </c>
      <c r="BS41" s="1145">
        <v>20</v>
      </c>
      <c r="BT41" s="1145">
        <v>1</v>
      </c>
      <c r="BU41" s="1145">
        <v>47</v>
      </c>
      <c r="BV41" s="1145">
        <v>15</v>
      </c>
      <c r="BW41" s="1145">
        <v>26</v>
      </c>
      <c r="BX41" s="1145">
        <v>1</v>
      </c>
      <c r="BY41" s="1145">
        <v>42</v>
      </c>
      <c r="BZ41" s="1150"/>
      <c r="CA41" s="1150"/>
      <c r="CB41" s="1150"/>
      <c r="CC41" s="1150"/>
      <c r="CD41" s="1121">
        <f t="shared" si="2"/>
        <v>14.333333333333334</v>
      </c>
      <c r="CE41" s="1117">
        <f t="shared" si="3"/>
        <v>1.7833333333333332</v>
      </c>
      <c r="CF41" s="1117">
        <f t="shared" si="4"/>
        <v>15.433333333333334</v>
      </c>
      <c r="CG41" s="1117">
        <f t="shared" si="5"/>
        <v>1.7</v>
      </c>
      <c r="CH41" s="1150"/>
      <c r="CI41" s="1150"/>
      <c r="CJ41" s="1150"/>
      <c r="CK41" s="1150"/>
      <c r="CL41" s="1155">
        <v>52</v>
      </c>
      <c r="CM41" s="1156">
        <v>1.5</v>
      </c>
      <c r="CN41" s="1152" t="s">
        <v>1716</v>
      </c>
      <c r="CO41" s="1153">
        <v>46083</v>
      </c>
      <c r="CP41" s="1090" t="s">
        <v>1547</v>
      </c>
      <c r="CQ41" s="1116">
        <v>322.2</v>
      </c>
      <c r="CR41" s="1119">
        <v>315</v>
      </c>
      <c r="CS41" s="1159" t="s">
        <v>1729</v>
      </c>
      <c r="CT41" s="1152">
        <f t="shared" si="18"/>
        <v>102.28571428571429</v>
      </c>
      <c r="CU41" s="1116"/>
      <c r="CV41" s="1032" t="s">
        <v>62</v>
      </c>
      <c r="CW41" s="1128" t="s">
        <v>1730</v>
      </c>
      <c r="CX41" s="1126" t="s">
        <v>1716</v>
      </c>
      <c r="CY41" s="1127">
        <v>46083</v>
      </c>
      <c r="CZ41" s="773" t="s">
        <v>1732</v>
      </c>
      <c r="DA41" s="1125" t="s">
        <v>932</v>
      </c>
      <c r="DB41" s="1125" t="s">
        <v>1748</v>
      </c>
      <c r="DC41" s="1125" t="s">
        <v>1717</v>
      </c>
      <c r="DD41" s="1125">
        <f t="shared" si="19"/>
        <v>200</v>
      </c>
      <c r="DE41" s="1125">
        <v>71.400000000000006</v>
      </c>
      <c r="DF41" s="1125">
        <v>71.599999999999994</v>
      </c>
      <c r="DG41" s="1125">
        <v>71.3</v>
      </c>
      <c r="DH41" s="1125">
        <v>71.8</v>
      </c>
      <c r="DI41" s="1125">
        <v>71.7</v>
      </c>
      <c r="DJ41" s="1164">
        <v>71.5</v>
      </c>
      <c r="DK41" s="1164">
        <v>71.599999999999994</v>
      </c>
      <c r="DL41" s="1164">
        <v>71.5</v>
      </c>
      <c r="DM41" s="1165">
        <f>133.3+133.1+136.8+129.8</f>
        <v>533</v>
      </c>
      <c r="DN41" s="1130">
        <v>531.53</v>
      </c>
      <c r="DO41" s="1131" t="s">
        <v>1734</v>
      </c>
      <c r="DP41" s="1132">
        <f t="shared" si="12"/>
        <v>100.27656011890204</v>
      </c>
      <c r="DQ41" s="1164">
        <v>3.48</v>
      </c>
      <c r="DR41" s="1164">
        <v>3.36</v>
      </c>
      <c r="DS41" s="1169">
        <v>3.46</v>
      </c>
      <c r="DT41" s="1164">
        <v>3.45</v>
      </c>
      <c r="DU41" s="1134">
        <f t="shared" si="13"/>
        <v>3.4375</v>
      </c>
      <c r="DV41" s="1165">
        <v>71.2</v>
      </c>
      <c r="DW41" s="1165">
        <v>71.7</v>
      </c>
      <c r="DX41" s="1165">
        <v>71.2</v>
      </c>
      <c r="DY41" s="1165">
        <v>71.400000000000006</v>
      </c>
      <c r="DZ41" s="1165">
        <v>71.599999999999994</v>
      </c>
      <c r="EA41" s="1165">
        <v>71</v>
      </c>
      <c r="EB41" s="1165">
        <v>71.3</v>
      </c>
      <c r="EC41" s="1165">
        <v>71</v>
      </c>
      <c r="ED41" s="1164">
        <v>18.8</v>
      </c>
      <c r="EE41" s="1164">
        <v>18.7</v>
      </c>
      <c r="EF41" s="1164">
        <v>18.8</v>
      </c>
      <c r="EG41" s="1164">
        <v>18.7</v>
      </c>
      <c r="EH41" s="1164">
        <v>11.4</v>
      </c>
      <c r="EI41" s="1164">
        <v>11.4</v>
      </c>
      <c r="EJ41" s="1164">
        <v>11.6</v>
      </c>
      <c r="EK41" s="1164">
        <v>11.4</v>
      </c>
      <c r="EL41" s="1164">
        <v>80.7</v>
      </c>
      <c r="EM41" s="1092"/>
      <c r="EN41" s="1164">
        <v>84.5</v>
      </c>
      <c r="EO41" s="1092"/>
      <c r="EP41" s="1164">
        <v>81.099999999999994</v>
      </c>
      <c r="EQ41" s="1092"/>
      <c r="ER41" s="1164">
        <v>82.6</v>
      </c>
      <c r="ES41" s="1092"/>
      <c r="ET41" s="1164">
        <v>40</v>
      </c>
      <c r="EU41" s="1092"/>
      <c r="EV41" s="1164">
        <v>40.1</v>
      </c>
      <c r="EW41" s="1092"/>
      <c r="EX41" s="1164">
        <v>39.700000000000003</v>
      </c>
      <c r="EY41" s="1092"/>
      <c r="EZ41" s="1164">
        <v>39.799999999999997</v>
      </c>
      <c r="FA41" s="1092"/>
      <c r="FB41" s="1164">
        <v>36</v>
      </c>
      <c r="FC41" s="1164">
        <v>57</v>
      </c>
      <c r="FD41" s="1164">
        <v>37</v>
      </c>
      <c r="FE41" s="1164">
        <v>11</v>
      </c>
      <c r="FF41" s="1164">
        <v>36</v>
      </c>
      <c r="FG41" s="1164">
        <v>52</v>
      </c>
      <c r="FH41" s="1164">
        <v>35</v>
      </c>
      <c r="FI41" s="1164">
        <v>55</v>
      </c>
      <c r="FJ41" s="1164"/>
      <c r="FK41" s="1164"/>
      <c r="FL41" s="1164"/>
      <c r="FM41" s="1164"/>
      <c r="FN41" s="1164"/>
      <c r="FO41" s="1164"/>
      <c r="FP41" s="1164"/>
      <c r="FQ41" s="1164"/>
      <c r="FR41" s="1137">
        <f t="shared" si="14"/>
        <v>36.950000000000003</v>
      </c>
      <c r="FS41" s="1092"/>
      <c r="FT41" s="1136">
        <f t="shared" si="15"/>
        <v>37.18333333333333</v>
      </c>
      <c r="FU41" s="1092"/>
      <c r="FV41" s="1136">
        <f t="shared" si="16"/>
        <v>36.866666666666667</v>
      </c>
      <c r="FW41" s="1092"/>
      <c r="FX41" s="1136">
        <f t="shared" si="17"/>
        <v>35.916666666666664</v>
      </c>
      <c r="FY41" s="1092"/>
      <c r="FZ41" s="1125">
        <v>52</v>
      </c>
      <c r="GA41" s="1138">
        <v>1.5</v>
      </c>
      <c r="GB41" s="1125" t="s">
        <v>62</v>
      </c>
      <c r="GC41" s="1092"/>
      <c r="GD41" s="1139"/>
      <c r="GE41" s="1135"/>
      <c r="GF41" s="1140"/>
      <c r="GG41" s="1140"/>
      <c r="GH41" s="1103" t="s">
        <v>583</v>
      </c>
      <c r="GI41" s="1098" t="s">
        <v>584</v>
      </c>
      <c r="GJ41" s="1098" t="s">
        <v>585</v>
      </c>
      <c r="GK41" s="1076" t="s">
        <v>213</v>
      </c>
    </row>
    <row r="42" spans="2:193">
      <c r="B42" s="1103" t="s">
        <v>583</v>
      </c>
      <c r="C42" s="1098"/>
      <c r="D42" s="1098"/>
      <c r="E42" s="1076"/>
      <c r="F42" s="856"/>
      <c r="G42" s="936"/>
      <c r="H42" s="3"/>
      <c r="I42" s="1469"/>
      <c r="J42" s="1144">
        <v>10</v>
      </c>
      <c r="K42" s="1089" t="s">
        <v>1709</v>
      </c>
      <c r="L42" s="1089" t="s">
        <v>1716</v>
      </c>
      <c r="M42" s="1087">
        <v>46083</v>
      </c>
      <c r="N42" s="1145">
        <v>2</v>
      </c>
      <c r="O42" s="1146" t="s">
        <v>1041</v>
      </c>
      <c r="P42" s="1090" t="s">
        <v>1724</v>
      </c>
      <c r="Q42" s="1080" t="s">
        <v>1717</v>
      </c>
      <c r="R42" s="1147" t="s">
        <v>1745</v>
      </c>
      <c r="S42" s="1080">
        <f t="shared" si="20"/>
        <v>76</v>
      </c>
      <c r="T42" s="1080"/>
      <c r="U42" s="1080">
        <v>74.099999999999994</v>
      </c>
      <c r="V42" s="1080">
        <v>74.5</v>
      </c>
      <c r="W42" s="1145">
        <v>74.3</v>
      </c>
      <c r="X42" s="1145">
        <v>74</v>
      </c>
      <c r="Y42" s="1150"/>
      <c r="Z42" s="1150"/>
      <c r="AA42" s="1150"/>
      <c r="AB42" s="1150"/>
      <c r="AC42" s="851">
        <v>73.8</v>
      </c>
      <c r="AD42" s="851">
        <v>74.099999999999994</v>
      </c>
      <c r="AE42" s="851">
        <v>74</v>
      </c>
      <c r="AF42" s="851">
        <v>73.7</v>
      </c>
      <c r="AG42" s="1115"/>
      <c r="AH42" s="1115"/>
      <c r="AI42" s="1115"/>
      <c r="AJ42" s="1115"/>
      <c r="AK42" s="1088">
        <f>150.13+151.79</f>
        <v>301.91999999999996</v>
      </c>
      <c r="AL42" s="1110">
        <v>299</v>
      </c>
      <c r="AM42" s="1110" t="s">
        <v>1728</v>
      </c>
      <c r="AN42" s="1117">
        <f t="shared" si="0"/>
        <v>100.97658862876253</v>
      </c>
      <c r="AO42" s="1088">
        <v>4.87</v>
      </c>
      <c r="AP42" s="1088">
        <v>5.07</v>
      </c>
      <c r="AQ42" s="1150"/>
      <c r="AR42" s="1150"/>
      <c r="AS42" s="1118">
        <f t="shared" si="1"/>
        <v>4.9700000000000006</v>
      </c>
      <c r="AT42" s="1124">
        <v>20.6</v>
      </c>
      <c r="AU42" s="1124">
        <v>20.8</v>
      </c>
      <c r="AV42" s="1150"/>
      <c r="AW42" s="1150"/>
      <c r="AX42" s="1124">
        <v>11.8</v>
      </c>
      <c r="AY42" s="1151">
        <v>11.9</v>
      </c>
      <c r="AZ42" s="1150"/>
      <c r="BA42" s="1150"/>
      <c r="BB42" s="1124">
        <v>84.6</v>
      </c>
      <c r="BC42" s="1124">
        <v>78.599999999999994</v>
      </c>
      <c r="BD42" s="1124">
        <v>85.6</v>
      </c>
      <c r="BE42" s="1124">
        <v>74.5</v>
      </c>
      <c r="BF42" s="1150"/>
      <c r="BG42" s="1150"/>
      <c r="BH42" s="1150"/>
      <c r="BI42" s="1150"/>
      <c r="BJ42" s="1124">
        <v>41.5</v>
      </c>
      <c r="BK42" s="1124">
        <v>37.700000000000003</v>
      </c>
      <c r="BL42" s="1124">
        <v>40.1</v>
      </c>
      <c r="BM42" s="1124">
        <v>37</v>
      </c>
      <c r="BN42" s="1150"/>
      <c r="BO42" s="1150"/>
      <c r="BP42" s="1150"/>
      <c r="BQ42" s="1150"/>
      <c r="BR42" s="1145">
        <v>17</v>
      </c>
      <c r="BS42" s="1145">
        <v>42</v>
      </c>
      <c r="BT42" s="1145">
        <v>21</v>
      </c>
      <c r="BU42" s="1145">
        <v>23</v>
      </c>
      <c r="BV42" s="1145">
        <v>15</v>
      </c>
      <c r="BW42" s="1145">
        <v>3</v>
      </c>
      <c r="BX42" s="1145">
        <v>1</v>
      </c>
      <c r="BY42" s="1145">
        <v>49</v>
      </c>
      <c r="BZ42" s="1150"/>
      <c r="CA42" s="1150"/>
      <c r="CB42" s="1150"/>
      <c r="CC42" s="1150"/>
      <c r="CD42" s="1121">
        <f t="shared" si="2"/>
        <v>17.7</v>
      </c>
      <c r="CE42" s="1117">
        <f t="shared" si="3"/>
        <v>21.383333333333333</v>
      </c>
      <c r="CF42" s="1117">
        <f t="shared" si="4"/>
        <v>15.05</v>
      </c>
      <c r="CG42" s="1117">
        <f t="shared" si="5"/>
        <v>1.8166666666666667</v>
      </c>
      <c r="CH42" s="1150"/>
      <c r="CI42" s="1150"/>
      <c r="CJ42" s="1150"/>
      <c r="CK42" s="1150"/>
      <c r="CL42" s="1155">
        <v>52</v>
      </c>
      <c r="CM42" s="1156">
        <v>1.5</v>
      </c>
      <c r="CN42" s="1152" t="s">
        <v>1716</v>
      </c>
      <c r="CO42" s="1153">
        <v>46084</v>
      </c>
      <c r="CP42" s="1090" t="s">
        <v>1547</v>
      </c>
      <c r="CQ42" s="1116">
        <v>317.5</v>
      </c>
      <c r="CR42" s="1119">
        <v>315</v>
      </c>
      <c r="CS42" s="1159" t="s">
        <v>1729</v>
      </c>
      <c r="CT42" s="1152">
        <f t="shared" si="18"/>
        <v>100.79365079365078</v>
      </c>
      <c r="CU42" s="1116">
        <v>4.6100000000000003</v>
      </c>
      <c r="CV42" s="1032" t="s">
        <v>62</v>
      </c>
      <c r="CW42" s="1128" t="s">
        <v>1730</v>
      </c>
      <c r="CX42" s="1126" t="s">
        <v>1716</v>
      </c>
      <c r="CY42" s="1127">
        <v>46084</v>
      </c>
      <c r="CZ42" s="773">
        <v>1</v>
      </c>
      <c r="DA42" s="1125" t="s">
        <v>932</v>
      </c>
      <c r="DB42" s="1125" t="s">
        <v>1743</v>
      </c>
      <c r="DC42" s="1125" t="s">
        <v>1717</v>
      </c>
      <c r="DD42" s="1125">
        <f t="shared" si="19"/>
        <v>200</v>
      </c>
      <c r="DE42" s="1125">
        <v>71.2</v>
      </c>
      <c r="DF42" s="1125">
        <v>71.400000000000006</v>
      </c>
      <c r="DG42" s="1125">
        <v>71.400000000000006</v>
      </c>
      <c r="DH42" s="1125">
        <v>71.599999999999994</v>
      </c>
      <c r="DI42" s="1125">
        <v>71</v>
      </c>
      <c r="DJ42" s="1164">
        <v>71.2</v>
      </c>
      <c r="DK42" s="1164">
        <v>71.5</v>
      </c>
      <c r="DL42" s="1164">
        <v>71.8</v>
      </c>
      <c r="DM42" s="1165">
        <v>537.70000000000005</v>
      </c>
      <c r="DN42" s="1130">
        <v>531.53</v>
      </c>
      <c r="DO42" s="1131" t="s">
        <v>1734</v>
      </c>
      <c r="DP42" s="1132">
        <f t="shared" si="12"/>
        <v>101.16079995484735</v>
      </c>
      <c r="DQ42" s="1164">
        <v>3.27</v>
      </c>
      <c r="DR42" s="1164">
        <v>3.29</v>
      </c>
      <c r="DS42" s="1169">
        <v>3.37</v>
      </c>
      <c r="DT42" s="1164">
        <v>3.42</v>
      </c>
      <c r="DU42" s="1134">
        <f t="shared" si="13"/>
        <v>3.3374999999999999</v>
      </c>
      <c r="DV42" s="1165">
        <v>71</v>
      </c>
      <c r="DW42" s="1165">
        <v>71.099999999999994</v>
      </c>
      <c r="DX42" s="1165">
        <v>71.400000000000006</v>
      </c>
      <c r="DY42" s="1165">
        <v>71.3</v>
      </c>
      <c r="DZ42" s="1165">
        <v>70.8</v>
      </c>
      <c r="EA42" s="1165">
        <v>71</v>
      </c>
      <c r="EB42" s="1165">
        <v>71.3</v>
      </c>
      <c r="EC42" s="1165">
        <v>71.5</v>
      </c>
      <c r="ED42" s="1164">
        <v>19</v>
      </c>
      <c r="EE42" s="1164">
        <v>18.8</v>
      </c>
      <c r="EF42" s="1164">
        <v>18.600000000000001</v>
      </c>
      <c r="EG42" s="1164">
        <v>19</v>
      </c>
      <c r="EH42" s="1164">
        <v>11.6</v>
      </c>
      <c r="EI42" s="1164">
        <v>11.6</v>
      </c>
      <c r="EJ42" s="1164">
        <v>10.5</v>
      </c>
      <c r="EK42" s="1164">
        <v>11.7</v>
      </c>
      <c r="EL42" s="1164">
        <v>83.7</v>
      </c>
      <c r="EM42" s="1092"/>
      <c r="EN42" s="1164">
        <v>83.4</v>
      </c>
      <c r="EO42" s="1092"/>
      <c r="EP42" s="1164">
        <v>82.8</v>
      </c>
      <c r="EQ42" s="1092"/>
      <c r="ER42" s="1164">
        <v>83</v>
      </c>
      <c r="ES42" s="1092"/>
      <c r="ET42" s="1164">
        <v>40.799999999999997</v>
      </c>
      <c r="EU42" s="1092"/>
      <c r="EV42" s="1164">
        <v>40.6</v>
      </c>
      <c r="EW42" s="1092"/>
      <c r="EX42" s="1164">
        <v>40.4</v>
      </c>
      <c r="EY42" s="1092"/>
      <c r="EZ42" s="1164">
        <v>39.9</v>
      </c>
      <c r="FA42" s="1092"/>
      <c r="FB42" s="1164">
        <v>36</v>
      </c>
      <c r="FC42" s="1164">
        <v>0</v>
      </c>
      <c r="FD42" s="1164">
        <v>35</v>
      </c>
      <c r="FE42" s="1164">
        <v>58</v>
      </c>
      <c r="FF42" s="1164">
        <v>35</v>
      </c>
      <c r="FG42" s="1164">
        <v>47</v>
      </c>
      <c r="FH42" s="1164">
        <v>35</v>
      </c>
      <c r="FI42" s="1164">
        <v>40</v>
      </c>
      <c r="FJ42" s="1164"/>
      <c r="FK42" s="1164"/>
      <c r="FL42" s="1164"/>
      <c r="FM42" s="1164"/>
      <c r="FN42" s="1164"/>
      <c r="FO42" s="1164"/>
      <c r="FP42" s="1164"/>
      <c r="FQ42" s="1164"/>
      <c r="FR42" s="1137">
        <f t="shared" si="14"/>
        <v>36</v>
      </c>
      <c r="FS42" s="1092"/>
      <c r="FT42" s="1136">
        <f t="shared" si="15"/>
        <v>35.966666666666669</v>
      </c>
      <c r="FU42" s="1092"/>
      <c r="FV42" s="1136">
        <f t="shared" si="16"/>
        <v>35.783333333333331</v>
      </c>
      <c r="FW42" s="1092"/>
      <c r="FX42" s="1136">
        <f t="shared" si="17"/>
        <v>35.666666666666664</v>
      </c>
      <c r="FY42" s="1092"/>
      <c r="FZ42" s="1125">
        <v>52</v>
      </c>
      <c r="GA42" s="1138">
        <v>1.5</v>
      </c>
      <c r="GB42" s="1125" t="s">
        <v>62</v>
      </c>
      <c r="GC42" s="1092"/>
      <c r="GD42" s="1139"/>
      <c r="GE42" s="1135"/>
      <c r="GF42" s="1140"/>
      <c r="GG42" s="1140"/>
      <c r="GH42" s="1103" t="s">
        <v>583</v>
      </c>
      <c r="GI42" s="1098" t="s">
        <v>584</v>
      </c>
      <c r="GJ42" s="1098" t="s">
        <v>585</v>
      </c>
      <c r="GK42" s="1076" t="s">
        <v>213</v>
      </c>
    </row>
    <row r="43" spans="2:193">
      <c r="B43" s="1103" t="s">
        <v>583</v>
      </c>
      <c r="C43" s="1098"/>
      <c r="D43" s="1098"/>
      <c r="E43" s="1076"/>
      <c r="F43" s="856"/>
      <c r="G43" s="936"/>
      <c r="H43" s="3"/>
      <c r="I43" s="1469"/>
      <c r="J43" s="1144">
        <v>11</v>
      </c>
      <c r="K43" s="1089" t="s">
        <v>1709</v>
      </c>
      <c r="L43" s="1089" t="s">
        <v>1716</v>
      </c>
      <c r="M43" s="1087">
        <v>46083</v>
      </c>
      <c r="N43" s="1145">
        <v>2</v>
      </c>
      <c r="O43" s="1146" t="s">
        <v>1041</v>
      </c>
      <c r="P43" s="1090" t="s">
        <v>1725</v>
      </c>
      <c r="Q43" s="1080" t="s">
        <v>1717</v>
      </c>
      <c r="R43" s="1147" t="s">
        <v>1745</v>
      </c>
      <c r="S43" s="1080">
        <f t="shared" si="20"/>
        <v>76</v>
      </c>
      <c r="T43" s="1080"/>
      <c r="U43" s="1080">
        <v>74.900000000000006</v>
      </c>
      <c r="V43" s="1080">
        <v>74.7</v>
      </c>
      <c r="W43" s="1145">
        <v>74.599999999999994</v>
      </c>
      <c r="X43" s="1145">
        <v>74.8</v>
      </c>
      <c r="Y43" s="1150"/>
      <c r="Z43" s="1150"/>
      <c r="AA43" s="1150"/>
      <c r="AB43" s="1150"/>
      <c r="AC43" s="851">
        <v>74.5</v>
      </c>
      <c r="AD43" s="851">
        <v>74.3</v>
      </c>
      <c r="AE43" s="851">
        <v>74.400000000000006</v>
      </c>
      <c r="AF43" s="851">
        <v>74.599999999999994</v>
      </c>
      <c r="AG43" s="1115"/>
      <c r="AH43" s="1115"/>
      <c r="AI43" s="1115"/>
      <c r="AJ43" s="1115"/>
      <c r="AK43" s="1088">
        <f>154.32+151.42</f>
        <v>305.74</v>
      </c>
      <c r="AL43" s="1110">
        <v>299</v>
      </c>
      <c r="AM43" s="1110" t="s">
        <v>1728</v>
      </c>
      <c r="AN43" s="1117">
        <f t="shared" si="0"/>
        <v>102.25418060200668</v>
      </c>
      <c r="AO43" s="1088">
        <v>4.87</v>
      </c>
      <c r="AP43" s="1088">
        <v>5.0999999999999996</v>
      </c>
      <c r="AQ43" s="1150"/>
      <c r="AR43" s="1150"/>
      <c r="AS43" s="1118">
        <f t="shared" si="1"/>
        <v>4.9849999999999994</v>
      </c>
      <c r="AT43" s="1124">
        <v>21</v>
      </c>
      <c r="AU43" s="1124">
        <v>20.9</v>
      </c>
      <c r="AV43" s="1150"/>
      <c r="AW43" s="1150"/>
      <c r="AX43" s="1124">
        <v>12</v>
      </c>
      <c r="AY43" s="1151">
        <v>11.8</v>
      </c>
      <c r="AZ43" s="1150"/>
      <c r="BA43" s="1150"/>
      <c r="BB43" s="1124">
        <v>84.5</v>
      </c>
      <c r="BC43" s="1124">
        <v>76.8</v>
      </c>
      <c r="BD43" s="1124">
        <v>85</v>
      </c>
      <c r="BE43" s="1124">
        <v>63.5</v>
      </c>
      <c r="BF43" s="1150"/>
      <c r="BG43" s="1150"/>
      <c r="BH43" s="1150"/>
      <c r="BI43" s="1150"/>
      <c r="BJ43" s="1124">
        <v>40.1</v>
      </c>
      <c r="BK43" s="1124">
        <v>37.1</v>
      </c>
      <c r="BL43" s="1124">
        <v>40</v>
      </c>
      <c r="BM43" s="1124">
        <v>37.5</v>
      </c>
      <c r="BN43" s="1150"/>
      <c r="BO43" s="1150"/>
      <c r="BP43" s="1150"/>
      <c r="BQ43" s="1150"/>
      <c r="BR43" s="1145">
        <v>15</v>
      </c>
      <c r="BS43" s="1145">
        <v>9</v>
      </c>
      <c r="BT43" s="1145">
        <v>1</v>
      </c>
      <c r="BU43" s="1145">
        <v>30</v>
      </c>
      <c r="BV43" s="1145">
        <v>16</v>
      </c>
      <c r="BW43" s="1145">
        <v>8</v>
      </c>
      <c r="BX43" s="1145">
        <v>2</v>
      </c>
      <c r="BY43" s="1145">
        <v>28</v>
      </c>
      <c r="BZ43" s="1150"/>
      <c r="CA43" s="1150"/>
      <c r="CB43" s="1150"/>
      <c r="CC43" s="1150"/>
      <c r="CD43" s="1121">
        <f t="shared" si="2"/>
        <v>15.15</v>
      </c>
      <c r="CE43" s="1117">
        <f t="shared" si="3"/>
        <v>1.5</v>
      </c>
      <c r="CF43" s="1117">
        <f t="shared" si="4"/>
        <v>16.133333333333333</v>
      </c>
      <c r="CG43" s="1117">
        <f t="shared" si="5"/>
        <v>2.4666666666666668</v>
      </c>
      <c r="CH43" s="1150"/>
      <c r="CI43" s="1150"/>
      <c r="CJ43" s="1150"/>
      <c r="CK43" s="1150"/>
      <c r="CL43" s="1155">
        <v>52</v>
      </c>
      <c r="CM43" s="1156">
        <v>1.5</v>
      </c>
      <c r="CN43" s="1152" t="s">
        <v>1716</v>
      </c>
      <c r="CO43" s="1153">
        <v>46084</v>
      </c>
      <c r="CP43" s="1090" t="s">
        <v>1547</v>
      </c>
      <c r="CQ43" s="1116">
        <v>321.7</v>
      </c>
      <c r="CR43" s="1119">
        <v>315</v>
      </c>
      <c r="CS43" s="1159" t="s">
        <v>1729</v>
      </c>
      <c r="CT43" s="1152">
        <f t="shared" si="18"/>
        <v>102.12698412698413</v>
      </c>
      <c r="CU43" s="1116">
        <v>4.67</v>
      </c>
      <c r="CV43" s="1032" t="s">
        <v>62</v>
      </c>
      <c r="CW43" s="1128" t="s">
        <v>1730</v>
      </c>
      <c r="CX43" s="1126" t="s">
        <v>1716</v>
      </c>
      <c r="CY43" s="1127">
        <v>46084</v>
      </c>
      <c r="CZ43" s="773" t="s">
        <v>1714</v>
      </c>
      <c r="DA43" s="1125" t="s">
        <v>932</v>
      </c>
      <c r="DB43" s="1125" t="s">
        <v>1746</v>
      </c>
      <c r="DC43" s="1125" t="s">
        <v>1717</v>
      </c>
      <c r="DD43" s="1125">
        <f t="shared" si="19"/>
        <v>200</v>
      </c>
      <c r="DE43" s="1125">
        <v>71.5</v>
      </c>
      <c r="DF43" s="1125">
        <v>71.3</v>
      </c>
      <c r="DG43" s="1125">
        <v>71.400000000000006</v>
      </c>
      <c r="DH43" s="1125">
        <v>71.599999999999994</v>
      </c>
      <c r="DI43" s="1125">
        <v>71.599999999999994</v>
      </c>
      <c r="DJ43" s="1164">
        <v>71.7</v>
      </c>
      <c r="DK43" s="1125">
        <v>71.2</v>
      </c>
      <c r="DL43" s="1164">
        <v>71.900000000000006</v>
      </c>
      <c r="DM43" s="1165">
        <f>134.32+133.64+135.02+129.59</f>
        <v>532.57000000000005</v>
      </c>
      <c r="DN43" s="1130">
        <v>531.53</v>
      </c>
      <c r="DO43" s="1131" t="s">
        <v>1734</v>
      </c>
      <c r="DP43" s="1132">
        <f t="shared" si="12"/>
        <v>100.19566158071981</v>
      </c>
      <c r="DQ43" s="1164">
        <v>3.5</v>
      </c>
      <c r="DR43" s="1164">
        <v>3.21</v>
      </c>
      <c r="DS43" s="1169">
        <v>3.37</v>
      </c>
      <c r="DT43" s="1164">
        <v>3.46</v>
      </c>
      <c r="DU43" s="1134">
        <f t="shared" si="13"/>
        <v>3.3849999999999998</v>
      </c>
      <c r="DV43" s="1165">
        <v>71.3</v>
      </c>
      <c r="DW43" s="1165">
        <v>71</v>
      </c>
      <c r="DX43" s="1165">
        <v>71.2</v>
      </c>
      <c r="DY43" s="1165">
        <v>71</v>
      </c>
      <c r="DZ43" s="1165">
        <v>71.3</v>
      </c>
      <c r="EA43" s="1165">
        <v>71.099999999999994</v>
      </c>
      <c r="EB43" s="1165">
        <v>71.400000000000006</v>
      </c>
      <c r="EC43" s="1165">
        <v>71</v>
      </c>
      <c r="ED43" s="1164">
        <v>18.8</v>
      </c>
      <c r="EE43" s="1164">
        <v>18.600000000000001</v>
      </c>
      <c r="EF43" s="1164">
        <v>18.8</v>
      </c>
      <c r="EG43" s="1164">
        <v>19</v>
      </c>
      <c r="EH43" s="1164">
        <v>11.5</v>
      </c>
      <c r="EI43" s="1164">
        <v>11.2</v>
      </c>
      <c r="EJ43" s="1164">
        <v>11.6</v>
      </c>
      <c r="EK43" s="1164">
        <v>11.6</v>
      </c>
      <c r="EL43" s="1164">
        <v>81.7</v>
      </c>
      <c r="EM43" s="1092"/>
      <c r="EN43" s="1164">
        <v>85.4</v>
      </c>
      <c r="EO43" s="1092"/>
      <c r="EP43" s="1164">
        <v>85.1</v>
      </c>
      <c r="EQ43" s="1092"/>
      <c r="ER43" s="1164">
        <v>83.5</v>
      </c>
      <c r="ES43" s="1092"/>
      <c r="ET43" s="1164">
        <v>39.799999999999997</v>
      </c>
      <c r="EU43" s="1092"/>
      <c r="EV43" s="1164">
        <v>40.200000000000003</v>
      </c>
      <c r="EW43" s="1092"/>
      <c r="EX43" s="1164">
        <v>39.799999999999997</v>
      </c>
      <c r="EY43" s="1092"/>
      <c r="EZ43" s="1164">
        <v>40</v>
      </c>
      <c r="FA43" s="1092"/>
      <c r="FB43" s="1164">
        <v>36</v>
      </c>
      <c r="FC43" s="1164">
        <v>41</v>
      </c>
      <c r="FD43" s="1164">
        <v>37</v>
      </c>
      <c r="FE43" s="1164">
        <v>18</v>
      </c>
      <c r="FF43" s="1164">
        <v>36</v>
      </c>
      <c r="FG43" s="1164">
        <v>58</v>
      </c>
      <c r="FH43" s="1164">
        <v>36</v>
      </c>
      <c r="FI43" s="1164">
        <v>33</v>
      </c>
      <c r="FJ43" s="1164"/>
      <c r="FK43" s="1164"/>
      <c r="FL43" s="1164"/>
      <c r="FM43" s="1164"/>
      <c r="FN43" s="1164"/>
      <c r="FO43" s="1164"/>
      <c r="FP43" s="1164"/>
      <c r="FQ43" s="1164"/>
      <c r="FR43" s="1137">
        <f t="shared" si="14"/>
        <v>36.68333333333333</v>
      </c>
      <c r="FS43" s="1092"/>
      <c r="FT43" s="1136">
        <f t="shared" si="15"/>
        <v>37.299999999999997</v>
      </c>
      <c r="FU43" s="1092"/>
      <c r="FV43" s="1136">
        <f t="shared" si="16"/>
        <v>36.966666666666669</v>
      </c>
      <c r="FW43" s="1092"/>
      <c r="FX43" s="1136">
        <f t="shared" si="17"/>
        <v>36.549999999999997</v>
      </c>
      <c r="FY43" s="1092"/>
      <c r="FZ43" s="1125">
        <v>52</v>
      </c>
      <c r="GA43" s="1138">
        <v>1.5</v>
      </c>
      <c r="GB43" s="1125" t="s">
        <v>62</v>
      </c>
      <c r="GC43" s="1092"/>
      <c r="GD43" s="1139"/>
      <c r="GE43" s="1135"/>
      <c r="GF43" s="1140"/>
      <c r="GG43" s="1140"/>
      <c r="GH43" s="1103" t="s">
        <v>583</v>
      </c>
      <c r="GI43" s="1098" t="s">
        <v>584</v>
      </c>
      <c r="GJ43" s="1098" t="s">
        <v>585</v>
      </c>
      <c r="GK43" s="1076" t="s">
        <v>213</v>
      </c>
    </row>
    <row r="44" spans="2:193">
      <c r="B44" s="1103" t="s">
        <v>583</v>
      </c>
      <c r="C44" s="1098"/>
      <c r="D44" s="1098"/>
      <c r="E44" s="1076"/>
      <c r="F44" s="856"/>
      <c r="G44" s="936"/>
      <c r="H44" s="3"/>
      <c r="I44" s="1469"/>
      <c r="J44" s="1144">
        <v>12</v>
      </c>
      <c r="K44" s="1089" t="s">
        <v>1709</v>
      </c>
      <c r="L44" s="1089" t="s">
        <v>1716</v>
      </c>
      <c r="M44" s="1087">
        <v>46084</v>
      </c>
      <c r="N44" s="1145">
        <v>1</v>
      </c>
      <c r="O44" s="1146" t="s">
        <v>1041</v>
      </c>
      <c r="P44" s="1090" t="s">
        <v>1749</v>
      </c>
      <c r="Q44" s="1080" t="s">
        <v>1717</v>
      </c>
      <c r="R44" s="1147" t="s">
        <v>1745</v>
      </c>
      <c r="S44" s="1080">
        <f t="shared" si="20"/>
        <v>76</v>
      </c>
      <c r="T44" s="1080"/>
      <c r="U44" s="1080">
        <v>74</v>
      </c>
      <c r="V44" s="1080">
        <v>74.2</v>
      </c>
      <c r="W44" s="1145">
        <v>74.5</v>
      </c>
      <c r="X44" s="1145">
        <v>74.599999999999994</v>
      </c>
      <c r="Y44" s="1150"/>
      <c r="Z44" s="1150"/>
      <c r="AA44" s="1150"/>
      <c r="AB44" s="1150"/>
      <c r="AC44" s="851">
        <v>73.8</v>
      </c>
      <c r="AD44" s="851">
        <v>74</v>
      </c>
      <c r="AE44" s="851">
        <v>74.099999999999994</v>
      </c>
      <c r="AF44" s="851">
        <v>74.400000000000006</v>
      </c>
      <c r="AG44" s="1115"/>
      <c r="AH44" s="1115"/>
      <c r="AI44" s="1115"/>
      <c r="AJ44" s="1115"/>
      <c r="AK44" s="1088">
        <f>151.92+155.06</f>
        <v>306.98</v>
      </c>
      <c r="AL44" s="1110">
        <v>299</v>
      </c>
      <c r="AM44" s="1110" t="s">
        <v>1728</v>
      </c>
      <c r="AN44" s="1117">
        <f t="shared" si="0"/>
        <v>102.66889632107024</v>
      </c>
      <c r="AO44" s="1088">
        <v>4.8499999999999996</v>
      </c>
      <c r="AP44" s="1088">
        <v>5</v>
      </c>
      <c r="AQ44" s="1150"/>
      <c r="AR44" s="1150"/>
      <c r="AS44" s="1118">
        <f t="shared" si="1"/>
        <v>4.9249999999999998</v>
      </c>
      <c r="AT44" s="1124">
        <v>21.4</v>
      </c>
      <c r="AU44" s="1124">
        <v>21.4</v>
      </c>
      <c r="AV44" s="1150"/>
      <c r="AW44" s="1150"/>
      <c r="AX44" s="1124">
        <v>12.3</v>
      </c>
      <c r="AY44" s="1151">
        <v>12.1</v>
      </c>
      <c r="AZ44" s="1150"/>
      <c r="BA44" s="1150"/>
      <c r="BB44" s="1124">
        <v>85.5</v>
      </c>
      <c r="BC44" s="1124">
        <v>82.9</v>
      </c>
      <c r="BD44" s="1124">
        <v>85.9</v>
      </c>
      <c r="BE44" s="1124">
        <v>71.900000000000006</v>
      </c>
      <c r="BF44" s="1150"/>
      <c r="BG44" s="1150"/>
      <c r="BH44" s="1150"/>
      <c r="BI44" s="1150"/>
      <c r="BJ44" s="1124">
        <v>39.6</v>
      </c>
      <c r="BK44" s="1124">
        <v>38.6</v>
      </c>
      <c r="BL44" s="1124">
        <v>39.4</v>
      </c>
      <c r="BM44" s="1124">
        <v>36</v>
      </c>
      <c r="BN44" s="1150"/>
      <c r="BO44" s="1150"/>
      <c r="BP44" s="1150"/>
      <c r="BQ44" s="1150"/>
      <c r="BR44" s="1145">
        <v>15</v>
      </c>
      <c r="BS44" s="1145">
        <v>0</v>
      </c>
      <c r="BT44" s="1145">
        <v>3</v>
      </c>
      <c r="BU44" s="1145">
        <v>1</v>
      </c>
      <c r="BV44" s="1145">
        <v>14</v>
      </c>
      <c r="BW44" s="1145">
        <v>41</v>
      </c>
      <c r="BX44" s="1145">
        <v>1</v>
      </c>
      <c r="BY44" s="1145">
        <v>40</v>
      </c>
      <c r="BZ44" s="1150"/>
      <c r="CA44" s="1150"/>
      <c r="CB44" s="1150"/>
      <c r="CC44" s="1150"/>
      <c r="CD44" s="1121">
        <f t="shared" si="2"/>
        <v>15</v>
      </c>
      <c r="CE44" s="1117">
        <f t="shared" si="3"/>
        <v>3.0166666666666666</v>
      </c>
      <c r="CF44" s="1117">
        <f t="shared" si="4"/>
        <v>14.683333333333334</v>
      </c>
      <c r="CG44" s="1117">
        <f t="shared" si="5"/>
        <v>1.6666666666666665</v>
      </c>
      <c r="CH44" s="1150"/>
      <c r="CI44" s="1150"/>
      <c r="CJ44" s="1150"/>
      <c r="CK44" s="1150"/>
      <c r="CL44" s="1155">
        <v>52</v>
      </c>
      <c r="CM44" s="1156">
        <v>1.5</v>
      </c>
      <c r="CN44" s="1152" t="s">
        <v>1716</v>
      </c>
      <c r="CO44" s="1153">
        <v>46084</v>
      </c>
      <c r="CP44" s="1090" t="s">
        <v>1547</v>
      </c>
      <c r="CQ44" s="1116">
        <v>323</v>
      </c>
      <c r="CR44" s="1119">
        <v>315</v>
      </c>
      <c r="CS44" s="1159" t="s">
        <v>1729</v>
      </c>
      <c r="CT44" s="1152">
        <f t="shared" si="18"/>
        <v>102.53968253968253</v>
      </c>
      <c r="CU44" s="1116">
        <v>5.09</v>
      </c>
      <c r="CV44" s="1032" t="s">
        <v>62</v>
      </c>
      <c r="CW44" s="1128" t="s">
        <v>1730</v>
      </c>
      <c r="CX44" s="1126" t="s">
        <v>1716</v>
      </c>
      <c r="CY44" s="1127">
        <v>46084</v>
      </c>
      <c r="CZ44" s="773">
        <v>2</v>
      </c>
      <c r="DA44" s="1125" t="s">
        <v>932</v>
      </c>
      <c r="DB44" s="1125" t="s">
        <v>1748</v>
      </c>
      <c r="DC44" s="1125" t="s">
        <v>1717</v>
      </c>
      <c r="DD44" s="1125">
        <f t="shared" si="19"/>
        <v>200</v>
      </c>
      <c r="DE44" s="1125">
        <v>71.400000000000006</v>
      </c>
      <c r="DF44" s="1125">
        <v>71.8</v>
      </c>
      <c r="DG44" s="1125">
        <v>71.599999999999994</v>
      </c>
      <c r="DH44" s="1125">
        <v>71.900000000000006</v>
      </c>
      <c r="DI44" s="1125">
        <v>71.400000000000006</v>
      </c>
      <c r="DJ44" s="1164">
        <v>71.7</v>
      </c>
      <c r="DK44" s="1164">
        <v>71.8</v>
      </c>
      <c r="DL44" s="1164">
        <v>71.599999999999994</v>
      </c>
      <c r="DM44" s="1165">
        <v>543.52</v>
      </c>
      <c r="DN44" s="1130">
        <v>531.53</v>
      </c>
      <c r="DO44" s="1131" t="s">
        <v>1734</v>
      </c>
      <c r="DP44" s="1132">
        <f t="shared" si="12"/>
        <v>102.25575226233703</v>
      </c>
      <c r="DQ44" s="1164">
        <v>3.49</v>
      </c>
      <c r="DR44" s="1164">
        <v>3.42</v>
      </c>
      <c r="DS44" s="1169">
        <v>3.45</v>
      </c>
      <c r="DT44" s="1164">
        <v>3.44</v>
      </c>
      <c r="DU44" s="1134">
        <f t="shared" si="13"/>
        <v>3.4499999999999997</v>
      </c>
      <c r="DV44" s="1165">
        <v>71.2</v>
      </c>
      <c r="DW44" s="1165">
        <v>71.599999999999994</v>
      </c>
      <c r="DX44" s="1165">
        <v>71.3</v>
      </c>
      <c r="DY44" s="1165">
        <v>71.2</v>
      </c>
      <c r="DZ44" s="1165">
        <v>71.3</v>
      </c>
      <c r="EA44" s="1165">
        <v>71.400000000000006</v>
      </c>
      <c r="EB44" s="1165">
        <v>71.3</v>
      </c>
      <c r="EC44" s="1165">
        <v>71.8</v>
      </c>
      <c r="ED44" s="1164">
        <v>18.8</v>
      </c>
      <c r="EE44" s="1164">
        <v>18.899999999999999</v>
      </c>
      <c r="EF44" s="1164">
        <v>18.7</v>
      </c>
      <c r="EG44" s="1164">
        <v>18.8</v>
      </c>
      <c r="EH44" s="1164">
        <v>11.4</v>
      </c>
      <c r="EI44" s="1164">
        <v>11.7</v>
      </c>
      <c r="EJ44" s="1164">
        <v>10.8</v>
      </c>
      <c r="EK44" s="1164">
        <v>11.5</v>
      </c>
      <c r="EL44" s="1164">
        <v>80.3</v>
      </c>
      <c r="EM44" s="1092"/>
      <c r="EN44" s="1164">
        <v>84.2</v>
      </c>
      <c r="EO44" s="1092"/>
      <c r="EP44" s="1164">
        <v>86</v>
      </c>
      <c r="EQ44" s="1092"/>
      <c r="ER44" s="1164">
        <v>83.6</v>
      </c>
      <c r="ES44" s="1092"/>
      <c r="ET44" s="1164">
        <v>40</v>
      </c>
      <c r="EU44" s="1092"/>
      <c r="EV44" s="1164">
        <v>40.299999999999997</v>
      </c>
      <c r="EW44" s="1092"/>
      <c r="EX44" s="1164">
        <v>39.799999999999997</v>
      </c>
      <c r="EY44" s="1092"/>
      <c r="EZ44" s="1164">
        <v>39.9</v>
      </c>
      <c r="FA44" s="1092"/>
      <c r="FB44" s="1164">
        <v>36</v>
      </c>
      <c r="FC44" s="1164">
        <v>52</v>
      </c>
      <c r="FD44" s="1164">
        <v>37</v>
      </c>
      <c r="FE44" s="1164">
        <v>7</v>
      </c>
      <c r="FF44" s="1164">
        <v>36</v>
      </c>
      <c r="FG44" s="1164">
        <v>55</v>
      </c>
      <c r="FH44" s="1164">
        <v>36</v>
      </c>
      <c r="FI44" s="1164">
        <v>57</v>
      </c>
      <c r="FJ44" s="1164"/>
      <c r="FK44" s="1164"/>
      <c r="FL44" s="1164"/>
      <c r="FM44" s="1164"/>
      <c r="FN44" s="1164"/>
      <c r="FO44" s="1164"/>
      <c r="FP44" s="1164"/>
      <c r="FQ44" s="1164"/>
      <c r="FR44" s="1137">
        <f t="shared" si="14"/>
        <v>36.866666666666667</v>
      </c>
      <c r="FS44" s="1092"/>
      <c r="FT44" s="1136">
        <f t="shared" si="15"/>
        <v>37.116666666666667</v>
      </c>
      <c r="FU44" s="1092"/>
      <c r="FV44" s="1136">
        <f t="shared" si="16"/>
        <v>36.916666666666664</v>
      </c>
      <c r="FW44" s="1092"/>
      <c r="FX44" s="1136">
        <f t="shared" si="17"/>
        <v>36.950000000000003</v>
      </c>
      <c r="FY44" s="1092"/>
      <c r="FZ44" s="1125">
        <v>52</v>
      </c>
      <c r="GA44" s="1138">
        <v>1.5</v>
      </c>
      <c r="GB44" s="1125" t="s">
        <v>62</v>
      </c>
      <c r="GC44" s="1092"/>
      <c r="GD44" s="1139"/>
      <c r="GE44" s="1135"/>
      <c r="GF44" s="1140"/>
      <c r="GG44" s="1140"/>
      <c r="GH44" s="1103" t="s">
        <v>583</v>
      </c>
      <c r="GI44" s="1098" t="s">
        <v>584</v>
      </c>
      <c r="GJ44" s="1098" t="s">
        <v>585</v>
      </c>
      <c r="GK44" s="1076" t="s">
        <v>213</v>
      </c>
    </row>
    <row r="45" spans="2:193">
      <c r="B45" s="1104" t="s">
        <v>583</v>
      </c>
      <c r="C45" s="1105"/>
      <c r="D45" s="1105"/>
      <c r="E45" s="1503"/>
      <c r="F45" s="1107"/>
      <c r="G45" s="1108"/>
      <c r="H45" s="807"/>
      <c r="I45" s="1438"/>
      <c r="J45" s="1109">
        <v>1</v>
      </c>
      <c r="K45" s="1089" t="s">
        <v>1709</v>
      </c>
      <c r="L45" s="1089" t="s">
        <v>1716</v>
      </c>
      <c r="M45" s="1087">
        <v>46091</v>
      </c>
      <c r="N45" s="1145">
        <v>1</v>
      </c>
      <c r="O45" s="1146" t="s">
        <v>1041</v>
      </c>
      <c r="P45" s="1090" t="s">
        <v>1727</v>
      </c>
      <c r="Q45" s="1080" t="s">
        <v>1717</v>
      </c>
      <c r="R45" s="1147" t="s">
        <v>1742</v>
      </c>
      <c r="S45" s="1080">
        <f t="shared" si="20"/>
        <v>76</v>
      </c>
      <c r="T45" s="1080"/>
      <c r="U45" s="1080">
        <v>74.5</v>
      </c>
      <c r="V45" s="1080">
        <v>74.2</v>
      </c>
      <c r="W45" s="1145">
        <v>73.8</v>
      </c>
      <c r="X45" s="1145">
        <v>74</v>
      </c>
      <c r="Y45" s="1150"/>
      <c r="Z45" s="1150"/>
      <c r="AA45" s="1150"/>
      <c r="AB45" s="1150"/>
      <c r="AC45" s="851">
        <v>74.099999999999994</v>
      </c>
      <c r="AD45" s="851">
        <v>73.8</v>
      </c>
      <c r="AE45" s="851">
        <v>73.3</v>
      </c>
      <c r="AF45" s="851">
        <v>73.7</v>
      </c>
      <c r="AG45" s="1115"/>
      <c r="AH45" s="1115"/>
      <c r="AI45" s="1115"/>
      <c r="AJ45" s="1115"/>
      <c r="AK45" s="1088">
        <f>150.35+149.73</f>
        <v>300.08</v>
      </c>
      <c r="AL45" s="1110">
        <v>299</v>
      </c>
      <c r="AM45" s="1110" t="s">
        <v>1728</v>
      </c>
      <c r="AN45" s="1117">
        <f t="shared" si="0"/>
        <v>100.36120401337791</v>
      </c>
      <c r="AO45" s="1088">
        <f>5.07</f>
        <v>5.07</v>
      </c>
      <c r="AP45" s="1088">
        <v>4.92</v>
      </c>
      <c r="AQ45" s="1150"/>
      <c r="AR45" s="1150"/>
      <c r="AS45" s="1118">
        <f t="shared" si="1"/>
        <v>4.9950000000000001</v>
      </c>
      <c r="AT45" s="1124">
        <v>20.7</v>
      </c>
      <c r="AU45" s="1124">
        <v>21.4</v>
      </c>
      <c r="AV45" s="1150"/>
      <c r="AW45" s="1150"/>
      <c r="AX45" s="1124">
        <v>11.8</v>
      </c>
      <c r="AY45" s="1151">
        <v>12.8</v>
      </c>
      <c r="AZ45" s="1150"/>
      <c r="BA45" s="1150"/>
      <c r="BB45" s="1124">
        <v>85.3</v>
      </c>
      <c r="BC45" s="1124">
        <v>84.1</v>
      </c>
      <c r="BD45" s="1124">
        <v>84.4</v>
      </c>
      <c r="BE45" s="1124">
        <v>82.6</v>
      </c>
      <c r="BF45" s="1150"/>
      <c r="BG45" s="1150"/>
      <c r="BH45" s="1150"/>
      <c r="BI45" s="1150"/>
      <c r="BJ45" s="1124">
        <v>40.1</v>
      </c>
      <c r="BK45" s="1124">
        <v>35.6</v>
      </c>
      <c r="BL45" s="1124">
        <v>40.1</v>
      </c>
      <c r="BM45" s="1124">
        <v>35.5</v>
      </c>
      <c r="BN45" s="1150"/>
      <c r="BO45" s="1150"/>
      <c r="BP45" s="1150"/>
      <c r="BQ45" s="1150"/>
      <c r="BR45" s="1145">
        <v>15</v>
      </c>
      <c r="BS45" s="1145">
        <v>21</v>
      </c>
      <c r="BT45" s="1145">
        <v>2</v>
      </c>
      <c r="BU45" s="1145">
        <v>14</v>
      </c>
      <c r="BV45" s="1145">
        <v>15</v>
      </c>
      <c r="BW45" s="1145">
        <v>28</v>
      </c>
      <c r="BX45" s="1145">
        <v>2</v>
      </c>
      <c r="BY45" s="1145">
        <v>8</v>
      </c>
      <c r="BZ45" s="1150"/>
      <c r="CA45" s="1150"/>
      <c r="CB45" s="1150"/>
      <c r="CC45" s="1150"/>
      <c r="CD45" s="1121">
        <f t="shared" si="2"/>
        <v>15.35</v>
      </c>
      <c r="CE45" s="1117">
        <f t="shared" si="3"/>
        <v>2.2333333333333334</v>
      </c>
      <c r="CF45" s="1117">
        <f t="shared" si="4"/>
        <v>15.466666666666667</v>
      </c>
      <c r="CG45" s="1117">
        <f t="shared" si="5"/>
        <v>2.1333333333333333</v>
      </c>
      <c r="CH45" s="1150"/>
      <c r="CI45" s="1150"/>
      <c r="CJ45" s="1150"/>
      <c r="CK45" s="1150"/>
      <c r="CL45" s="1155">
        <v>52</v>
      </c>
      <c r="CM45" s="1156">
        <v>1.5</v>
      </c>
      <c r="CN45" s="1152"/>
      <c r="CO45" s="1153"/>
      <c r="CP45" s="1090"/>
      <c r="CQ45" s="1088"/>
      <c r="CR45" s="1119">
        <v>315</v>
      </c>
      <c r="CS45" s="1159" t="s">
        <v>1729</v>
      </c>
      <c r="CT45" s="1152">
        <f t="shared" si="18"/>
        <v>0</v>
      </c>
      <c r="CU45" s="1088"/>
      <c r="CV45" s="1032"/>
      <c r="CW45" s="1128" t="s">
        <v>1730</v>
      </c>
      <c r="CX45" s="1126" t="s">
        <v>1716</v>
      </c>
      <c r="CY45" s="1163">
        <v>46091</v>
      </c>
      <c r="CZ45" s="775">
        <v>2</v>
      </c>
      <c r="DA45" s="1125" t="s">
        <v>932</v>
      </c>
      <c r="DB45" s="1125" t="s">
        <v>1743</v>
      </c>
      <c r="DC45" s="1125" t="s">
        <v>1717</v>
      </c>
      <c r="DD45" s="1125">
        <f t="shared" si="19"/>
        <v>200</v>
      </c>
      <c r="DE45" s="1164">
        <v>71.8</v>
      </c>
      <c r="DF45" s="1164">
        <v>71.5</v>
      </c>
      <c r="DG45" s="1164">
        <v>71.3</v>
      </c>
      <c r="DH45" s="1164">
        <v>71.900000000000006</v>
      </c>
      <c r="DI45" s="1164">
        <v>71.599999999999994</v>
      </c>
      <c r="DJ45" s="1164">
        <v>71.7</v>
      </c>
      <c r="DK45" s="1164">
        <v>71.400000000000006</v>
      </c>
      <c r="DL45" s="1164">
        <v>71.599999999999994</v>
      </c>
      <c r="DM45" s="1165">
        <f>132+130.43+136.15+135.68</f>
        <v>534.26</v>
      </c>
      <c r="DN45" s="1130">
        <v>531.53</v>
      </c>
      <c r="DO45" s="1131" t="s">
        <v>1734</v>
      </c>
      <c r="DP45" s="1132">
        <f t="shared" si="12"/>
        <v>100.5136116493895</v>
      </c>
      <c r="DQ45" s="1164">
        <v>3.44</v>
      </c>
      <c r="DR45" s="1164">
        <v>3.45</v>
      </c>
      <c r="DS45" s="1169">
        <v>3.47</v>
      </c>
      <c r="DT45" s="1164">
        <v>3.5</v>
      </c>
      <c r="DU45" s="1134">
        <f t="shared" si="13"/>
        <v>3.4650000000000003</v>
      </c>
      <c r="DV45" s="1165">
        <v>71.5</v>
      </c>
      <c r="DW45" s="1165">
        <v>71.2</v>
      </c>
      <c r="DX45" s="1165">
        <v>71</v>
      </c>
      <c r="DY45" s="1165">
        <v>71.5</v>
      </c>
      <c r="DZ45" s="1165">
        <v>71.3</v>
      </c>
      <c r="EA45" s="1165">
        <v>71.3</v>
      </c>
      <c r="EB45" s="1165">
        <v>71.099999999999994</v>
      </c>
      <c r="EC45" s="1165">
        <v>71.2</v>
      </c>
      <c r="ED45" s="1164">
        <v>18.899999999999999</v>
      </c>
      <c r="EE45" s="1164">
        <v>19</v>
      </c>
      <c r="EF45" s="1164">
        <v>18.5</v>
      </c>
      <c r="EG45" s="1164">
        <v>18.3</v>
      </c>
      <c r="EH45" s="1164">
        <v>10.8</v>
      </c>
      <c r="EI45" s="1164">
        <v>11.1</v>
      </c>
      <c r="EJ45" s="1164">
        <v>10.9</v>
      </c>
      <c r="EK45" s="1164">
        <v>10.7</v>
      </c>
      <c r="EL45" s="1164">
        <v>85.8</v>
      </c>
      <c r="EM45" s="1092"/>
      <c r="EN45" s="1164">
        <v>82.3</v>
      </c>
      <c r="EO45" s="1092"/>
      <c r="EP45" s="1164">
        <v>83</v>
      </c>
      <c r="EQ45" s="1092"/>
      <c r="ER45" s="1164">
        <v>77.099999999999994</v>
      </c>
      <c r="ES45" s="1092"/>
      <c r="ET45" s="1164">
        <v>39.6</v>
      </c>
      <c r="EU45" s="1092"/>
      <c r="EV45" s="1164">
        <v>40.200000000000003</v>
      </c>
      <c r="EW45" s="1092"/>
      <c r="EX45" s="1164">
        <v>41</v>
      </c>
      <c r="EY45" s="1092"/>
      <c r="EZ45" s="1164">
        <v>39</v>
      </c>
      <c r="FA45" s="1092"/>
      <c r="FB45" s="1164">
        <v>30</v>
      </c>
      <c r="FC45" s="1164">
        <v>10</v>
      </c>
      <c r="FD45" s="1164">
        <v>29</v>
      </c>
      <c r="FE45" s="1164">
        <v>7</v>
      </c>
      <c r="FF45" s="1164">
        <v>30</v>
      </c>
      <c r="FG45" s="1164">
        <v>1</v>
      </c>
      <c r="FH45" s="1164">
        <v>32</v>
      </c>
      <c r="FI45" s="1164">
        <v>32</v>
      </c>
      <c r="FJ45" s="1164"/>
      <c r="FK45" s="1164"/>
      <c r="FL45" s="1164"/>
      <c r="FM45" s="1164"/>
      <c r="FN45" s="1164"/>
      <c r="FO45" s="1164"/>
      <c r="FP45" s="1164"/>
      <c r="FQ45" s="1164"/>
      <c r="FR45" s="1137">
        <f t="shared" si="14"/>
        <v>30.166666666666668</v>
      </c>
      <c r="FS45" s="1092"/>
      <c r="FT45" s="1136">
        <f t="shared" si="15"/>
        <v>29.116666666666667</v>
      </c>
      <c r="FU45" s="1092"/>
      <c r="FV45" s="1136">
        <f t="shared" si="16"/>
        <v>30.016666666666666</v>
      </c>
      <c r="FW45" s="1092"/>
      <c r="FX45" s="1136">
        <f t="shared" si="17"/>
        <v>32.533333333333331</v>
      </c>
      <c r="FY45" s="1092"/>
      <c r="FZ45" s="1125">
        <v>52</v>
      </c>
      <c r="GA45" s="1138">
        <v>1.5</v>
      </c>
      <c r="GB45" s="1125" t="s">
        <v>62</v>
      </c>
      <c r="GC45" s="1092"/>
      <c r="GD45" s="1139"/>
      <c r="GE45" s="1135"/>
      <c r="GF45" s="1140"/>
      <c r="GG45" s="1140"/>
      <c r="GH45" s="1103" t="s">
        <v>583</v>
      </c>
      <c r="GI45" s="1098" t="s">
        <v>584</v>
      </c>
      <c r="GJ45" s="1098" t="s">
        <v>585</v>
      </c>
      <c r="GK45" s="1461" t="s">
        <v>277</v>
      </c>
    </row>
    <row r="46" spans="2:193">
      <c r="B46" s="1104" t="s">
        <v>583</v>
      </c>
      <c r="C46" s="1105"/>
      <c r="D46" s="1105"/>
      <c r="E46" s="1503"/>
      <c r="F46" s="1107"/>
      <c r="G46" s="1108"/>
      <c r="H46" s="807"/>
      <c r="I46" s="1438"/>
      <c r="J46" s="1109">
        <v>1</v>
      </c>
      <c r="K46" s="1089" t="s">
        <v>1709</v>
      </c>
      <c r="L46" s="1089" t="s">
        <v>1716</v>
      </c>
      <c r="M46" s="1087">
        <v>46092</v>
      </c>
      <c r="N46" s="1145">
        <v>1</v>
      </c>
      <c r="O46" s="1146" t="s">
        <v>1041</v>
      </c>
      <c r="P46" s="1090" t="s">
        <v>1754</v>
      </c>
      <c r="Q46" s="1080" t="s">
        <v>1717</v>
      </c>
      <c r="R46" s="1147" t="s">
        <v>1742</v>
      </c>
      <c r="S46" s="1080">
        <f>38</f>
        <v>38</v>
      </c>
      <c r="T46" s="1080"/>
      <c r="U46" s="1080">
        <v>74.099999999999994</v>
      </c>
      <c r="V46" s="1080">
        <v>74.3</v>
      </c>
      <c r="W46" s="1145"/>
      <c r="X46" s="1145"/>
      <c r="Y46" s="1150"/>
      <c r="Z46" s="1150"/>
      <c r="AA46" s="1150"/>
      <c r="AB46" s="1150"/>
      <c r="AC46" s="851">
        <v>73.599999999999994</v>
      </c>
      <c r="AD46" s="851">
        <v>73.8</v>
      </c>
      <c r="AE46" s="851"/>
      <c r="AF46" s="851"/>
      <c r="AG46" s="1115"/>
      <c r="AH46" s="1115"/>
      <c r="AI46" s="1115"/>
      <c r="AJ46" s="1115"/>
      <c r="AK46" s="1088">
        <f>151.53</f>
        <v>151.53</v>
      </c>
      <c r="AL46" s="1110">
        <v>299</v>
      </c>
      <c r="AM46" s="1110" t="s">
        <v>1728</v>
      </c>
      <c r="AN46" s="1117">
        <f t="shared" si="0"/>
        <v>50.678929765886281</v>
      </c>
      <c r="AO46" s="1088">
        <v>5.0199999999999996</v>
      </c>
      <c r="AP46" s="1088"/>
      <c r="AQ46" s="1150"/>
      <c r="AR46" s="1150"/>
      <c r="AS46" s="1118">
        <f t="shared" si="1"/>
        <v>5.0199999999999996</v>
      </c>
      <c r="AT46" s="1124">
        <v>20.8</v>
      </c>
      <c r="AU46" s="1124"/>
      <c r="AV46" s="1150"/>
      <c r="AW46" s="1150"/>
      <c r="AX46" s="1124">
        <v>12</v>
      </c>
      <c r="AY46" s="1151"/>
      <c r="AZ46" s="1150"/>
      <c r="BA46" s="1150"/>
      <c r="BB46" s="1124">
        <v>85.1</v>
      </c>
      <c r="BC46" s="1124">
        <v>80.5</v>
      </c>
      <c r="BD46" s="1124"/>
      <c r="BE46" s="1124"/>
      <c r="BF46" s="1150"/>
      <c r="BG46" s="1150"/>
      <c r="BH46" s="1150"/>
      <c r="BI46" s="1150"/>
      <c r="BJ46" s="1124">
        <v>40.299999999999997</v>
      </c>
      <c r="BK46" s="1124">
        <v>36.200000000000003</v>
      </c>
      <c r="BL46" s="1124"/>
      <c r="BM46" s="1124"/>
      <c r="BN46" s="1150"/>
      <c r="BO46" s="1150"/>
      <c r="BP46" s="1150"/>
      <c r="BQ46" s="1150"/>
      <c r="BR46" s="1145">
        <v>15</v>
      </c>
      <c r="BS46" s="1145">
        <v>28</v>
      </c>
      <c r="BT46" s="1145">
        <v>3</v>
      </c>
      <c r="BU46" s="1145">
        <v>41</v>
      </c>
      <c r="BV46" s="1145"/>
      <c r="BW46" s="1145"/>
      <c r="BX46" s="1145"/>
      <c r="BY46" s="1145"/>
      <c r="BZ46" s="1150"/>
      <c r="CA46" s="1150"/>
      <c r="CB46" s="1150"/>
      <c r="CC46" s="1150"/>
      <c r="CD46" s="1121">
        <f t="shared" si="2"/>
        <v>15.466666666666667</v>
      </c>
      <c r="CE46" s="1117">
        <f t="shared" si="3"/>
        <v>3.6833333333333336</v>
      </c>
      <c r="CF46" s="1117">
        <f t="shared" si="4"/>
        <v>0</v>
      </c>
      <c r="CG46" s="1117">
        <f t="shared" si="5"/>
        <v>0</v>
      </c>
      <c r="CH46" s="1150"/>
      <c r="CI46" s="1150"/>
      <c r="CJ46" s="1150"/>
      <c r="CK46" s="1150"/>
      <c r="CL46" s="1155">
        <v>52</v>
      </c>
      <c r="CM46" s="1156">
        <v>1.5</v>
      </c>
      <c r="CN46" s="1152" t="s">
        <v>1716</v>
      </c>
      <c r="CO46" s="1153">
        <v>46092</v>
      </c>
      <c r="CP46" s="1090" t="s">
        <v>1547</v>
      </c>
      <c r="CQ46" s="1088">
        <v>316.89999999999998</v>
      </c>
      <c r="CR46" s="1119">
        <v>315</v>
      </c>
      <c r="CS46" s="1159" t="s">
        <v>1729</v>
      </c>
      <c r="CT46" s="1152">
        <f t="shared" si="18"/>
        <v>100.60317460317461</v>
      </c>
      <c r="CU46" s="1088">
        <v>4.84</v>
      </c>
      <c r="CV46" s="1032" t="s">
        <v>62</v>
      </c>
      <c r="CW46" s="1128"/>
      <c r="CX46" s="1126"/>
      <c r="CY46" s="1163"/>
      <c r="CZ46" s="775"/>
      <c r="DA46" s="1125"/>
      <c r="DB46" s="1125"/>
      <c r="DC46" s="1125"/>
      <c r="DD46" s="1125"/>
      <c r="DE46" s="1164"/>
      <c r="DF46" s="1164"/>
      <c r="DG46" s="1164"/>
      <c r="DH46" s="1164"/>
      <c r="DI46" s="1164"/>
      <c r="DJ46" s="1164"/>
      <c r="DK46" s="1164"/>
      <c r="DL46" s="1164"/>
      <c r="DM46" s="1165"/>
      <c r="DN46" s="1130"/>
      <c r="DO46" s="1131"/>
      <c r="DP46" s="1132"/>
      <c r="DQ46" s="1164"/>
      <c r="DR46" s="1164"/>
      <c r="DS46" s="1169"/>
      <c r="DT46" s="1164"/>
      <c r="DU46" s="1134"/>
      <c r="DV46" s="1165"/>
      <c r="DW46" s="1165"/>
      <c r="DX46" s="1165"/>
      <c r="DY46" s="1165"/>
      <c r="DZ46" s="1165"/>
      <c r="EA46" s="1165"/>
      <c r="EB46" s="1165"/>
      <c r="EC46" s="1165"/>
      <c r="ED46" s="1164"/>
      <c r="EE46" s="1164"/>
      <c r="EF46" s="1164"/>
      <c r="EG46" s="1164"/>
      <c r="EH46" s="1164"/>
      <c r="EI46" s="1164"/>
      <c r="EJ46" s="1164"/>
      <c r="EK46" s="1164"/>
      <c r="EL46" s="1164"/>
      <c r="EM46" s="1092"/>
      <c r="EN46" s="1164"/>
      <c r="EO46" s="1092"/>
      <c r="EP46" s="1164"/>
      <c r="EQ46" s="1092"/>
      <c r="ER46" s="1164"/>
      <c r="ES46" s="1092"/>
      <c r="ET46" s="1164"/>
      <c r="EU46" s="1092"/>
      <c r="EV46" s="1164"/>
      <c r="EW46" s="1092"/>
      <c r="EX46" s="1164"/>
      <c r="EY46" s="1092"/>
      <c r="EZ46" s="1164"/>
      <c r="FA46" s="1092"/>
      <c r="FB46" s="1164"/>
      <c r="FC46" s="1164"/>
      <c r="FD46" s="1164"/>
      <c r="FE46" s="1164"/>
      <c r="FF46" s="1164"/>
      <c r="FG46" s="1164"/>
      <c r="FH46" s="1164"/>
      <c r="FI46" s="1164"/>
      <c r="FJ46" s="1164"/>
      <c r="FK46" s="1164"/>
      <c r="FL46" s="1164"/>
      <c r="FM46" s="1164"/>
      <c r="FN46" s="1164"/>
      <c r="FO46" s="1164"/>
      <c r="FP46" s="1164"/>
      <c r="FQ46" s="1164"/>
      <c r="FR46" s="1137"/>
      <c r="FS46" s="1092"/>
      <c r="FT46" s="1136"/>
      <c r="FU46" s="1092"/>
      <c r="FV46" s="1136"/>
      <c r="FW46" s="1092"/>
      <c r="FX46" s="1136"/>
      <c r="FY46" s="1092"/>
      <c r="FZ46" s="1125"/>
      <c r="GA46" s="1138"/>
      <c r="GB46" s="1125"/>
      <c r="GC46" s="1092"/>
      <c r="GD46" s="1139"/>
      <c r="GE46" s="1135"/>
      <c r="GF46" s="1140"/>
      <c r="GG46" s="1140"/>
      <c r="GH46" s="1103" t="s">
        <v>583</v>
      </c>
      <c r="GI46" s="1098" t="s">
        <v>584</v>
      </c>
      <c r="GJ46" s="1098" t="s">
        <v>585</v>
      </c>
      <c r="GK46" s="1461" t="s">
        <v>277</v>
      </c>
    </row>
    <row r="47" spans="2:193">
      <c r="B47" s="1104" t="s">
        <v>583</v>
      </c>
      <c r="C47" s="1105"/>
      <c r="D47" s="1105"/>
      <c r="E47" s="1106"/>
      <c r="F47" s="1107"/>
      <c r="G47" s="1108"/>
      <c r="H47" s="807"/>
      <c r="I47" s="1438"/>
      <c r="J47" s="1109">
        <v>2</v>
      </c>
      <c r="K47" s="1089" t="s">
        <v>1709</v>
      </c>
      <c r="L47" s="1089" t="s">
        <v>1716</v>
      </c>
      <c r="M47" s="1087">
        <v>46091</v>
      </c>
      <c r="N47" s="1145">
        <v>1</v>
      </c>
      <c r="O47" s="1146" t="s">
        <v>1041</v>
      </c>
      <c r="P47" s="1090" t="s">
        <v>1740</v>
      </c>
      <c r="Q47" s="1080" t="s">
        <v>1717</v>
      </c>
      <c r="R47" s="1147" t="s">
        <v>1742</v>
      </c>
      <c r="S47" s="1080">
        <f>38*2</f>
        <v>76</v>
      </c>
      <c r="T47" s="1080"/>
      <c r="U47" s="1080">
        <v>74.7</v>
      </c>
      <c r="V47" s="1080">
        <v>74.900000000000006</v>
      </c>
      <c r="W47" s="1145">
        <v>74.5</v>
      </c>
      <c r="X47" s="1145">
        <v>73.900000000000006</v>
      </c>
      <c r="Y47" s="1150"/>
      <c r="Z47" s="1150"/>
      <c r="AA47" s="1150"/>
      <c r="AB47" s="1150"/>
      <c r="AC47" s="851">
        <v>74.3</v>
      </c>
      <c r="AD47" s="851">
        <v>74.599999999999994</v>
      </c>
      <c r="AE47" s="851">
        <v>74</v>
      </c>
      <c r="AF47" s="851">
        <v>73.599999999999994</v>
      </c>
      <c r="AG47" s="1115"/>
      <c r="AH47" s="1115"/>
      <c r="AI47" s="1115"/>
      <c r="AJ47" s="1115"/>
      <c r="AK47" s="1088">
        <f>154.83+155.57</f>
        <v>310.39999999999998</v>
      </c>
      <c r="AL47" s="1110">
        <v>299</v>
      </c>
      <c r="AM47" s="1110" t="s">
        <v>1728</v>
      </c>
      <c r="AN47" s="1117">
        <f t="shared" si="0"/>
        <v>103.81270903010034</v>
      </c>
      <c r="AO47" s="1088">
        <v>4.96</v>
      </c>
      <c r="AP47" s="1088">
        <v>5</v>
      </c>
      <c r="AQ47" s="1150"/>
      <c r="AR47" s="1150"/>
      <c r="AS47" s="1118">
        <f t="shared" si="1"/>
        <v>4.9800000000000004</v>
      </c>
      <c r="AT47" s="1124">
        <v>22</v>
      </c>
      <c r="AU47" s="1124">
        <v>20.7</v>
      </c>
      <c r="AV47" s="1150"/>
      <c r="AW47" s="1150"/>
      <c r="AX47" s="1124">
        <v>13</v>
      </c>
      <c r="AY47" s="1151">
        <v>12.6</v>
      </c>
      <c r="AZ47" s="1150"/>
      <c r="BA47" s="1150"/>
      <c r="BB47" s="1124">
        <v>80.3</v>
      </c>
      <c r="BC47" s="1124">
        <v>82.8</v>
      </c>
      <c r="BD47" s="1124">
        <v>80.3</v>
      </c>
      <c r="BE47" s="1124">
        <v>80.5</v>
      </c>
      <c r="BF47" s="1150"/>
      <c r="BG47" s="1150"/>
      <c r="BH47" s="1150"/>
      <c r="BI47" s="1150"/>
      <c r="BJ47" s="1124">
        <v>40</v>
      </c>
      <c r="BK47" s="1124">
        <v>36</v>
      </c>
      <c r="BL47" s="1124">
        <v>40.299999999999997</v>
      </c>
      <c r="BM47" s="1124">
        <v>35.799999999999997</v>
      </c>
      <c r="BN47" s="1150"/>
      <c r="BO47" s="1150"/>
      <c r="BP47" s="1150"/>
      <c r="BQ47" s="1150"/>
      <c r="BR47" s="1145">
        <v>15</v>
      </c>
      <c r="BS47" s="1145">
        <v>20</v>
      </c>
      <c r="BT47" s="1145">
        <v>2</v>
      </c>
      <c r="BU47" s="1145">
        <v>5</v>
      </c>
      <c r="BV47" s="1145">
        <v>18</v>
      </c>
      <c r="BW47" s="1145">
        <v>18</v>
      </c>
      <c r="BX47" s="1145">
        <v>2</v>
      </c>
      <c r="BY47" s="1145">
        <v>12</v>
      </c>
      <c r="BZ47" s="1150"/>
      <c r="CA47" s="1150"/>
      <c r="CB47" s="1150"/>
      <c r="CC47" s="1150"/>
      <c r="CD47" s="1121">
        <f t="shared" si="2"/>
        <v>15.333333333333334</v>
      </c>
      <c r="CE47" s="1117">
        <f t="shared" si="3"/>
        <v>2.0833333333333335</v>
      </c>
      <c r="CF47" s="1117">
        <f t="shared" si="4"/>
        <v>18.3</v>
      </c>
      <c r="CG47" s="1117">
        <f t="shared" si="5"/>
        <v>2.2000000000000002</v>
      </c>
      <c r="CH47" s="1150"/>
      <c r="CI47" s="1150"/>
      <c r="CJ47" s="1150"/>
      <c r="CK47" s="1150"/>
      <c r="CL47" s="1110">
        <v>52</v>
      </c>
      <c r="CM47" s="1122">
        <v>1.5</v>
      </c>
      <c r="CN47" s="1116" t="s">
        <v>1716</v>
      </c>
      <c r="CO47" s="1153">
        <v>46091</v>
      </c>
      <c r="CP47" s="1089" t="s">
        <v>1547</v>
      </c>
      <c r="CQ47" s="1088">
        <v>326.3</v>
      </c>
      <c r="CR47" s="1119">
        <v>315</v>
      </c>
      <c r="CS47" s="1159" t="s">
        <v>1729</v>
      </c>
      <c r="CT47" s="1152">
        <f t="shared" si="18"/>
        <v>103.58730158730158</v>
      </c>
      <c r="CU47" s="1088"/>
      <c r="CV47" s="955" t="s">
        <v>62</v>
      </c>
      <c r="CW47" s="1125" t="s">
        <v>1730</v>
      </c>
      <c r="CX47" s="1126" t="s">
        <v>1716</v>
      </c>
      <c r="CY47" s="1163">
        <v>46091</v>
      </c>
      <c r="CZ47" s="775">
        <v>2</v>
      </c>
      <c r="DA47" s="1125" t="s">
        <v>932</v>
      </c>
      <c r="DB47" s="1125" t="s">
        <v>1746</v>
      </c>
      <c r="DC47" s="1125" t="s">
        <v>1717</v>
      </c>
      <c r="DD47" s="1125">
        <f>50*4</f>
        <v>200</v>
      </c>
      <c r="DE47" s="1164">
        <v>71.5</v>
      </c>
      <c r="DF47" s="1164">
        <v>71.2</v>
      </c>
      <c r="DG47" s="1164">
        <v>71.7</v>
      </c>
      <c r="DH47" s="1164">
        <v>71.900000000000006</v>
      </c>
      <c r="DI47" s="1164">
        <v>71.099999999999994</v>
      </c>
      <c r="DJ47" s="1164">
        <v>71.8</v>
      </c>
      <c r="DK47" s="1164">
        <v>71.400000000000006</v>
      </c>
      <c r="DL47" s="1164">
        <v>71.7</v>
      </c>
      <c r="DM47" s="1165">
        <f>134.01+134.01+136.94+136.55</f>
        <v>541.51</v>
      </c>
      <c r="DN47" s="1130">
        <v>531.53</v>
      </c>
      <c r="DO47" s="1131" t="s">
        <v>1734</v>
      </c>
      <c r="DP47" s="1132">
        <f>DM47/DN47*100</f>
        <v>101.87759863036894</v>
      </c>
      <c r="DQ47" s="1164">
        <v>3.37</v>
      </c>
      <c r="DR47" s="1164">
        <v>3.47</v>
      </c>
      <c r="DS47" s="1169">
        <v>3.22</v>
      </c>
      <c r="DT47" s="1164">
        <v>3.22</v>
      </c>
      <c r="DU47" s="1134">
        <f>AVERAGE(DQ47:DT47)</f>
        <v>3.3200000000000003</v>
      </c>
      <c r="DV47" s="1165">
        <v>71.3</v>
      </c>
      <c r="DW47" s="1165">
        <v>71</v>
      </c>
      <c r="DX47" s="1165">
        <v>71.3</v>
      </c>
      <c r="DY47" s="1165">
        <v>71.599999999999994</v>
      </c>
      <c r="DZ47" s="1165">
        <v>70.900000000000006</v>
      </c>
      <c r="EA47" s="1165">
        <v>71.400000000000006</v>
      </c>
      <c r="EB47" s="1165">
        <v>70.8</v>
      </c>
      <c r="EC47" s="1165">
        <v>71.400000000000006</v>
      </c>
      <c r="ED47" s="1164">
        <v>19.100000000000001</v>
      </c>
      <c r="EE47" s="1164">
        <v>18.8</v>
      </c>
      <c r="EF47" s="1164">
        <v>18.3</v>
      </c>
      <c r="EG47" s="1164">
        <v>18.7</v>
      </c>
      <c r="EH47" s="1164">
        <v>11</v>
      </c>
      <c r="EI47" s="1164">
        <v>10.8</v>
      </c>
      <c r="EJ47" s="1164">
        <v>10.3</v>
      </c>
      <c r="EK47" s="1164">
        <v>10.9</v>
      </c>
      <c r="EL47" s="1164">
        <v>84.1</v>
      </c>
      <c r="EM47" s="1092"/>
      <c r="EN47" s="1164">
        <v>76.8</v>
      </c>
      <c r="EO47" s="1092"/>
      <c r="EP47" s="1164">
        <v>82.6</v>
      </c>
      <c r="EQ47" s="1092"/>
      <c r="ER47" s="1164">
        <v>85</v>
      </c>
      <c r="ES47" s="1092"/>
      <c r="ET47" s="1164">
        <v>43</v>
      </c>
      <c r="EU47" s="1092"/>
      <c r="EV47" s="1164">
        <v>40.799999999999997</v>
      </c>
      <c r="EW47" s="1092"/>
      <c r="EX47" s="1164">
        <v>40.700000000000003</v>
      </c>
      <c r="EY47" s="1092"/>
      <c r="EZ47" s="1164">
        <v>41.8</v>
      </c>
      <c r="FA47" s="1092"/>
      <c r="FB47" s="1164">
        <v>35</v>
      </c>
      <c r="FC47" s="1164">
        <v>10</v>
      </c>
      <c r="FD47" s="1164">
        <v>34</v>
      </c>
      <c r="FE47" s="1164">
        <v>4</v>
      </c>
      <c r="FF47" s="1164">
        <v>37</v>
      </c>
      <c r="FG47" s="1164">
        <v>25</v>
      </c>
      <c r="FH47" s="1164">
        <v>36</v>
      </c>
      <c r="FI47" s="1164">
        <v>54</v>
      </c>
      <c r="FJ47" s="1164"/>
      <c r="FK47" s="1164"/>
      <c r="FL47" s="1164"/>
      <c r="FM47" s="1164"/>
      <c r="FN47" s="1164"/>
      <c r="FO47" s="1164"/>
      <c r="FP47" s="1164"/>
      <c r="FQ47" s="1164"/>
      <c r="FR47" s="1137">
        <f t="shared" ref="FR47:FV47" si="21">FB47+(FC47/60)</f>
        <v>35.166666666666664</v>
      </c>
      <c r="FS47" s="1092"/>
      <c r="FT47" s="1136">
        <f t="shared" si="21"/>
        <v>34.06666666666667</v>
      </c>
      <c r="FU47" s="1092"/>
      <c r="FV47" s="1136">
        <f t="shared" si="21"/>
        <v>37.416666666666664</v>
      </c>
      <c r="FW47" s="1092"/>
      <c r="FX47" s="1136">
        <f>FH47+(FI47/60)</f>
        <v>36.9</v>
      </c>
      <c r="FY47" s="1092"/>
      <c r="FZ47" s="1125">
        <v>52</v>
      </c>
      <c r="GA47" s="1138">
        <v>1.5</v>
      </c>
      <c r="GB47" s="1125" t="s">
        <v>62</v>
      </c>
      <c r="GC47" s="1092"/>
      <c r="GD47" s="1139"/>
      <c r="GE47" s="1135"/>
      <c r="GF47" s="1140"/>
      <c r="GG47" s="1140"/>
      <c r="GH47" s="1103" t="s">
        <v>583</v>
      </c>
      <c r="GI47" s="1098" t="s">
        <v>584</v>
      </c>
      <c r="GJ47" s="1098" t="s">
        <v>585</v>
      </c>
      <c r="GK47" s="1076" t="s">
        <v>277</v>
      </c>
    </row>
    <row r="48" spans="2:193">
      <c r="B48" s="1103" t="s">
        <v>583</v>
      </c>
      <c r="C48" s="1098"/>
      <c r="D48" s="1098"/>
      <c r="E48" s="1076"/>
      <c r="F48" s="856"/>
      <c r="G48" s="936"/>
      <c r="H48" s="3"/>
      <c r="I48" s="1469"/>
      <c r="J48" s="1144">
        <v>3</v>
      </c>
      <c r="K48" s="1089" t="s">
        <v>1709</v>
      </c>
      <c r="L48" s="1089" t="s">
        <v>1716</v>
      </c>
      <c r="M48" s="1087">
        <v>46107</v>
      </c>
      <c r="N48" s="1145">
        <v>1</v>
      </c>
      <c r="O48" s="1146" t="s">
        <v>1041</v>
      </c>
      <c r="P48" s="1090">
        <v>1</v>
      </c>
      <c r="Q48" s="1080" t="s">
        <v>1717</v>
      </c>
      <c r="R48" s="1147" t="s">
        <v>1745</v>
      </c>
      <c r="S48" s="1080"/>
      <c r="T48" s="1080"/>
      <c r="U48" s="1080"/>
      <c r="V48" s="1080"/>
      <c r="W48" s="1145"/>
      <c r="X48" s="1145"/>
      <c r="Y48" s="1150"/>
      <c r="Z48" s="1150"/>
      <c r="AA48" s="1150"/>
      <c r="AB48" s="1150"/>
      <c r="AC48" s="851"/>
      <c r="AD48" s="851"/>
      <c r="AE48" s="851"/>
      <c r="AF48" s="851"/>
      <c r="AG48" s="1115"/>
      <c r="AH48" s="1115"/>
      <c r="AI48" s="1115"/>
      <c r="AJ48" s="1115"/>
      <c r="AK48" s="1088"/>
      <c r="AL48" s="1110"/>
      <c r="AM48" s="1145"/>
      <c r="AN48" s="1121"/>
      <c r="AO48" s="1088"/>
      <c r="AP48" s="1088"/>
      <c r="AQ48" s="1150"/>
      <c r="AR48" s="1150"/>
      <c r="AS48" s="1118"/>
      <c r="AT48" s="1124"/>
      <c r="AU48" s="1124"/>
      <c r="AV48" s="1150"/>
      <c r="AW48" s="1150"/>
      <c r="AX48" s="1124"/>
      <c r="AY48" s="1151"/>
      <c r="AZ48" s="1150"/>
      <c r="BA48" s="1150"/>
      <c r="BB48" s="1124"/>
      <c r="BC48" s="1124"/>
      <c r="BD48" s="1124"/>
      <c r="BE48" s="1124"/>
      <c r="BF48" s="1150"/>
      <c r="BG48" s="1150"/>
      <c r="BH48" s="1150"/>
      <c r="BI48" s="1150"/>
      <c r="BJ48" s="1124"/>
      <c r="BK48" s="1124"/>
      <c r="BL48" s="1124"/>
      <c r="BM48" s="1124"/>
      <c r="BN48" s="1150"/>
      <c r="BO48" s="1150"/>
      <c r="BP48" s="1150"/>
      <c r="BQ48" s="1150"/>
      <c r="BR48" s="1145"/>
      <c r="BS48" s="1145"/>
      <c r="BT48" s="1145"/>
      <c r="BU48" s="1145"/>
      <c r="BV48" s="1145"/>
      <c r="BW48" s="1145"/>
      <c r="BX48" s="1145"/>
      <c r="BY48" s="1145"/>
      <c r="BZ48" s="1150"/>
      <c r="CA48" s="1150"/>
      <c r="CB48" s="1150"/>
      <c r="CC48" s="1150"/>
      <c r="CD48" s="1121"/>
      <c r="CE48" s="1121"/>
      <c r="CF48" s="1117"/>
      <c r="CG48" s="1121"/>
      <c r="CH48" s="1150"/>
      <c r="CI48" s="1150"/>
      <c r="CJ48" s="1150"/>
      <c r="CK48" s="1150"/>
      <c r="CL48" s="1110"/>
      <c r="CM48" s="1122"/>
      <c r="CN48" s="1116"/>
      <c r="CO48" s="1153"/>
      <c r="CP48" s="1089"/>
      <c r="CQ48" s="1088"/>
      <c r="CR48" s="1124"/>
      <c r="CS48" s="1119"/>
      <c r="CT48" s="1116"/>
      <c r="CU48" s="1088"/>
      <c r="CV48" s="955"/>
      <c r="CW48" s="1125"/>
      <c r="CX48" s="1126"/>
      <c r="CY48" s="1163"/>
      <c r="CZ48" s="775"/>
      <c r="DA48" s="1164"/>
      <c r="DB48" s="1164"/>
      <c r="DC48" s="1164"/>
      <c r="DD48" s="1164"/>
      <c r="DE48" s="1164"/>
      <c r="DF48" s="1164"/>
      <c r="DG48" s="1164"/>
      <c r="DH48" s="1164"/>
      <c r="DI48" s="1164"/>
      <c r="DJ48" s="1164"/>
      <c r="DK48" s="1164"/>
      <c r="DL48" s="1164"/>
      <c r="DM48" s="1165"/>
      <c r="DN48" s="1166"/>
      <c r="DO48" s="1167"/>
      <c r="DP48" s="1168"/>
      <c r="DQ48" s="1164"/>
      <c r="DR48" s="1164"/>
      <c r="DS48" s="1169"/>
      <c r="DT48" s="1164"/>
      <c r="DU48" s="1134"/>
      <c r="DV48" s="1165"/>
      <c r="DW48" s="1165"/>
      <c r="DX48" s="1165"/>
      <c r="DY48" s="1165"/>
      <c r="DZ48" s="1165"/>
      <c r="EA48" s="1165"/>
      <c r="EB48" s="1165"/>
      <c r="EC48" s="1165"/>
      <c r="ED48" s="1164"/>
      <c r="EE48" s="1164"/>
      <c r="EF48" s="1164"/>
      <c r="EG48" s="1164"/>
      <c r="EH48" s="1164"/>
      <c r="EI48" s="1164"/>
      <c r="EJ48" s="1164"/>
      <c r="EK48" s="1164"/>
      <c r="EL48" s="1164"/>
      <c r="EM48" s="1092"/>
      <c r="EN48" s="1164"/>
      <c r="EO48" s="1092"/>
      <c r="EP48" s="1164"/>
      <c r="EQ48" s="1092"/>
      <c r="ER48" s="1164"/>
      <c r="ES48" s="1092"/>
      <c r="ET48" s="1164"/>
      <c r="EU48" s="1092"/>
      <c r="EV48" s="1164"/>
      <c r="EW48" s="1092"/>
      <c r="EX48" s="1164"/>
      <c r="EY48" s="1092"/>
      <c r="EZ48" s="1164"/>
      <c r="FA48" s="1092"/>
      <c r="FB48" s="1164"/>
      <c r="FC48" s="1164"/>
      <c r="FD48" s="1164"/>
      <c r="FE48" s="1164"/>
      <c r="FF48" s="1164"/>
      <c r="FG48" s="1164"/>
      <c r="FH48" s="1164"/>
      <c r="FI48" s="1164"/>
      <c r="FJ48" s="1164"/>
      <c r="FK48" s="1164"/>
      <c r="FL48" s="1164"/>
      <c r="FM48" s="1164"/>
      <c r="FN48" s="1164"/>
      <c r="FO48" s="1164"/>
      <c r="FP48" s="1164"/>
      <c r="FQ48" s="1164"/>
      <c r="FR48" s="1137"/>
      <c r="FS48" s="1092"/>
      <c r="FT48" s="1171"/>
      <c r="FU48" s="1092"/>
      <c r="FV48" s="1171"/>
      <c r="FW48" s="1092"/>
      <c r="FX48" s="1171"/>
      <c r="FY48" s="1092"/>
      <c r="FZ48" s="1164"/>
      <c r="GA48" s="1172"/>
      <c r="GB48" s="1164"/>
      <c r="GC48" s="1092"/>
      <c r="GD48" s="1139"/>
      <c r="GE48" s="1135"/>
      <c r="GF48" s="1140"/>
      <c r="GG48" s="1140"/>
      <c r="GH48" s="1103" t="s">
        <v>583</v>
      </c>
      <c r="GI48" s="1098" t="s">
        <v>584</v>
      </c>
      <c r="GJ48" s="1098" t="s">
        <v>585</v>
      </c>
      <c r="GK48" s="1076" t="s">
        <v>277</v>
      </c>
    </row>
    <row r="49" spans="2:193">
      <c r="B49" s="1103" t="s">
        <v>583</v>
      </c>
      <c r="C49" s="1098"/>
      <c r="D49" s="1098"/>
      <c r="E49" s="1076"/>
      <c r="F49" s="856"/>
      <c r="G49" s="936"/>
      <c r="H49" s="3"/>
      <c r="I49" s="1469"/>
      <c r="J49" s="1144">
        <v>4</v>
      </c>
      <c r="K49" s="1089" t="s">
        <v>1709</v>
      </c>
      <c r="L49" s="1089" t="s">
        <v>1716</v>
      </c>
      <c r="M49" s="1102">
        <v>46107</v>
      </c>
      <c r="N49" s="1110">
        <v>1</v>
      </c>
      <c r="O49" s="1111" t="s">
        <v>1041</v>
      </c>
      <c r="P49" s="1089">
        <v>2</v>
      </c>
      <c r="Q49" s="1080" t="s">
        <v>1717</v>
      </c>
      <c r="R49" s="1147" t="s">
        <v>1745</v>
      </c>
      <c r="S49" s="1149"/>
      <c r="T49" s="1080"/>
      <c r="U49" s="1080"/>
      <c r="V49" s="1080"/>
      <c r="W49" s="1145"/>
      <c r="X49" s="1145"/>
      <c r="Y49" s="1150"/>
      <c r="Z49" s="1150"/>
      <c r="AA49" s="1150"/>
      <c r="AB49" s="1150"/>
      <c r="AC49" s="851"/>
      <c r="AD49" s="851"/>
      <c r="AE49" s="851"/>
      <c r="AF49" s="851"/>
      <c r="AG49" s="1115"/>
      <c r="AH49" s="1115"/>
      <c r="AI49" s="1115"/>
      <c r="AJ49" s="1115"/>
      <c r="AK49" s="1088"/>
      <c r="AL49" s="1110"/>
      <c r="AM49" s="1145"/>
      <c r="AN49" s="1121"/>
      <c r="AO49" s="1088"/>
      <c r="AP49" s="1088"/>
      <c r="AQ49" s="1150"/>
      <c r="AR49" s="1150"/>
      <c r="AS49" s="1118"/>
      <c r="AT49" s="1124"/>
      <c r="AU49" s="1124"/>
      <c r="AV49" s="1150"/>
      <c r="AW49" s="1150"/>
      <c r="AX49" s="1124"/>
      <c r="AY49" s="1151"/>
      <c r="AZ49" s="1150"/>
      <c r="BA49" s="1150"/>
      <c r="BB49" s="1124"/>
      <c r="BC49" s="1124"/>
      <c r="BD49" s="1124"/>
      <c r="BE49" s="1124"/>
      <c r="BF49" s="1150"/>
      <c r="BG49" s="1150"/>
      <c r="BH49" s="1150"/>
      <c r="BI49" s="1150"/>
      <c r="BJ49" s="1124"/>
      <c r="BK49" s="1124"/>
      <c r="BL49" s="1124"/>
      <c r="BM49" s="1124"/>
      <c r="BN49" s="1150"/>
      <c r="BO49" s="1150"/>
      <c r="BP49" s="1150"/>
      <c r="BQ49" s="1150"/>
      <c r="BR49" s="1145"/>
      <c r="BS49" s="1145"/>
      <c r="BT49" s="1145"/>
      <c r="BU49" s="1145"/>
      <c r="BV49" s="1145"/>
      <c r="BW49" s="1145"/>
      <c r="BX49" s="1145"/>
      <c r="BY49" s="1145"/>
      <c r="BZ49" s="1150"/>
      <c r="CA49" s="1150"/>
      <c r="CB49" s="1150"/>
      <c r="CC49" s="1150"/>
      <c r="CD49" s="1121"/>
      <c r="CE49" s="1121"/>
      <c r="CF49" s="1117"/>
      <c r="CG49" s="1121"/>
      <c r="CH49" s="1150"/>
      <c r="CI49" s="1150"/>
      <c r="CJ49" s="1150"/>
      <c r="CK49" s="1150"/>
      <c r="CL49" s="1110"/>
      <c r="CM49" s="1122"/>
      <c r="CN49" s="1116"/>
      <c r="CO49" s="1153"/>
      <c r="CP49" s="1089"/>
      <c r="CQ49" s="1088"/>
      <c r="CR49" s="1124"/>
      <c r="CS49" s="1119"/>
      <c r="CT49" s="1116"/>
      <c r="CU49" s="1088"/>
      <c r="CV49" s="955"/>
      <c r="CW49" s="1125"/>
      <c r="CX49" s="1126"/>
      <c r="CY49" s="1163"/>
      <c r="CZ49" s="775"/>
      <c r="DA49" s="1164"/>
      <c r="DB49" s="1164"/>
      <c r="DC49" s="1164"/>
      <c r="DD49" s="1164"/>
      <c r="DE49" s="1164"/>
      <c r="DF49" s="1164"/>
      <c r="DG49" s="1164"/>
      <c r="DH49" s="1164"/>
      <c r="DI49" s="1164"/>
      <c r="DJ49" s="1164"/>
      <c r="DK49" s="1164"/>
      <c r="DL49" s="1164"/>
      <c r="DM49" s="1165"/>
      <c r="DN49" s="1166"/>
      <c r="DO49" s="1167"/>
      <c r="DP49" s="1168"/>
      <c r="DQ49" s="1164"/>
      <c r="DR49" s="1164"/>
      <c r="DS49" s="1169"/>
      <c r="DT49" s="1164"/>
      <c r="DU49" s="1134"/>
      <c r="DV49" s="1165"/>
      <c r="DW49" s="1165"/>
      <c r="DX49" s="1165"/>
      <c r="DY49" s="1165"/>
      <c r="DZ49" s="1165"/>
      <c r="EA49" s="1165"/>
      <c r="EB49" s="1165"/>
      <c r="EC49" s="1165"/>
      <c r="ED49" s="1164"/>
      <c r="EE49" s="1164"/>
      <c r="EF49" s="1164"/>
      <c r="EG49" s="1164"/>
      <c r="EH49" s="1164"/>
      <c r="EI49" s="1164"/>
      <c r="EJ49" s="1164"/>
      <c r="EK49" s="1164"/>
      <c r="EL49" s="1164"/>
      <c r="EM49" s="1092"/>
      <c r="EN49" s="1164"/>
      <c r="EO49" s="1092"/>
      <c r="EP49" s="1164"/>
      <c r="EQ49" s="1092"/>
      <c r="ER49" s="1164"/>
      <c r="ES49" s="1092"/>
      <c r="ET49" s="1164"/>
      <c r="EU49" s="1092"/>
      <c r="EV49" s="1164"/>
      <c r="EW49" s="1092"/>
      <c r="EX49" s="1164"/>
      <c r="EY49" s="1092"/>
      <c r="EZ49" s="1164"/>
      <c r="FA49" s="1092"/>
      <c r="FB49" s="1164"/>
      <c r="FC49" s="1164"/>
      <c r="FD49" s="1164"/>
      <c r="FE49" s="1164"/>
      <c r="FF49" s="1164"/>
      <c r="FG49" s="1164"/>
      <c r="FH49" s="1164"/>
      <c r="FI49" s="1164"/>
      <c r="FJ49" s="1164"/>
      <c r="FK49" s="1164"/>
      <c r="FL49" s="1164"/>
      <c r="FM49" s="1164"/>
      <c r="FN49" s="1164"/>
      <c r="FO49" s="1164"/>
      <c r="FP49" s="1164"/>
      <c r="FQ49" s="1164"/>
      <c r="FR49" s="1137"/>
      <c r="FS49" s="1092"/>
      <c r="FT49" s="1171"/>
      <c r="FU49" s="1092"/>
      <c r="FV49" s="1171"/>
      <c r="FW49" s="1092"/>
      <c r="FX49" s="1171"/>
      <c r="FY49" s="1092"/>
      <c r="FZ49" s="1164"/>
      <c r="GA49" s="1172"/>
      <c r="GB49" s="1164"/>
      <c r="GC49" s="1092"/>
      <c r="GD49" s="1139"/>
      <c r="GE49" s="1135"/>
      <c r="GF49" s="1140"/>
      <c r="GG49" s="1140"/>
      <c r="GH49" s="1141" t="s">
        <v>583</v>
      </c>
      <c r="GI49" s="1142" t="s">
        <v>584</v>
      </c>
      <c r="GJ49" s="1142" t="s">
        <v>585</v>
      </c>
      <c r="GK49" s="1077" t="s">
        <v>277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EW3082"/>
  <sheetViews>
    <sheetView zoomScale="90" zoomScaleNormal="90" workbookViewId="0">
      <pane xSplit="6" ySplit="6" topLeftCell="H1075" activePane="bottomRight" state="frozen"/>
      <selection pane="topRight"/>
      <selection pane="bottomLeft"/>
      <selection pane="bottomRight" activeCell="C1" sqref="C1:Z1"/>
    </sheetView>
  </sheetViews>
  <sheetFormatPr defaultColWidth="9.109375" defaultRowHeight="14.4"/>
  <cols>
    <col min="1" max="1" width="2.44140625" customWidth="1"/>
    <col min="2" max="2" width="9.109375" style="711"/>
    <col min="3" max="3" width="47.6640625" style="2" customWidth="1"/>
    <col min="4" max="4" width="13.6640625" style="2" customWidth="1"/>
    <col min="5" max="5" width="11.44140625" style="712" customWidth="1"/>
    <col min="6" max="6" width="9.109375" style="713" customWidth="1"/>
    <col min="7" max="7" width="12.44140625" style="2" customWidth="1"/>
    <col min="8" max="8" width="12" style="2" customWidth="1"/>
    <col min="9" max="9" width="9.109375" style="2"/>
    <col min="10" max="10" width="10.77734375" style="2" customWidth="1"/>
    <col min="11" max="11" width="13.6640625" style="2" hidden="1" customWidth="1"/>
    <col min="12" max="12" width="32.77734375" style="714" customWidth="1"/>
    <col min="13" max="13" width="24" style="714" hidden="1" customWidth="1"/>
    <col min="14" max="14" width="32.77734375" style="714" customWidth="1"/>
    <col min="15" max="15" width="43.77734375" style="714" customWidth="1"/>
    <col min="16" max="16" width="19.44140625" style="715" customWidth="1"/>
    <col min="17" max="17" width="14.44140625" style="2" customWidth="1"/>
    <col min="18" max="18" width="15.44140625" style="2" customWidth="1"/>
    <col min="19" max="21" width="9.109375" style="2"/>
    <col min="22" max="22" width="11.44140625" style="2" customWidth="1"/>
    <col min="23" max="23" width="32.77734375" style="714" customWidth="1"/>
    <col min="24" max="24" width="11.44140625" style="714" hidden="1" customWidth="1"/>
    <col min="25" max="25" width="32.77734375" style="714" customWidth="1"/>
    <col min="26" max="26" width="21.77734375" style="714" customWidth="1"/>
    <col min="27" max="32" width="9.109375" customWidth="1"/>
    <col min="33" max="33" width="9.44140625" customWidth="1"/>
    <col min="34" max="38" width="9.109375" customWidth="1"/>
    <col min="39" max="39" width="19.44140625" customWidth="1"/>
  </cols>
  <sheetData>
    <row r="1" spans="2:39" s="705" customFormat="1" ht="21" customHeight="1">
      <c r="B1" s="716"/>
      <c r="C1" s="1507" t="s">
        <v>1766</v>
      </c>
      <c r="D1" s="1613"/>
      <c r="E1" s="1614"/>
      <c r="F1" s="1615"/>
      <c r="G1" s="1615"/>
      <c r="H1" s="1615"/>
      <c r="I1" s="1615"/>
      <c r="J1" s="1615"/>
      <c r="K1" s="1615"/>
      <c r="L1" s="1615"/>
      <c r="M1" s="1615"/>
      <c r="N1" s="1615"/>
      <c r="O1" s="1615"/>
      <c r="P1" s="1616"/>
      <c r="Q1" s="1613"/>
      <c r="R1" s="1615"/>
      <c r="S1" s="1615"/>
      <c r="T1" s="1615"/>
      <c r="U1" s="1615"/>
      <c r="V1" s="1615"/>
      <c r="W1" s="1615"/>
      <c r="X1" s="1615"/>
      <c r="Y1" s="1615"/>
      <c r="Z1" s="1615"/>
    </row>
    <row r="2" spans="2:39" s="705" customFormat="1" ht="18">
      <c r="B2" s="716"/>
      <c r="C2" s="1617" t="s">
        <v>1767</v>
      </c>
      <c r="D2" s="1613"/>
      <c r="E2" s="1614"/>
      <c r="F2" s="1615"/>
      <c r="G2" s="1615"/>
      <c r="H2" s="1615"/>
      <c r="I2" s="1615"/>
      <c r="J2" s="1615"/>
      <c r="K2" s="1615"/>
      <c r="L2" s="1615"/>
      <c r="M2" s="1615"/>
      <c r="N2" s="1615"/>
      <c r="O2" s="1615"/>
      <c r="P2" s="1616"/>
      <c r="Q2" s="1613"/>
      <c r="R2" s="1615"/>
      <c r="S2" s="1615"/>
      <c r="T2" s="1615"/>
      <c r="U2" s="1615"/>
      <c r="V2" s="1615"/>
      <c r="W2" s="1615"/>
      <c r="X2" s="1615"/>
      <c r="Y2" s="1615"/>
      <c r="Z2" s="1615"/>
    </row>
    <row r="3" spans="2:39" s="705" customFormat="1" ht="18">
      <c r="B3" s="718"/>
      <c r="C3" s="1617"/>
      <c r="D3" s="1613"/>
      <c r="E3" s="1614"/>
      <c r="F3" s="1615"/>
      <c r="G3" s="1615"/>
      <c r="H3" s="1615"/>
      <c r="I3" s="1615"/>
      <c r="J3" s="1615"/>
      <c r="K3" s="1615"/>
      <c r="L3" s="1615"/>
      <c r="M3" s="1615"/>
      <c r="N3" s="1615"/>
      <c r="O3" s="1615"/>
      <c r="P3" s="1616"/>
      <c r="Q3" s="1613"/>
      <c r="R3" s="1615"/>
      <c r="S3" s="1615"/>
      <c r="T3" s="1615"/>
      <c r="U3" s="1615"/>
      <c r="V3" s="1615"/>
      <c r="W3" s="1615"/>
      <c r="X3" s="1615"/>
      <c r="Y3" s="1615"/>
      <c r="Z3" s="1615"/>
    </row>
    <row r="4" spans="2:39" s="705" customFormat="1" ht="18.75" customHeight="1">
      <c r="B4" s="719"/>
      <c r="C4" s="720"/>
      <c r="D4" s="720"/>
      <c r="E4" s="721"/>
      <c r="F4" s="722"/>
      <c r="G4" s="1618" t="s">
        <v>4</v>
      </c>
      <c r="H4" s="1619"/>
      <c r="I4" s="1619"/>
      <c r="J4" s="1619"/>
      <c r="K4" s="1619"/>
      <c r="L4" s="1619"/>
      <c r="M4" s="1619"/>
      <c r="N4" s="1619"/>
      <c r="O4" s="1620"/>
      <c r="P4" s="750"/>
      <c r="Q4" s="765"/>
      <c r="R4" s="1621" t="s">
        <v>5</v>
      </c>
      <c r="S4" s="1622"/>
      <c r="T4" s="1622"/>
      <c r="U4" s="1622"/>
      <c r="V4" s="1622"/>
      <c r="W4" s="1622"/>
      <c r="X4" s="1622"/>
      <c r="Y4" s="1622"/>
      <c r="Z4" s="1623"/>
      <c r="AA4" s="1593" t="s">
        <v>1768</v>
      </c>
      <c r="AB4" s="1594"/>
      <c r="AC4" s="1594"/>
      <c r="AD4" s="1594"/>
      <c r="AE4" s="1594"/>
      <c r="AF4" s="1594"/>
      <c r="AG4" s="1594"/>
      <c r="AH4" s="1594"/>
      <c r="AI4" s="1594"/>
      <c r="AJ4" s="1594"/>
      <c r="AK4" s="1594"/>
      <c r="AL4" s="1594"/>
      <c r="AM4" s="1595"/>
    </row>
    <row r="5" spans="2:39" s="705" customFormat="1" ht="15" customHeight="1">
      <c r="B5" s="723"/>
      <c r="C5" s="724"/>
      <c r="D5" s="724"/>
      <c r="E5" s="725"/>
      <c r="F5" s="726"/>
      <c r="G5" s="1596" t="s">
        <v>1769</v>
      </c>
      <c r="H5" s="1597"/>
      <c r="I5" s="1598" t="s">
        <v>1770</v>
      </c>
      <c r="J5" s="1599"/>
      <c r="K5" s="1600" t="s">
        <v>1771</v>
      </c>
      <c r="L5" s="1601"/>
      <c r="M5" s="1601"/>
      <c r="N5" s="1602"/>
      <c r="O5" s="751"/>
      <c r="P5" s="1603" t="s">
        <v>1768</v>
      </c>
      <c r="Q5" s="1604"/>
      <c r="R5" s="1605" t="s">
        <v>1772</v>
      </c>
      <c r="S5" s="1606"/>
      <c r="T5" s="1598" t="s">
        <v>1770</v>
      </c>
      <c r="U5" s="1599"/>
      <c r="V5" s="766"/>
      <c r="W5" s="1607" t="s">
        <v>1771</v>
      </c>
      <c r="X5" s="1601"/>
      <c r="Y5" s="1608"/>
      <c r="Z5" s="751"/>
      <c r="AA5" s="1609" t="s">
        <v>1773</v>
      </c>
      <c r="AB5" s="1610"/>
      <c r="AC5" s="1532" t="s">
        <v>1774</v>
      </c>
      <c r="AD5" s="1610"/>
      <c r="AE5" s="1532" t="s">
        <v>1775</v>
      </c>
      <c r="AF5" s="1610"/>
      <c r="AG5" s="1532" t="s">
        <v>1776</v>
      </c>
      <c r="AH5" s="1611" t="s">
        <v>1777</v>
      </c>
      <c r="AI5" s="1611"/>
      <c r="AJ5" s="1611"/>
      <c r="AK5" s="1611"/>
      <c r="AL5" s="1611"/>
      <c r="AM5" s="1612"/>
    </row>
    <row r="6" spans="2:39" s="705" customFormat="1" ht="36">
      <c r="B6" s="727" t="s">
        <v>13</v>
      </c>
      <c r="C6" s="728" t="s">
        <v>10</v>
      </c>
      <c r="D6" s="728" t="s">
        <v>16</v>
      </c>
      <c r="E6" s="729" t="s">
        <v>17</v>
      </c>
      <c r="F6" s="728" t="s">
        <v>18</v>
      </c>
      <c r="G6" s="730" t="s">
        <v>1778</v>
      </c>
      <c r="H6" s="730" t="s">
        <v>1700</v>
      </c>
      <c r="I6" s="730" t="s">
        <v>1623</v>
      </c>
      <c r="J6" s="730" t="s">
        <v>1700</v>
      </c>
      <c r="K6" s="730" t="s">
        <v>1779</v>
      </c>
      <c r="L6" s="730" t="s">
        <v>1623</v>
      </c>
      <c r="M6" s="730" t="s">
        <v>1780</v>
      </c>
      <c r="N6" s="730" t="s">
        <v>1700</v>
      </c>
      <c r="O6" s="752" t="s">
        <v>27</v>
      </c>
      <c r="P6" s="753" t="s">
        <v>1623</v>
      </c>
      <c r="Q6" s="730" t="s">
        <v>1700</v>
      </c>
      <c r="R6" s="730" t="s">
        <v>1623</v>
      </c>
      <c r="S6" s="730" t="s">
        <v>1700</v>
      </c>
      <c r="T6" s="730" t="s">
        <v>1623</v>
      </c>
      <c r="U6" s="730" t="s">
        <v>1700</v>
      </c>
      <c r="V6" s="730" t="s">
        <v>1781</v>
      </c>
      <c r="W6" s="730" t="s">
        <v>1623</v>
      </c>
      <c r="X6" s="730" t="s">
        <v>1782</v>
      </c>
      <c r="Y6" s="730" t="s">
        <v>1700</v>
      </c>
      <c r="Z6" s="752" t="s">
        <v>27</v>
      </c>
      <c r="AA6" s="768" t="s">
        <v>1783</v>
      </c>
      <c r="AB6" s="769" t="s">
        <v>1784</v>
      </c>
      <c r="AC6" s="769" t="s">
        <v>1783</v>
      </c>
      <c r="AD6" s="769" t="s">
        <v>1784</v>
      </c>
      <c r="AE6" s="769" t="s">
        <v>1783</v>
      </c>
      <c r="AF6" s="769" t="s">
        <v>1784</v>
      </c>
      <c r="AG6" s="1533"/>
      <c r="AH6" s="769" t="s">
        <v>1785</v>
      </c>
      <c r="AI6" s="769" t="s">
        <v>1786</v>
      </c>
      <c r="AJ6" s="769" t="s">
        <v>1787</v>
      </c>
      <c r="AK6" s="769" t="s">
        <v>1788</v>
      </c>
      <c r="AL6" s="769" t="s">
        <v>1789</v>
      </c>
      <c r="AM6" s="772" t="s">
        <v>1790</v>
      </c>
    </row>
    <row r="7" spans="2:39" s="705" customFormat="1" ht="28.95" customHeight="1">
      <c r="B7" s="731"/>
      <c r="C7" s="732" t="s">
        <v>1791</v>
      </c>
      <c r="D7" s="733"/>
      <c r="E7" s="734"/>
      <c r="F7" s="733"/>
      <c r="G7" s="735"/>
      <c r="H7" s="735"/>
      <c r="I7" s="735"/>
      <c r="J7" s="735"/>
      <c r="K7" s="735"/>
      <c r="L7" s="735"/>
      <c r="M7" s="735"/>
      <c r="N7" s="735"/>
      <c r="O7" s="754"/>
      <c r="P7" s="755"/>
      <c r="Q7" s="735"/>
      <c r="R7" s="735"/>
      <c r="S7" s="735"/>
      <c r="T7" s="735"/>
      <c r="U7" s="735"/>
      <c r="V7" s="735"/>
      <c r="W7" s="735"/>
      <c r="X7" s="735"/>
      <c r="Y7" s="735"/>
      <c r="Z7" s="754"/>
      <c r="AA7" s="770"/>
      <c r="AB7" s="770"/>
      <c r="AC7" s="770"/>
      <c r="AD7" s="770"/>
      <c r="AE7" s="770"/>
      <c r="AF7" s="770"/>
      <c r="AG7" s="773"/>
      <c r="AH7" s="770"/>
      <c r="AI7" s="770"/>
      <c r="AJ7" s="770"/>
      <c r="AK7" s="770"/>
      <c r="AL7" s="770"/>
      <c r="AM7" s="774"/>
    </row>
    <row r="8" spans="2:39" s="705" customFormat="1" ht="18" customHeight="1">
      <c r="B8" s="731"/>
      <c r="C8" s="736" t="s">
        <v>1764</v>
      </c>
      <c r="D8" s="737"/>
      <c r="E8" s="738"/>
      <c r="F8" s="739"/>
      <c r="G8" s="740"/>
      <c r="H8" s="740"/>
      <c r="I8" s="740"/>
      <c r="J8" s="756"/>
      <c r="K8" s="756"/>
      <c r="L8" s="740"/>
      <c r="M8" s="740"/>
      <c r="N8" s="740"/>
      <c r="O8" s="757"/>
      <c r="P8" s="758"/>
      <c r="Q8" s="740"/>
      <c r="R8" s="740"/>
      <c r="S8" s="740"/>
      <c r="T8" s="740"/>
      <c r="U8" s="740"/>
      <c r="V8" s="740"/>
      <c r="W8" s="740"/>
      <c r="X8" s="740"/>
      <c r="Y8" s="740"/>
      <c r="Z8" s="757"/>
      <c r="AA8" s="771"/>
      <c r="AB8" s="771"/>
      <c r="AC8" s="771"/>
      <c r="AD8" s="771"/>
      <c r="AE8" s="771"/>
      <c r="AF8" s="771"/>
      <c r="AG8" s="775"/>
      <c r="AH8" s="771"/>
      <c r="AI8" s="771"/>
      <c r="AJ8" s="771"/>
      <c r="AK8" s="771"/>
      <c r="AL8" s="771"/>
      <c r="AM8" s="776"/>
    </row>
    <row r="9" spans="2:39" ht="15.6">
      <c r="B9" s="1488" t="s">
        <v>433</v>
      </c>
      <c r="C9" s="741" t="s">
        <v>1792</v>
      </c>
      <c r="D9" s="742" t="s">
        <v>1793</v>
      </c>
      <c r="E9" s="743" t="s">
        <v>1794</v>
      </c>
      <c r="F9" s="8">
        <v>1</v>
      </c>
      <c r="G9" s="8" t="s">
        <v>1755</v>
      </c>
      <c r="H9" s="8"/>
      <c r="I9" s="8">
        <v>460.9</v>
      </c>
      <c r="L9" s="759">
        <v>44369</v>
      </c>
      <c r="M9" s="759"/>
      <c r="N9" s="759"/>
      <c r="O9" s="8" t="s">
        <v>62</v>
      </c>
      <c r="P9" s="760"/>
      <c r="Q9" s="8"/>
      <c r="R9" s="8"/>
      <c r="S9" s="8" t="s">
        <v>1795</v>
      </c>
      <c r="T9" s="8"/>
      <c r="U9" s="8">
        <v>330.5</v>
      </c>
      <c r="V9" s="8"/>
      <c r="W9" s="759"/>
      <c r="X9" s="759"/>
      <c r="Y9" s="759">
        <v>44369</v>
      </c>
      <c r="Z9" s="8" t="s">
        <v>62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</row>
    <row r="10" spans="2:39" ht="15.6">
      <c r="B10" s="1488" t="s">
        <v>433</v>
      </c>
      <c r="C10" s="744" t="s">
        <v>1792</v>
      </c>
      <c r="D10" s="742" t="s">
        <v>1796</v>
      </c>
      <c r="E10" s="745" t="s">
        <v>1797</v>
      </c>
      <c r="F10" s="3">
        <v>2</v>
      </c>
      <c r="G10" s="3" t="s">
        <v>1755</v>
      </c>
      <c r="H10" s="3"/>
      <c r="I10" s="3">
        <v>467.6</v>
      </c>
      <c r="J10" s="3"/>
      <c r="K10" s="3"/>
      <c r="L10" s="761">
        <v>44370</v>
      </c>
      <c r="M10" s="761"/>
      <c r="N10" s="761"/>
      <c r="O10" s="3" t="s">
        <v>62</v>
      </c>
      <c r="P10" s="762"/>
      <c r="Q10" s="3"/>
      <c r="R10" s="3"/>
      <c r="S10" s="3" t="s">
        <v>1795</v>
      </c>
      <c r="T10" s="3"/>
      <c r="U10" s="3">
        <v>330.2</v>
      </c>
      <c r="V10" s="3"/>
      <c r="W10" s="761"/>
      <c r="X10" s="761"/>
      <c r="Y10" s="761">
        <v>44369</v>
      </c>
      <c r="Z10" s="3" t="s">
        <v>62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2:39" ht="15.6">
      <c r="B11" s="1488" t="s">
        <v>433</v>
      </c>
      <c r="C11" s="744" t="s">
        <v>1792</v>
      </c>
      <c r="D11" s="742" t="s">
        <v>1798</v>
      </c>
      <c r="E11" s="745" t="s">
        <v>1799</v>
      </c>
      <c r="F11" s="3">
        <v>3</v>
      </c>
      <c r="G11" s="3" t="s">
        <v>1755</v>
      </c>
      <c r="H11" s="3"/>
      <c r="I11" s="3">
        <v>463.1</v>
      </c>
      <c r="J11" s="3"/>
      <c r="K11" s="3"/>
      <c r="L11" s="761">
        <v>44371</v>
      </c>
      <c r="M11" s="761"/>
      <c r="N11" s="761"/>
      <c r="O11" s="3" t="s">
        <v>62</v>
      </c>
      <c r="P11" s="762"/>
      <c r="Q11" s="3"/>
      <c r="R11" s="3"/>
      <c r="S11" s="3" t="s">
        <v>1795</v>
      </c>
      <c r="T11" s="3"/>
      <c r="U11" s="3">
        <v>330.2</v>
      </c>
      <c r="V11" s="3"/>
      <c r="W11" s="761"/>
      <c r="X11" s="761"/>
      <c r="Y11" s="761">
        <v>44369</v>
      </c>
      <c r="Z11" s="3" t="s">
        <v>62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2:39" ht="15.6">
      <c r="B12" s="1488" t="s">
        <v>433</v>
      </c>
      <c r="C12" s="744" t="s">
        <v>1792</v>
      </c>
      <c r="D12" s="742" t="s">
        <v>1800</v>
      </c>
      <c r="E12" s="745" t="s">
        <v>1801</v>
      </c>
      <c r="F12" s="3">
        <v>4</v>
      </c>
      <c r="G12" s="3" t="s">
        <v>1755</v>
      </c>
      <c r="H12" s="3"/>
      <c r="I12" s="3">
        <v>465.6</v>
      </c>
      <c r="J12" s="3"/>
      <c r="K12" s="3"/>
      <c r="L12" s="761">
        <v>44371</v>
      </c>
      <c r="M12" s="761"/>
      <c r="N12" s="761"/>
      <c r="O12" s="3" t="s">
        <v>62</v>
      </c>
      <c r="P12" s="762"/>
      <c r="Q12" s="3"/>
      <c r="R12" s="3"/>
      <c r="S12" s="3" t="s">
        <v>1795</v>
      </c>
      <c r="T12" s="3"/>
      <c r="U12" s="3">
        <v>330.5</v>
      </c>
      <c r="V12" s="3"/>
      <c r="W12" s="761"/>
      <c r="X12" s="761"/>
      <c r="Y12" s="761">
        <v>44369</v>
      </c>
      <c r="Z12" s="3" t="s">
        <v>62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2:39" ht="15.6">
      <c r="B13" s="1488" t="s">
        <v>433</v>
      </c>
      <c r="C13" s="744" t="s">
        <v>1792</v>
      </c>
      <c r="D13" s="742" t="s">
        <v>1802</v>
      </c>
      <c r="E13" s="745" t="s">
        <v>1803</v>
      </c>
      <c r="F13" s="3">
        <v>5</v>
      </c>
      <c r="G13" s="3" t="s">
        <v>1755</v>
      </c>
      <c r="H13" s="3"/>
      <c r="I13" s="3">
        <v>465.1</v>
      </c>
      <c r="J13" s="3"/>
      <c r="K13" s="3"/>
      <c r="L13" s="761">
        <v>44372</v>
      </c>
      <c r="M13" s="761"/>
      <c r="N13" s="761"/>
      <c r="O13" s="3" t="s">
        <v>62</v>
      </c>
      <c r="P13" s="762"/>
      <c r="Q13" s="3"/>
      <c r="R13" s="3"/>
      <c r="S13" s="3" t="s">
        <v>1795</v>
      </c>
      <c r="T13" s="3"/>
      <c r="U13" s="3">
        <v>330.3</v>
      </c>
      <c r="V13" s="3"/>
      <c r="W13" s="761"/>
      <c r="X13" s="761"/>
      <c r="Y13" s="761">
        <v>44371</v>
      </c>
      <c r="Z13" s="3" t="s">
        <v>62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2:39" ht="15.6">
      <c r="B14" s="1488" t="s">
        <v>433</v>
      </c>
      <c r="C14" s="744" t="s">
        <v>1792</v>
      </c>
      <c r="D14" s="742" t="s">
        <v>1804</v>
      </c>
      <c r="E14" s="745" t="s">
        <v>1805</v>
      </c>
      <c r="F14" s="3">
        <v>6</v>
      </c>
      <c r="G14" s="3" t="s">
        <v>1755</v>
      </c>
      <c r="H14" s="3"/>
      <c r="I14" s="3">
        <v>468.2</v>
      </c>
      <c r="J14" s="3"/>
      <c r="K14" s="3"/>
      <c r="L14" s="761">
        <v>44372</v>
      </c>
      <c r="M14" s="761"/>
      <c r="N14" s="761"/>
      <c r="O14" s="3" t="s">
        <v>62</v>
      </c>
      <c r="P14" s="762"/>
      <c r="Q14" s="3"/>
      <c r="R14" s="3"/>
      <c r="S14" s="3" t="s">
        <v>1795</v>
      </c>
      <c r="T14" s="3"/>
      <c r="U14" s="3">
        <v>330.5</v>
      </c>
      <c r="V14" s="3"/>
      <c r="W14" s="761"/>
      <c r="X14" s="761"/>
      <c r="Y14" s="761">
        <v>44371</v>
      </c>
      <c r="Z14" s="3" t="s">
        <v>62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2:39" ht="15.6">
      <c r="B15" s="1488" t="s">
        <v>433</v>
      </c>
      <c r="C15" s="744" t="s">
        <v>1792</v>
      </c>
      <c r="D15" s="742" t="s">
        <v>1806</v>
      </c>
      <c r="E15" s="745" t="s">
        <v>1807</v>
      </c>
      <c r="F15" s="3">
        <v>7</v>
      </c>
      <c r="G15" s="3" t="s">
        <v>1755</v>
      </c>
      <c r="H15" s="3"/>
      <c r="I15" s="3">
        <v>465.9</v>
      </c>
      <c r="J15" s="3"/>
      <c r="K15" s="3"/>
      <c r="L15" s="761">
        <v>44375</v>
      </c>
      <c r="M15" s="761"/>
      <c r="N15" s="761"/>
      <c r="O15" s="3" t="s">
        <v>62</v>
      </c>
      <c r="P15" s="762"/>
      <c r="Q15" s="3"/>
      <c r="R15" s="3"/>
      <c r="S15" s="3" t="s">
        <v>1795</v>
      </c>
      <c r="T15" s="3"/>
      <c r="U15" s="3">
        <v>330.3</v>
      </c>
      <c r="V15" s="3"/>
      <c r="W15" s="761"/>
      <c r="X15" s="761"/>
      <c r="Y15" s="761">
        <v>44372</v>
      </c>
      <c r="Z15" s="3" t="s">
        <v>62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2:39" ht="15.6">
      <c r="B16" s="1488" t="s">
        <v>433</v>
      </c>
      <c r="C16" s="744" t="s">
        <v>1792</v>
      </c>
      <c r="D16" s="742" t="s">
        <v>1808</v>
      </c>
      <c r="E16" s="745" t="s">
        <v>1809</v>
      </c>
      <c r="F16" s="3">
        <v>8</v>
      </c>
      <c r="G16" s="3" t="s">
        <v>1755</v>
      </c>
      <c r="H16" s="3"/>
      <c r="I16" s="3">
        <f>150.9+160.3+156.3</f>
        <v>467.50000000000006</v>
      </c>
      <c r="J16" s="3"/>
      <c r="K16" s="3"/>
      <c r="L16" s="761">
        <v>44375</v>
      </c>
      <c r="M16" s="761"/>
      <c r="N16" s="761"/>
      <c r="O16" s="3" t="s">
        <v>62</v>
      </c>
      <c r="P16" s="762"/>
      <c r="Q16" s="3"/>
      <c r="R16" s="3"/>
      <c r="S16" s="3" t="s">
        <v>1795</v>
      </c>
      <c r="T16" s="3"/>
      <c r="U16" s="3">
        <v>330.3</v>
      </c>
      <c r="V16" s="3"/>
      <c r="W16" s="761"/>
      <c r="X16" s="761"/>
      <c r="Y16" s="761">
        <v>44375</v>
      </c>
      <c r="Z16" s="3" t="s">
        <v>62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2:38" ht="15.6">
      <c r="B17" s="1488" t="s">
        <v>433</v>
      </c>
      <c r="C17" s="744" t="s">
        <v>1792</v>
      </c>
      <c r="D17" s="746" t="s">
        <v>1810</v>
      </c>
      <c r="E17" s="745" t="s">
        <v>1811</v>
      </c>
      <c r="F17" s="3">
        <v>9</v>
      </c>
      <c r="G17" s="3" t="s">
        <v>1755</v>
      </c>
      <c r="H17" s="3"/>
      <c r="I17" s="3">
        <v>461.3</v>
      </c>
      <c r="J17" s="3"/>
      <c r="K17" s="3"/>
      <c r="L17" s="761">
        <v>44385</v>
      </c>
      <c r="M17" s="761"/>
      <c r="N17" s="761"/>
      <c r="O17" s="3" t="s">
        <v>62</v>
      </c>
      <c r="P17" s="762"/>
      <c r="Q17" s="3"/>
      <c r="R17" s="3"/>
      <c r="S17" s="3" t="s">
        <v>1795</v>
      </c>
      <c r="T17" s="3"/>
      <c r="U17" s="3">
        <v>330.2</v>
      </c>
      <c r="V17" s="3"/>
      <c r="W17" s="761"/>
      <c r="X17" s="761"/>
      <c r="Y17" s="761">
        <v>44384</v>
      </c>
      <c r="Z17" s="3" t="s">
        <v>62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2:38" ht="15.6">
      <c r="B18" s="1488" t="s">
        <v>433</v>
      </c>
      <c r="C18" s="744" t="s">
        <v>1792</v>
      </c>
      <c r="D18" s="746" t="s">
        <v>1812</v>
      </c>
      <c r="E18" s="745" t="s">
        <v>1813</v>
      </c>
      <c r="F18" s="3">
        <v>10</v>
      </c>
      <c r="G18" s="3" t="s">
        <v>1755</v>
      </c>
      <c r="H18" s="3"/>
      <c r="I18" s="3">
        <v>465.7</v>
      </c>
      <c r="J18" s="3"/>
      <c r="K18" s="3"/>
      <c r="L18" s="761">
        <v>44385</v>
      </c>
      <c r="M18" s="761"/>
      <c r="N18" s="761"/>
      <c r="O18" s="3" t="s">
        <v>62</v>
      </c>
      <c r="P18" s="762"/>
      <c r="Q18" s="3"/>
      <c r="R18" s="3"/>
      <c r="S18" s="3" t="s">
        <v>1795</v>
      </c>
      <c r="T18" s="3"/>
      <c r="U18" s="3">
        <v>330.3</v>
      </c>
      <c r="V18" s="3"/>
      <c r="W18" s="761"/>
      <c r="X18" s="761"/>
      <c r="Y18" s="761">
        <v>44384</v>
      </c>
      <c r="Z18" s="3" t="s">
        <v>62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2:38" ht="15.6">
      <c r="B19" s="1488" t="s">
        <v>433</v>
      </c>
      <c r="C19" s="744" t="s">
        <v>1792</v>
      </c>
      <c r="D19" s="746" t="s">
        <v>1814</v>
      </c>
      <c r="E19" s="745" t="s">
        <v>1815</v>
      </c>
      <c r="F19" s="3">
        <v>11</v>
      </c>
      <c r="G19" s="3" t="s">
        <v>1755</v>
      </c>
      <c r="H19" s="3"/>
      <c r="I19" s="3">
        <f>152.22+147.68+161.6</f>
        <v>461.5</v>
      </c>
      <c r="J19" s="3"/>
      <c r="K19" s="3"/>
      <c r="L19" s="761">
        <v>44385</v>
      </c>
      <c r="M19" s="761"/>
      <c r="N19" s="761"/>
      <c r="O19" s="3" t="s">
        <v>62</v>
      </c>
      <c r="P19" s="762"/>
      <c r="Q19" s="3"/>
      <c r="R19" s="3"/>
      <c r="S19" s="3" t="s">
        <v>1795</v>
      </c>
      <c r="T19" s="3"/>
      <c r="U19" s="3">
        <v>330.3</v>
      </c>
      <c r="V19" s="3"/>
      <c r="W19" s="761"/>
      <c r="X19" s="761"/>
      <c r="Y19" s="761">
        <v>44384</v>
      </c>
      <c r="Z19" s="3" t="s">
        <v>62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2:38" ht="15.6">
      <c r="B20" s="1488" t="s">
        <v>433</v>
      </c>
      <c r="C20" s="744" t="s">
        <v>1792</v>
      </c>
      <c r="D20" s="746" t="s">
        <v>1816</v>
      </c>
      <c r="E20" s="745" t="s">
        <v>1817</v>
      </c>
      <c r="F20" s="3">
        <v>12</v>
      </c>
      <c r="G20" s="3" t="s">
        <v>1755</v>
      </c>
      <c r="H20" s="3"/>
      <c r="I20" s="3">
        <v>468.02</v>
      </c>
      <c r="J20" s="3"/>
      <c r="K20" s="3"/>
      <c r="L20" s="761">
        <v>44385</v>
      </c>
      <c r="M20" s="761"/>
      <c r="N20" s="761"/>
      <c r="O20" s="3" t="s">
        <v>62</v>
      </c>
      <c r="P20" s="762"/>
      <c r="Q20" s="3"/>
      <c r="R20" s="3"/>
      <c r="S20" s="3" t="s">
        <v>1795</v>
      </c>
      <c r="T20" s="3"/>
      <c r="U20" s="3">
        <v>330.1</v>
      </c>
      <c r="V20" s="3"/>
      <c r="W20" s="761"/>
      <c r="X20" s="761"/>
      <c r="Y20" s="761">
        <v>44385</v>
      </c>
      <c r="Z20" s="3" t="s">
        <v>62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2:38" ht="15.6">
      <c r="B21" s="1488" t="s">
        <v>433</v>
      </c>
      <c r="C21" s="744" t="s">
        <v>1792</v>
      </c>
      <c r="D21" s="746" t="s">
        <v>1818</v>
      </c>
      <c r="E21" s="745" t="s">
        <v>1819</v>
      </c>
      <c r="F21" s="3">
        <v>13</v>
      </c>
      <c r="G21" s="3" t="s">
        <v>1755</v>
      </c>
      <c r="H21" s="3"/>
      <c r="I21" s="3">
        <v>466.7</v>
      </c>
      <c r="J21" s="3"/>
      <c r="K21" s="3"/>
      <c r="L21" s="761">
        <v>44389</v>
      </c>
      <c r="M21" s="761"/>
      <c r="N21" s="761"/>
      <c r="O21" s="3" t="s">
        <v>62</v>
      </c>
      <c r="P21" s="762"/>
      <c r="Q21" s="3"/>
      <c r="R21" s="3"/>
      <c r="S21" s="3" t="s">
        <v>1795</v>
      </c>
      <c r="T21" s="3"/>
      <c r="U21" s="3">
        <v>330.4</v>
      </c>
      <c r="V21" s="3"/>
      <c r="W21" s="761"/>
      <c r="X21" s="761"/>
      <c r="Y21" s="761">
        <v>44386</v>
      </c>
      <c r="Z21" s="3" t="s">
        <v>62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2:38" ht="15.6">
      <c r="B22" s="1488" t="s">
        <v>433</v>
      </c>
      <c r="C22" s="744" t="s">
        <v>1792</v>
      </c>
      <c r="D22" s="746" t="s">
        <v>1820</v>
      </c>
      <c r="E22" s="745" t="s">
        <v>1821</v>
      </c>
      <c r="F22" s="3">
        <v>14</v>
      </c>
      <c r="G22" s="3" t="s">
        <v>1755</v>
      </c>
      <c r="H22" s="3"/>
      <c r="I22" s="3">
        <v>467.5</v>
      </c>
      <c r="J22" s="3"/>
      <c r="K22" s="3"/>
      <c r="L22" s="761">
        <v>44389</v>
      </c>
      <c r="M22" s="761"/>
      <c r="N22" s="761"/>
      <c r="O22" s="3" t="s">
        <v>62</v>
      </c>
      <c r="P22" s="762"/>
      <c r="Q22" s="3"/>
      <c r="R22" s="3"/>
      <c r="S22" s="3" t="s">
        <v>1795</v>
      </c>
      <c r="T22" s="3"/>
      <c r="U22" s="3">
        <v>330.5</v>
      </c>
      <c r="V22" s="3"/>
      <c r="W22" s="761"/>
      <c r="X22" s="761"/>
      <c r="Y22" s="761">
        <v>44386</v>
      </c>
      <c r="Z22" s="3" t="s">
        <v>62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2:38" ht="15.6">
      <c r="B23" s="1488" t="s">
        <v>433</v>
      </c>
      <c r="C23" s="744" t="s">
        <v>1792</v>
      </c>
      <c r="D23" s="746" t="s">
        <v>1822</v>
      </c>
      <c r="E23" s="745" t="s">
        <v>1823</v>
      </c>
      <c r="F23" s="3">
        <v>15</v>
      </c>
      <c r="G23" s="3" t="s">
        <v>1755</v>
      </c>
      <c r="H23" s="3"/>
      <c r="I23" s="3">
        <v>466.4</v>
      </c>
      <c r="J23" s="3"/>
      <c r="K23" s="3"/>
      <c r="L23" s="761">
        <v>44391</v>
      </c>
      <c r="M23" s="761"/>
      <c r="N23" s="761"/>
      <c r="O23" s="3" t="s">
        <v>62</v>
      </c>
      <c r="P23" s="762"/>
      <c r="Q23" s="3"/>
      <c r="R23" s="3"/>
      <c r="S23" s="3" t="s">
        <v>1795</v>
      </c>
      <c r="T23" s="3"/>
      <c r="U23" s="3">
        <v>330.2</v>
      </c>
      <c r="V23" s="3"/>
      <c r="W23" s="761"/>
      <c r="X23" s="761"/>
      <c r="Y23" s="761">
        <v>44390</v>
      </c>
      <c r="Z23" s="3" t="s">
        <v>62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2:38" ht="15.6">
      <c r="B24" s="1488" t="s">
        <v>433</v>
      </c>
      <c r="C24" s="744" t="s">
        <v>1792</v>
      </c>
      <c r="D24" s="746" t="s">
        <v>1824</v>
      </c>
      <c r="E24" s="745" t="s">
        <v>1825</v>
      </c>
      <c r="F24" s="3">
        <v>16</v>
      </c>
      <c r="G24" s="3" t="s">
        <v>1755</v>
      </c>
      <c r="H24" s="3"/>
      <c r="I24" s="3">
        <v>467.5</v>
      </c>
      <c r="J24" s="3"/>
      <c r="K24" s="3"/>
      <c r="L24" s="761">
        <v>44391</v>
      </c>
      <c r="M24" s="761"/>
      <c r="N24" s="761"/>
      <c r="O24" s="3" t="s">
        <v>62</v>
      </c>
      <c r="P24" s="762"/>
      <c r="Q24" s="3"/>
      <c r="R24" s="3"/>
      <c r="S24" s="3" t="s">
        <v>1795</v>
      </c>
      <c r="T24" s="3"/>
      <c r="U24" s="3">
        <v>330.4</v>
      </c>
      <c r="V24" s="3"/>
      <c r="W24" s="761"/>
      <c r="X24" s="761"/>
      <c r="Y24" s="761">
        <v>44390</v>
      </c>
      <c r="Z24" s="3" t="s">
        <v>62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38" ht="15.6">
      <c r="B25" s="1488" t="s">
        <v>433</v>
      </c>
      <c r="C25" s="744" t="s">
        <v>1792</v>
      </c>
      <c r="D25" s="746" t="s">
        <v>1826</v>
      </c>
      <c r="E25" s="745" t="s">
        <v>1827</v>
      </c>
      <c r="F25" s="3">
        <v>17</v>
      </c>
      <c r="G25" s="3" t="s">
        <v>1755</v>
      </c>
      <c r="H25" s="3"/>
      <c r="I25" s="3">
        <v>466.2</v>
      </c>
      <c r="J25" s="3"/>
      <c r="K25" s="3"/>
      <c r="L25" s="761">
        <v>44392</v>
      </c>
      <c r="M25" s="761"/>
      <c r="N25" s="761"/>
      <c r="O25" s="3" t="s">
        <v>62</v>
      </c>
      <c r="P25" s="762"/>
      <c r="Q25" s="3"/>
      <c r="R25" s="3"/>
      <c r="S25" s="3" t="s">
        <v>1795</v>
      </c>
      <c r="T25" s="3"/>
      <c r="U25" s="3">
        <v>330.3</v>
      </c>
      <c r="V25" s="3"/>
      <c r="W25" s="761"/>
      <c r="X25" s="761"/>
      <c r="Y25" s="761">
        <v>44390</v>
      </c>
      <c r="Z25" s="3" t="s">
        <v>62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2:38" ht="15.6">
      <c r="B26" s="1488" t="s">
        <v>433</v>
      </c>
      <c r="C26" s="744" t="s">
        <v>1792</v>
      </c>
      <c r="D26" s="746" t="s">
        <v>1828</v>
      </c>
      <c r="E26" s="745" t="s">
        <v>1829</v>
      </c>
      <c r="F26" s="3">
        <v>18</v>
      </c>
      <c r="G26" s="3" t="s">
        <v>1755</v>
      </c>
      <c r="H26" s="3"/>
      <c r="I26" s="3">
        <v>459.7</v>
      </c>
      <c r="J26" s="3"/>
      <c r="K26" s="3"/>
      <c r="L26" s="761">
        <v>44390</v>
      </c>
      <c r="M26" s="761"/>
      <c r="N26" s="761"/>
      <c r="O26" s="3" t="s">
        <v>62</v>
      </c>
      <c r="P26" s="762"/>
      <c r="Q26" s="3"/>
      <c r="R26" s="3"/>
      <c r="S26" s="3" t="s">
        <v>1795</v>
      </c>
      <c r="T26" s="3"/>
      <c r="U26" s="3">
        <v>330.5</v>
      </c>
      <c r="V26" s="3"/>
      <c r="W26" s="761"/>
      <c r="X26" s="761"/>
      <c r="Y26" s="761">
        <v>44389</v>
      </c>
      <c r="Z26" s="3" t="s">
        <v>62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2:38" ht="15.6">
      <c r="B27" s="1488" t="s">
        <v>433</v>
      </c>
      <c r="C27" s="744" t="s">
        <v>1792</v>
      </c>
      <c r="D27" s="746" t="s">
        <v>1830</v>
      </c>
      <c r="E27" s="745" t="s">
        <v>1831</v>
      </c>
      <c r="F27" s="3">
        <v>19</v>
      </c>
      <c r="G27" s="3" t="s">
        <v>1755</v>
      </c>
      <c r="H27" s="3"/>
      <c r="I27" s="3">
        <v>472.4</v>
      </c>
      <c r="J27" s="3"/>
      <c r="K27" s="3"/>
      <c r="L27" s="761">
        <v>44391</v>
      </c>
      <c r="M27" s="761"/>
      <c r="N27" s="761"/>
      <c r="O27" s="3" t="s">
        <v>62</v>
      </c>
      <c r="P27" s="762"/>
      <c r="Q27" s="3"/>
      <c r="R27" s="3"/>
      <c r="S27" s="3" t="s">
        <v>1795</v>
      </c>
      <c r="T27" s="3"/>
      <c r="U27" s="3">
        <v>330.3</v>
      </c>
      <c r="V27" s="3"/>
      <c r="W27" s="761"/>
      <c r="X27" s="761"/>
      <c r="Y27" s="761">
        <v>44389</v>
      </c>
      <c r="Z27" s="3" t="s">
        <v>62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2:38" ht="15.6">
      <c r="B28" s="1488" t="s">
        <v>433</v>
      </c>
      <c r="C28" s="744" t="s">
        <v>1792</v>
      </c>
      <c r="D28" s="746" t="s">
        <v>1832</v>
      </c>
      <c r="E28" s="745" t="s">
        <v>1833</v>
      </c>
      <c r="F28" s="3">
        <v>20</v>
      </c>
      <c r="G28" s="3" t="s">
        <v>1755</v>
      </c>
      <c r="H28" s="3"/>
      <c r="I28" s="3">
        <v>467.5</v>
      </c>
      <c r="J28" s="3"/>
      <c r="K28" s="3"/>
      <c r="L28" s="761">
        <v>44392</v>
      </c>
      <c r="M28" s="761"/>
      <c r="N28" s="761"/>
      <c r="O28" s="3" t="s">
        <v>62</v>
      </c>
      <c r="P28" s="762"/>
      <c r="Q28" s="3"/>
      <c r="R28" s="3"/>
      <c r="S28" s="3" t="s">
        <v>1795</v>
      </c>
      <c r="T28" s="3"/>
      <c r="U28" s="3">
        <v>330.3</v>
      </c>
      <c r="V28" s="3"/>
      <c r="W28" s="761"/>
      <c r="X28" s="761"/>
      <c r="Y28" s="761">
        <v>44391</v>
      </c>
      <c r="Z28" s="3" t="s">
        <v>62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2:38" ht="15.6">
      <c r="B29" s="1488" t="s">
        <v>433</v>
      </c>
      <c r="C29" s="744" t="s">
        <v>1792</v>
      </c>
      <c r="D29" s="746" t="s">
        <v>1834</v>
      </c>
      <c r="E29" s="745" t="s">
        <v>1835</v>
      </c>
      <c r="F29" s="3">
        <v>21</v>
      </c>
      <c r="G29" s="3" t="s">
        <v>1755</v>
      </c>
      <c r="H29" s="3"/>
      <c r="I29" s="3">
        <v>466.5</v>
      </c>
      <c r="J29" s="3"/>
      <c r="K29" s="3"/>
      <c r="L29" s="761">
        <v>44392</v>
      </c>
      <c r="M29" s="761"/>
      <c r="N29" s="761"/>
      <c r="O29" s="3" t="s">
        <v>62</v>
      </c>
      <c r="P29" s="762"/>
      <c r="Q29" s="3"/>
      <c r="R29" s="3"/>
      <c r="S29" s="3" t="s">
        <v>1795</v>
      </c>
      <c r="T29" s="3"/>
      <c r="U29" s="3">
        <v>330.5</v>
      </c>
      <c r="V29" s="3"/>
      <c r="W29" s="761"/>
      <c r="X29" s="761"/>
      <c r="Y29" s="761">
        <v>44392</v>
      </c>
      <c r="Z29" s="3" t="s">
        <v>62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2:38" ht="15.6">
      <c r="B30" s="1488" t="s">
        <v>433</v>
      </c>
      <c r="C30" s="744" t="s">
        <v>1792</v>
      </c>
      <c r="D30" s="746" t="s">
        <v>1836</v>
      </c>
      <c r="E30" s="745" t="s">
        <v>1837</v>
      </c>
      <c r="F30" s="3">
        <v>22</v>
      </c>
      <c r="G30" s="3" t="s">
        <v>1755</v>
      </c>
      <c r="H30" s="3"/>
      <c r="I30" s="3">
        <v>470.9</v>
      </c>
      <c r="J30" s="3"/>
      <c r="K30" s="3"/>
      <c r="L30" s="761">
        <v>44393</v>
      </c>
      <c r="M30" s="761"/>
      <c r="N30" s="761"/>
      <c r="O30" s="3" t="s">
        <v>62</v>
      </c>
      <c r="P30" s="762"/>
      <c r="Q30" s="3"/>
      <c r="R30" s="3"/>
      <c r="S30" s="3" t="s">
        <v>1795</v>
      </c>
      <c r="T30" s="3"/>
      <c r="U30" s="3">
        <v>330.8</v>
      </c>
      <c r="V30" s="3"/>
      <c r="W30" s="761"/>
      <c r="X30" s="761"/>
      <c r="Y30" s="761">
        <v>44392</v>
      </c>
      <c r="Z30" s="3" t="s">
        <v>62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2:38" ht="15.6">
      <c r="B31" s="1488" t="s">
        <v>433</v>
      </c>
      <c r="C31" s="744" t="s">
        <v>1792</v>
      </c>
      <c r="D31" s="746" t="s">
        <v>1838</v>
      </c>
      <c r="E31" s="745" t="s">
        <v>1839</v>
      </c>
      <c r="F31" s="3">
        <v>23</v>
      </c>
      <c r="G31" s="3" t="s">
        <v>1755</v>
      </c>
      <c r="H31" s="3"/>
      <c r="I31" s="1469" t="s">
        <v>1840</v>
      </c>
      <c r="J31" s="3"/>
      <c r="K31" s="3"/>
      <c r="L31" s="1489" t="s">
        <v>1840</v>
      </c>
      <c r="M31" s="761"/>
      <c r="N31" s="761"/>
      <c r="O31" s="3" t="s">
        <v>62</v>
      </c>
      <c r="P31" s="762"/>
      <c r="Q31" s="3"/>
      <c r="R31" s="3"/>
      <c r="S31" s="3" t="s">
        <v>1795</v>
      </c>
      <c r="T31" s="3"/>
      <c r="U31" s="3">
        <v>330.5</v>
      </c>
      <c r="V31" s="3"/>
      <c r="W31" s="761"/>
      <c r="X31" s="761"/>
      <c r="Y31" s="761">
        <v>44392</v>
      </c>
      <c r="Z31" s="3" t="s">
        <v>62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2:38" ht="15.6">
      <c r="B32" s="1488" t="s">
        <v>433</v>
      </c>
      <c r="C32" s="744" t="s">
        <v>1792</v>
      </c>
      <c r="D32" s="746" t="s">
        <v>1841</v>
      </c>
      <c r="E32" s="745" t="s">
        <v>1842</v>
      </c>
      <c r="F32" s="3">
        <v>24</v>
      </c>
      <c r="G32" s="3" t="s">
        <v>1755</v>
      </c>
      <c r="H32" s="3"/>
      <c r="I32" s="1469" t="s">
        <v>1840</v>
      </c>
      <c r="J32" s="3"/>
      <c r="K32" s="3"/>
      <c r="L32" s="1489" t="s">
        <v>1840</v>
      </c>
      <c r="M32" s="761"/>
      <c r="N32" s="761"/>
      <c r="O32" s="3" t="s">
        <v>62</v>
      </c>
      <c r="P32" s="762"/>
      <c r="Q32" s="3"/>
      <c r="R32" s="3"/>
      <c r="S32" s="3" t="s">
        <v>1795</v>
      </c>
      <c r="T32" s="3"/>
      <c r="U32" s="3">
        <v>330.3</v>
      </c>
      <c r="V32" s="3"/>
      <c r="W32" s="761"/>
      <c r="X32" s="761"/>
      <c r="Y32" s="761">
        <v>44393</v>
      </c>
      <c r="Z32" s="3" t="s">
        <v>62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2:39" ht="15.6">
      <c r="B33" s="1488" t="s">
        <v>433</v>
      </c>
      <c r="C33" s="744" t="s">
        <v>1792</v>
      </c>
      <c r="D33" s="746" t="s">
        <v>1843</v>
      </c>
      <c r="E33" s="745" t="s">
        <v>1844</v>
      </c>
      <c r="F33" s="3">
        <v>25</v>
      </c>
      <c r="G33" s="3" t="s">
        <v>1755</v>
      </c>
      <c r="H33" s="3"/>
      <c r="I33" s="3">
        <v>464.9</v>
      </c>
      <c r="J33" s="3"/>
      <c r="K33" s="3"/>
      <c r="L33" s="761">
        <v>44396</v>
      </c>
      <c r="M33" s="761"/>
      <c r="N33" s="761"/>
      <c r="O33" s="3" t="s">
        <v>62</v>
      </c>
      <c r="P33" s="762"/>
      <c r="Q33" s="3"/>
      <c r="R33" s="3"/>
      <c r="S33" s="3" t="s">
        <v>1795</v>
      </c>
      <c r="T33" s="3"/>
      <c r="U33" s="3">
        <v>330.5</v>
      </c>
      <c r="V33" s="3"/>
      <c r="W33" s="761"/>
      <c r="X33" s="761"/>
      <c r="Y33" s="761">
        <v>44393</v>
      </c>
      <c r="Z33" s="3" t="s">
        <v>62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2:39" ht="15.6">
      <c r="B34" s="1488" t="s">
        <v>433</v>
      </c>
      <c r="C34" s="744" t="s">
        <v>1792</v>
      </c>
      <c r="D34" s="746" t="s">
        <v>1845</v>
      </c>
      <c r="E34" s="745" t="s">
        <v>1846</v>
      </c>
      <c r="F34" s="3">
        <v>26</v>
      </c>
      <c r="G34" s="3" t="s">
        <v>1755</v>
      </c>
      <c r="H34" s="3"/>
      <c r="I34" s="3">
        <v>469.4</v>
      </c>
      <c r="J34" s="3"/>
      <c r="K34" s="3"/>
      <c r="L34" s="761">
        <v>44396</v>
      </c>
      <c r="M34" s="761"/>
      <c r="N34" s="761"/>
      <c r="O34" s="3" t="s">
        <v>62</v>
      </c>
      <c r="P34" s="762"/>
      <c r="Q34" s="3"/>
      <c r="R34" s="3"/>
      <c r="S34" s="3" t="s">
        <v>1795</v>
      </c>
      <c r="T34" s="3"/>
      <c r="U34" s="3">
        <v>330.6</v>
      </c>
      <c r="V34" s="3"/>
      <c r="W34" s="761"/>
      <c r="X34" s="761"/>
      <c r="Y34" s="761">
        <v>44396</v>
      </c>
      <c r="Z34" s="3" t="s">
        <v>62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2:39" s="705" customFormat="1" ht="18" customHeight="1">
      <c r="B35" s="731"/>
      <c r="C35" s="736" t="s">
        <v>1761</v>
      </c>
      <c r="D35" s="737"/>
      <c r="E35" s="738"/>
      <c r="F35" s="739"/>
      <c r="G35" s="740"/>
      <c r="H35" s="740"/>
      <c r="I35" s="740"/>
      <c r="J35" s="756"/>
      <c r="K35" s="756"/>
      <c r="L35" s="740"/>
      <c r="M35" s="740"/>
      <c r="N35" s="740"/>
      <c r="O35" s="757"/>
      <c r="P35" s="758"/>
      <c r="Q35" s="740"/>
      <c r="R35" s="740"/>
      <c r="S35" s="740"/>
      <c r="T35" s="740"/>
      <c r="U35" s="740"/>
      <c r="V35" s="740"/>
      <c r="W35" s="740"/>
      <c r="X35" s="740"/>
      <c r="Y35" s="740"/>
      <c r="Z35" s="757"/>
      <c r="AA35" s="771"/>
      <c r="AB35" s="771"/>
      <c r="AC35" s="771"/>
      <c r="AD35" s="771"/>
      <c r="AE35" s="771"/>
      <c r="AF35" s="771"/>
      <c r="AG35" s="775"/>
      <c r="AH35" s="771"/>
      <c r="AI35" s="771"/>
      <c r="AJ35" s="771"/>
      <c r="AK35" s="771"/>
      <c r="AL35" s="771"/>
      <c r="AM35" s="776"/>
    </row>
    <row r="36" spans="2:39">
      <c r="B36" s="1490" t="s">
        <v>100</v>
      </c>
      <c r="C36" s="748" t="s">
        <v>1792</v>
      </c>
      <c r="D36" s="490">
        <v>200094398</v>
      </c>
      <c r="E36" s="1491" t="s">
        <v>1847</v>
      </c>
      <c r="F36" s="749">
        <v>1</v>
      </c>
      <c r="G36" s="3" t="s">
        <v>1755</v>
      </c>
      <c r="H36" s="3"/>
      <c r="I36" s="3">
        <v>462.2</v>
      </c>
      <c r="J36" s="3"/>
      <c r="K36" s="3"/>
      <c r="L36" s="761">
        <v>44407</v>
      </c>
      <c r="M36" s="761"/>
      <c r="N36" s="761"/>
      <c r="O36" s="761" t="s">
        <v>62</v>
      </c>
      <c r="P36" s="762"/>
      <c r="Q36" s="3"/>
      <c r="R36" s="3"/>
      <c r="S36" s="3" t="s">
        <v>1795</v>
      </c>
      <c r="T36" s="3"/>
      <c r="U36" s="3">
        <v>330.6</v>
      </c>
      <c r="V36" s="3"/>
      <c r="W36" s="761"/>
      <c r="X36" s="761"/>
      <c r="Y36" s="761">
        <v>44407</v>
      </c>
      <c r="Z36" s="761" t="s">
        <v>62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2:39">
      <c r="B37" s="1490" t="s">
        <v>100</v>
      </c>
      <c r="C37" s="748" t="s">
        <v>1792</v>
      </c>
      <c r="D37" s="490">
        <v>200094399</v>
      </c>
      <c r="E37" s="1491" t="s">
        <v>1848</v>
      </c>
      <c r="F37" s="749">
        <v>2</v>
      </c>
      <c r="G37" s="3" t="s">
        <v>1755</v>
      </c>
      <c r="H37" s="3"/>
      <c r="I37" s="3">
        <v>311.2</v>
      </c>
      <c r="J37" s="3"/>
      <c r="K37" s="3"/>
      <c r="L37" s="761">
        <v>44407</v>
      </c>
      <c r="M37" s="761"/>
      <c r="N37" s="761"/>
      <c r="O37" s="761" t="s">
        <v>62</v>
      </c>
      <c r="P37" s="762"/>
      <c r="Q37" s="3"/>
      <c r="R37" s="3"/>
      <c r="S37" s="3" t="s">
        <v>1795</v>
      </c>
      <c r="T37" s="3"/>
      <c r="U37" s="3">
        <v>330.6</v>
      </c>
      <c r="V37" s="3"/>
      <c r="W37" s="761"/>
      <c r="X37" s="761"/>
      <c r="Y37" s="761">
        <v>44407</v>
      </c>
      <c r="Z37" s="761" t="s">
        <v>62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2:39">
      <c r="B38" s="1490" t="s">
        <v>100</v>
      </c>
      <c r="C38" s="748" t="s">
        <v>1792</v>
      </c>
      <c r="D38" s="490">
        <v>200094400</v>
      </c>
      <c r="E38" s="1491" t="s">
        <v>1849</v>
      </c>
      <c r="F38" s="749">
        <v>3</v>
      </c>
      <c r="G38" s="3" t="s">
        <v>1755</v>
      </c>
      <c r="H38" s="3"/>
      <c r="I38" s="3">
        <v>472.34</v>
      </c>
      <c r="J38" s="3"/>
      <c r="K38" s="3"/>
      <c r="L38" s="761">
        <v>44407</v>
      </c>
      <c r="M38" s="761"/>
      <c r="N38" s="761"/>
      <c r="O38" s="761" t="s">
        <v>62</v>
      </c>
      <c r="P38" s="762"/>
      <c r="Q38" s="3"/>
      <c r="R38" s="3"/>
      <c r="S38" s="3" t="s">
        <v>1547</v>
      </c>
      <c r="T38" s="3"/>
      <c r="U38" s="3">
        <v>330.8</v>
      </c>
      <c r="V38" s="3"/>
      <c r="W38" s="761"/>
      <c r="X38" s="761"/>
      <c r="Y38" s="761">
        <v>44410</v>
      </c>
      <c r="Z38" s="761" t="s">
        <v>62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2:39">
      <c r="B39" s="1490" t="s">
        <v>100</v>
      </c>
      <c r="C39" s="748" t="s">
        <v>1792</v>
      </c>
      <c r="D39" s="490">
        <v>200094401</v>
      </c>
      <c r="E39" s="1491" t="s">
        <v>1850</v>
      </c>
      <c r="F39" s="749">
        <v>4</v>
      </c>
      <c r="G39" s="3" t="s">
        <v>1755</v>
      </c>
      <c r="H39" s="3"/>
      <c r="I39" s="3">
        <v>461.6</v>
      </c>
      <c r="J39" s="3"/>
      <c r="K39" s="3"/>
      <c r="L39" s="761">
        <v>44411</v>
      </c>
      <c r="M39" s="761"/>
      <c r="N39" s="761"/>
      <c r="O39" s="761" t="s">
        <v>62</v>
      </c>
      <c r="P39" s="762"/>
      <c r="Q39" s="3"/>
      <c r="R39" s="3"/>
      <c r="S39" s="3" t="s">
        <v>1795</v>
      </c>
      <c r="T39" s="3"/>
      <c r="U39" s="3">
        <v>330.5</v>
      </c>
      <c r="V39" s="3"/>
      <c r="W39" s="761"/>
      <c r="X39" s="761"/>
      <c r="Y39" s="761">
        <v>44410</v>
      </c>
      <c r="Z39" s="761" t="s">
        <v>62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2:39">
      <c r="B40" s="1490" t="s">
        <v>100</v>
      </c>
      <c r="C40" s="748" t="s">
        <v>1792</v>
      </c>
      <c r="D40" s="490">
        <v>200094402</v>
      </c>
      <c r="E40" s="1491" t="s">
        <v>1851</v>
      </c>
      <c r="F40" s="749">
        <v>5</v>
      </c>
      <c r="G40" s="3" t="s">
        <v>1755</v>
      </c>
      <c r="H40" s="3"/>
      <c r="I40" s="3">
        <v>465.98</v>
      </c>
      <c r="J40" s="3"/>
      <c r="K40" s="3"/>
      <c r="L40" s="761">
        <v>44411</v>
      </c>
      <c r="M40" s="761"/>
      <c r="N40" s="761"/>
      <c r="O40" s="761" t="s">
        <v>62</v>
      </c>
      <c r="P40" s="762"/>
      <c r="Q40" s="3"/>
      <c r="R40" s="3"/>
      <c r="S40" s="3" t="s">
        <v>1547</v>
      </c>
      <c r="T40" s="3"/>
      <c r="U40" s="3">
        <v>330.4</v>
      </c>
      <c r="V40" s="3"/>
      <c r="W40" s="761"/>
      <c r="X40" s="761"/>
      <c r="Y40" s="761">
        <v>44411</v>
      </c>
      <c r="Z40" s="761" t="s">
        <v>62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2:39">
      <c r="B41" s="1490" t="s">
        <v>100</v>
      </c>
      <c r="C41" s="748" t="s">
        <v>1792</v>
      </c>
      <c r="D41" s="490">
        <v>200094577</v>
      </c>
      <c r="E41" s="1491" t="s">
        <v>1852</v>
      </c>
      <c r="F41" s="749">
        <v>6</v>
      </c>
      <c r="G41" s="3" t="s">
        <v>1755</v>
      </c>
      <c r="H41" s="3"/>
      <c r="I41" s="3">
        <v>466.3</v>
      </c>
      <c r="J41" s="3"/>
      <c r="K41" s="3"/>
      <c r="L41" s="761">
        <v>44411</v>
      </c>
      <c r="M41" s="761"/>
      <c r="N41" s="761"/>
      <c r="O41" s="761" t="s">
        <v>62</v>
      </c>
      <c r="P41" s="762"/>
      <c r="Q41" s="3"/>
      <c r="R41" s="3"/>
      <c r="S41" s="3" t="s">
        <v>1547</v>
      </c>
      <c r="T41" s="3"/>
      <c r="U41" s="3">
        <v>330.9</v>
      </c>
      <c r="V41" s="3"/>
      <c r="W41" s="761"/>
      <c r="X41" s="761"/>
      <c r="Y41" s="761">
        <v>44411</v>
      </c>
      <c r="Z41" s="761" t="s">
        <v>62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2:39">
      <c r="B42" s="1490" t="s">
        <v>100</v>
      </c>
      <c r="C42" s="748" t="s">
        <v>1792</v>
      </c>
      <c r="D42" s="490">
        <v>200094578</v>
      </c>
      <c r="E42" s="1491" t="s">
        <v>1853</v>
      </c>
      <c r="F42" s="749">
        <v>7</v>
      </c>
      <c r="G42" s="3" t="s">
        <v>1755</v>
      </c>
      <c r="H42" s="3"/>
      <c r="I42" s="3">
        <v>466.7</v>
      </c>
      <c r="J42" s="3"/>
      <c r="K42" s="3"/>
      <c r="L42" s="761">
        <v>44412</v>
      </c>
      <c r="M42" s="761"/>
      <c r="N42" s="761"/>
      <c r="O42" s="763" t="s">
        <v>62</v>
      </c>
      <c r="P42" s="764"/>
      <c r="Q42" s="767"/>
      <c r="R42" s="3"/>
      <c r="S42" s="3" t="s">
        <v>1547</v>
      </c>
      <c r="T42" s="3"/>
      <c r="U42" s="3">
        <v>330.8</v>
      </c>
      <c r="V42" s="3"/>
      <c r="W42" s="761"/>
      <c r="X42" s="761"/>
      <c r="Y42" s="761">
        <v>44411</v>
      </c>
      <c r="Z42" s="761" t="s">
        <v>62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2:39">
      <c r="B43" s="1490" t="s">
        <v>100</v>
      </c>
      <c r="C43" s="748" t="s">
        <v>1792</v>
      </c>
      <c r="D43" s="490">
        <v>200094579</v>
      </c>
      <c r="E43" s="1491" t="s">
        <v>1854</v>
      </c>
      <c r="F43" s="749">
        <v>8</v>
      </c>
      <c r="G43" s="3" t="s">
        <v>1755</v>
      </c>
      <c r="H43" s="3"/>
      <c r="I43" s="3">
        <f>154.1+154.3+157.1</f>
        <v>465.5</v>
      </c>
      <c r="J43" s="3"/>
      <c r="K43" s="3"/>
      <c r="L43" s="761">
        <v>44421</v>
      </c>
      <c r="M43" s="761"/>
      <c r="N43" s="761"/>
      <c r="O43" s="761" t="s">
        <v>62</v>
      </c>
      <c r="P43" s="762"/>
      <c r="Q43" s="3"/>
      <c r="R43" s="3"/>
      <c r="S43" s="3" t="s">
        <v>1547</v>
      </c>
      <c r="T43" s="3"/>
      <c r="U43" s="3">
        <v>329.6</v>
      </c>
      <c r="V43" s="3"/>
      <c r="W43" s="761"/>
      <c r="X43" s="761"/>
      <c r="Y43" s="761">
        <v>44420</v>
      </c>
      <c r="Z43" s="761" t="s">
        <v>62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2:39">
      <c r="B44" s="1490" t="s">
        <v>100</v>
      </c>
      <c r="C44" s="748" t="s">
        <v>1792</v>
      </c>
      <c r="D44" s="490">
        <v>200094580</v>
      </c>
      <c r="E44" s="1491" t="s">
        <v>1855</v>
      </c>
      <c r="F44" s="749">
        <v>9</v>
      </c>
      <c r="G44" s="3" t="s">
        <v>932</v>
      </c>
      <c r="H44" s="3"/>
      <c r="I44" s="3">
        <v>463.4</v>
      </c>
      <c r="J44" s="3"/>
      <c r="K44" s="3"/>
      <c r="L44" s="761">
        <v>44424</v>
      </c>
      <c r="M44" s="761"/>
      <c r="N44" s="761"/>
      <c r="O44" s="761" t="s">
        <v>62</v>
      </c>
      <c r="P44" s="762"/>
      <c r="Q44" s="3"/>
      <c r="R44" s="3"/>
      <c r="S44" s="3" t="s">
        <v>1547</v>
      </c>
      <c r="T44" s="3"/>
      <c r="U44" s="3">
        <v>329.5</v>
      </c>
      <c r="V44" s="3"/>
      <c r="W44" s="761"/>
      <c r="X44" s="761"/>
      <c r="Y44" s="761">
        <v>44420</v>
      </c>
      <c r="Z44" s="761" t="s">
        <v>62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2:39">
      <c r="B45" s="1490" t="s">
        <v>100</v>
      </c>
      <c r="C45" s="748" t="s">
        <v>1792</v>
      </c>
      <c r="D45" s="490">
        <v>200094677</v>
      </c>
      <c r="E45" s="1491" t="s">
        <v>1856</v>
      </c>
      <c r="F45" s="749">
        <v>10</v>
      </c>
      <c r="G45" s="3" t="s">
        <v>932</v>
      </c>
      <c r="H45" s="3"/>
      <c r="I45" s="3">
        <f>147.8+156.2+157.2</f>
        <v>461.2</v>
      </c>
      <c r="J45" s="3"/>
      <c r="K45" s="3"/>
      <c r="L45" s="761">
        <v>44424</v>
      </c>
      <c r="M45" s="761"/>
      <c r="N45" s="761"/>
      <c r="O45" s="761" t="s">
        <v>62</v>
      </c>
      <c r="P45" s="762"/>
      <c r="Q45" s="3"/>
      <c r="R45" s="3"/>
      <c r="S45" s="3" t="s">
        <v>1547</v>
      </c>
      <c r="T45" s="3"/>
      <c r="U45" s="3">
        <v>329.7</v>
      </c>
      <c r="V45" s="3"/>
      <c r="W45" s="761"/>
      <c r="X45" s="761"/>
      <c r="Y45" s="761">
        <v>44424</v>
      </c>
      <c r="Z45" s="761" t="s">
        <v>62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2:39">
      <c r="B46" s="1490" t="s">
        <v>100</v>
      </c>
      <c r="C46" s="748" t="s">
        <v>1792</v>
      </c>
      <c r="D46" s="490">
        <v>200094678</v>
      </c>
      <c r="E46" s="1491" t="s">
        <v>1857</v>
      </c>
      <c r="F46" s="749">
        <v>11</v>
      </c>
      <c r="G46" s="3" t="s">
        <v>1041</v>
      </c>
      <c r="H46" s="3"/>
      <c r="I46" s="3">
        <v>463.8</v>
      </c>
      <c r="J46" s="3"/>
      <c r="K46" s="3"/>
      <c r="L46" s="761">
        <v>44426</v>
      </c>
      <c r="M46" s="761"/>
      <c r="N46" s="761"/>
      <c r="O46" s="761" t="s">
        <v>62</v>
      </c>
      <c r="P46" s="762"/>
      <c r="Q46" s="3"/>
      <c r="R46" s="3"/>
      <c r="S46" s="3" t="s">
        <v>1547</v>
      </c>
      <c r="T46" s="3"/>
      <c r="U46" s="3">
        <v>330.1</v>
      </c>
      <c r="V46" s="3"/>
      <c r="W46" s="761"/>
      <c r="X46" s="761"/>
      <c r="Y46" s="761">
        <v>44424</v>
      </c>
      <c r="Z46" s="761" t="s">
        <v>62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2:39">
      <c r="B47" s="1490" t="s">
        <v>100</v>
      </c>
      <c r="C47" s="748" t="s">
        <v>1792</v>
      </c>
      <c r="D47" s="490">
        <v>200094679</v>
      </c>
      <c r="E47" s="1491" t="s">
        <v>1858</v>
      </c>
      <c r="F47" s="749">
        <v>12</v>
      </c>
      <c r="G47" s="3" t="s">
        <v>1041</v>
      </c>
      <c r="H47" s="3"/>
      <c r="I47" s="3">
        <v>468.4</v>
      </c>
      <c r="J47" s="3"/>
      <c r="K47" s="3"/>
      <c r="L47" s="761">
        <v>44426</v>
      </c>
      <c r="M47" s="761"/>
      <c r="N47" s="761"/>
      <c r="O47" s="761" t="s">
        <v>62</v>
      </c>
      <c r="P47" s="762"/>
      <c r="Q47" s="3"/>
      <c r="R47" s="3"/>
      <c r="S47" s="3" t="s">
        <v>1547</v>
      </c>
      <c r="T47" s="3"/>
      <c r="U47" s="3">
        <v>330.1</v>
      </c>
      <c r="V47" s="3"/>
      <c r="W47" s="761"/>
      <c r="X47" s="761"/>
      <c r="Y47" s="761">
        <v>44426</v>
      </c>
      <c r="Z47" s="761" t="s">
        <v>62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2:39">
      <c r="B48" s="1490" t="s">
        <v>100</v>
      </c>
      <c r="C48" s="748" t="s">
        <v>1792</v>
      </c>
      <c r="D48" s="490">
        <v>200094680</v>
      </c>
      <c r="E48" s="1491" t="s">
        <v>1859</v>
      </c>
      <c r="F48" s="749">
        <v>13</v>
      </c>
      <c r="G48" s="3" t="s">
        <v>1041</v>
      </c>
      <c r="H48" s="3"/>
      <c r="I48" s="3">
        <v>466.4</v>
      </c>
      <c r="J48" s="3"/>
      <c r="K48" s="3"/>
      <c r="L48" s="761">
        <v>44426</v>
      </c>
      <c r="M48" s="761"/>
      <c r="N48" s="761"/>
      <c r="O48" s="761" t="s">
        <v>62</v>
      </c>
      <c r="P48" s="762"/>
      <c r="Q48" s="3"/>
      <c r="R48" s="3"/>
      <c r="S48" s="3" t="s">
        <v>1547</v>
      </c>
      <c r="T48" s="3"/>
      <c r="U48" s="3">
        <v>329.6</v>
      </c>
      <c r="V48" s="3"/>
      <c r="W48" s="761"/>
      <c r="X48" s="761"/>
      <c r="Y48" s="761">
        <v>44426</v>
      </c>
      <c r="Z48" s="761" t="s">
        <v>62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2:39">
      <c r="B49" s="1490" t="s">
        <v>100</v>
      </c>
      <c r="C49" s="748" t="s">
        <v>1792</v>
      </c>
      <c r="D49" s="490">
        <v>200094681</v>
      </c>
      <c r="E49" s="1491" t="s">
        <v>1860</v>
      </c>
      <c r="F49" s="749">
        <v>14</v>
      </c>
      <c r="G49" s="3" t="s">
        <v>1041</v>
      </c>
      <c r="H49" s="3"/>
      <c r="I49" s="3">
        <f>155.5+157.3+159.4</f>
        <v>472.20000000000005</v>
      </c>
      <c r="J49" s="3"/>
      <c r="K49" s="3"/>
      <c r="L49" s="761">
        <v>44427</v>
      </c>
      <c r="M49" s="761"/>
      <c r="N49" s="761"/>
      <c r="O49" s="761" t="s">
        <v>62</v>
      </c>
      <c r="P49" s="762"/>
      <c r="Q49" s="3"/>
      <c r="R49" s="3"/>
      <c r="S49" s="3" t="s">
        <v>1547</v>
      </c>
      <c r="T49" s="3"/>
      <c r="U49" s="3">
        <v>329.5</v>
      </c>
      <c r="V49" s="3"/>
      <c r="W49" s="761"/>
      <c r="X49" s="761"/>
      <c r="Y49" s="761">
        <v>44426</v>
      </c>
      <c r="Z49" s="761" t="s">
        <v>62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2:39">
      <c r="B50" s="1490" t="s">
        <v>100</v>
      </c>
      <c r="C50" s="748" t="s">
        <v>1792</v>
      </c>
      <c r="D50" s="490">
        <v>200094682</v>
      </c>
      <c r="E50" s="1491" t="s">
        <v>1861</v>
      </c>
      <c r="F50" s="749">
        <v>15</v>
      </c>
      <c r="G50" s="3" t="s">
        <v>1041</v>
      </c>
      <c r="H50" s="3"/>
      <c r="I50" s="3">
        <v>467.7</v>
      </c>
      <c r="J50" s="3"/>
      <c r="K50" s="3"/>
      <c r="L50" s="761">
        <v>44428</v>
      </c>
      <c r="M50" s="761"/>
      <c r="N50" s="761"/>
      <c r="O50" s="761" t="s">
        <v>62</v>
      </c>
      <c r="P50" s="762"/>
      <c r="Q50" s="3"/>
      <c r="R50" s="3"/>
      <c r="S50" s="3" t="s">
        <v>1547</v>
      </c>
      <c r="T50" s="3"/>
      <c r="U50" s="3">
        <v>330.4</v>
      </c>
      <c r="V50" s="3"/>
      <c r="W50" s="761"/>
      <c r="X50" s="761"/>
      <c r="Y50" s="761">
        <v>44427</v>
      </c>
      <c r="Z50" s="761" t="s">
        <v>62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2:39" s="705" customFormat="1" ht="18" customHeight="1">
      <c r="B51" s="731"/>
      <c r="C51" s="736" t="s">
        <v>1756</v>
      </c>
      <c r="D51" s="737"/>
      <c r="E51" s="738"/>
      <c r="F51" s="739"/>
      <c r="G51" s="740"/>
      <c r="H51" s="740"/>
      <c r="I51" s="740"/>
      <c r="J51" s="756"/>
      <c r="K51" s="756"/>
      <c r="L51" s="740"/>
      <c r="M51" s="740"/>
      <c r="N51" s="740"/>
      <c r="O51" s="757"/>
      <c r="P51" s="758"/>
      <c r="Q51" s="740"/>
      <c r="R51" s="740"/>
      <c r="S51" s="740"/>
      <c r="T51" s="740"/>
      <c r="U51" s="740"/>
      <c r="V51" s="740"/>
      <c r="W51" s="740"/>
      <c r="X51" s="740"/>
      <c r="Y51" s="740"/>
      <c r="Z51" s="757"/>
      <c r="AA51" s="771"/>
      <c r="AB51" s="771"/>
      <c r="AC51" s="771"/>
      <c r="AD51" s="771"/>
      <c r="AE51" s="771"/>
      <c r="AF51" s="771"/>
      <c r="AG51" s="775"/>
      <c r="AH51" s="771"/>
      <c r="AI51" s="771"/>
      <c r="AJ51" s="771"/>
      <c r="AK51" s="771"/>
      <c r="AL51" s="771"/>
      <c r="AM51" s="776"/>
    </row>
    <row r="52" spans="2:39">
      <c r="B52" s="1490" t="s">
        <v>541</v>
      </c>
      <c r="C52" s="748" t="s">
        <v>1792</v>
      </c>
      <c r="D52" s="490">
        <v>200094827</v>
      </c>
      <c r="E52" s="1491" t="s">
        <v>1862</v>
      </c>
      <c r="F52" s="749">
        <v>1</v>
      </c>
      <c r="G52" s="3" t="s">
        <v>1041</v>
      </c>
      <c r="H52" s="3"/>
      <c r="I52" s="3">
        <v>465.7</v>
      </c>
      <c r="J52" s="3"/>
      <c r="K52" s="3"/>
      <c r="L52" s="761">
        <v>44428</v>
      </c>
      <c r="M52" s="761"/>
      <c r="N52" s="761"/>
      <c r="O52" s="761" t="s">
        <v>62</v>
      </c>
      <c r="P52" s="762"/>
      <c r="Q52" s="3"/>
      <c r="R52" s="3"/>
      <c r="S52" s="3" t="s">
        <v>1547</v>
      </c>
      <c r="T52" s="3"/>
      <c r="U52" s="3">
        <v>330.6</v>
      </c>
      <c r="V52" s="3"/>
      <c r="W52" s="761"/>
      <c r="X52" s="761"/>
      <c r="Y52" s="761">
        <v>44428</v>
      </c>
      <c r="Z52" s="761" t="s">
        <v>62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2:39">
      <c r="B53" s="1490" t="s">
        <v>541</v>
      </c>
      <c r="C53" s="748" t="s">
        <v>1792</v>
      </c>
      <c r="D53" s="490">
        <v>200094828</v>
      </c>
      <c r="E53" s="1491" t="s">
        <v>1863</v>
      </c>
      <c r="F53" s="749">
        <v>2</v>
      </c>
      <c r="G53" s="3" t="s">
        <v>1041</v>
      </c>
      <c r="H53" s="3"/>
      <c r="I53" s="3">
        <v>468.1</v>
      </c>
      <c r="J53" s="3"/>
      <c r="K53" s="3"/>
      <c r="L53" s="761">
        <v>44428</v>
      </c>
      <c r="M53" s="761"/>
      <c r="N53" s="761"/>
      <c r="O53" s="761" t="s">
        <v>62</v>
      </c>
      <c r="P53" s="762"/>
      <c r="Q53" s="3"/>
      <c r="R53" s="3"/>
      <c r="S53" s="3" t="s">
        <v>1547</v>
      </c>
      <c r="T53" s="3"/>
      <c r="U53" s="3">
        <v>329.9</v>
      </c>
      <c r="V53" s="3"/>
      <c r="W53" s="761"/>
      <c r="X53" s="761"/>
      <c r="Y53" s="761">
        <v>44431</v>
      </c>
      <c r="Z53" s="761" t="s">
        <v>62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2:39">
      <c r="B54" s="1490" t="s">
        <v>541</v>
      </c>
      <c r="C54" s="748" t="s">
        <v>1792</v>
      </c>
      <c r="D54" s="490">
        <v>200094829</v>
      </c>
      <c r="E54" s="1491" t="s">
        <v>1864</v>
      </c>
      <c r="F54" s="749">
        <v>3</v>
      </c>
      <c r="G54" s="3" t="s">
        <v>1041</v>
      </c>
      <c r="H54" s="3"/>
      <c r="I54" s="3">
        <v>464.6</v>
      </c>
      <c r="J54" s="3"/>
      <c r="K54" s="3"/>
      <c r="L54" s="761">
        <v>44431</v>
      </c>
      <c r="M54" s="761"/>
      <c r="N54" s="761"/>
      <c r="O54" s="761" t="s">
        <v>62</v>
      </c>
      <c r="P54" s="762"/>
      <c r="Q54" s="3"/>
      <c r="R54" s="3"/>
      <c r="S54" s="3" t="s">
        <v>1547</v>
      </c>
      <c r="T54" s="3"/>
      <c r="U54" s="3">
        <v>330</v>
      </c>
      <c r="V54" s="3"/>
      <c r="W54" s="761"/>
      <c r="X54" s="761"/>
      <c r="Y54" s="761">
        <v>44431</v>
      </c>
      <c r="Z54" s="761" t="s">
        <v>62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2:39">
      <c r="B55" s="1490" t="s">
        <v>541</v>
      </c>
      <c r="C55" s="748" t="s">
        <v>1792</v>
      </c>
      <c r="D55" s="490">
        <v>200094830</v>
      </c>
      <c r="E55" s="1491" t="s">
        <v>1865</v>
      </c>
      <c r="F55" s="749">
        <v>4</v>
      </c>
      <c r="G55" s="3" t="s">
        <v>1041</v>
      </c>
      <c r="H55" s="3"/>
      <c r="I55" s="3">
        <v>466.7</v>
      </c>
      <c r="J55" s="3"/>
      <c r="K55" s="3"/>
      <c r="L55" s="761">
        <v>44432</v>
      </c>
      <c r="M55" s="761"/>
      <c r="N55" s="761"/>
      <c r="O55" s="761" t="s">
        <v>62</v>
      </c>
      <c r="P55" s="762"/>
      <c r="Q55" s="3"/>
      <c r="R55" s="3"/>
      <c r="S55" s="3" t="s">
        <v>1547</v>
      </c>
      <c r="T55" s="3"/>
      <c r="U55" s="3">
        <v>328.9</v>
      </c>
      <c r="V55" s="3"/>
      <c r="W55" s="761"/>
      <c r="X55" s="761"/>
      <c r="Y55" s="761">
        <v>44432</v>
      </c>
      <c r="Z55" s="761" t="s">
        <v>62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2:39">
      <c r="B56" s="1490" t="s">
        <v>541</v>
      </c>
      <c r="C56" s="748" t="s">
        <v>1792</v>
      </c>
      <c r="D56" s="490">
        <v>200094831</v>
      </c>
      <c r="E56" s="1491" t="s">
        <v>1866</v>
      </c>
      <c r="F56" s="749">
        <v>5</v>
      </c>
      <c r="G56" s="3" t="s">
        <v>1041</v>
      </c>
      <c r="H56" s="3"/>
      <c r="I56" s="3">
        <v>460.1</v>
      </c>
      <c r="J56" s="3"/>
      <c r="K56" s="3"/>
      <c r="L56" s="761">
        <v>44432</v>
      </c>
      <c r="M56" s="761"/>
      <c r="N56" s="761"/>
      <c r="O56" s="761" t="s">
        <v>62</v>
      </c>
      <c r="P56" s="762"/>
      <c r="Q56" s="3"/>
      <c r="R56" s="3"/>
      <c r="S56" s="3" t="s">
        <v>1547</v>
      </c>
      <c r="T56" s="3"/>
      <c r="U56" s="3">
        <v>330.2</v>
      </c>
      <c r="V56" s="3"/>
      <c r="W56" s="761"/>
      <c r="X56" s="761"/>
      <c r="Y56" s="761">
        <v>44432</v>
      </c>
      <c r="Z56" s="761" t="s">
        <v>62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2:39">
      <c r="B57" s="1490" t="s">
        <v>541</v>
      </c>
      <c r="C57" s="748" t="s">
        <v>1792</v>
      </c>
      <c r="D57" s="490">
        <v>200094832</v>
      </c>
      <c r="E57" s="1491" t="s">
        <v>1867</v>
      </c>
      <c r="F57" s="749">
        <v>6</v>
      </c>
      <c r="G57" s="3" t="s">
        <v>1041</v>
      </c>
      <c r="H57" s="3"/>
      <c r="I57" s="3">
        <v>468.4</v>
      </c>
      <c r="J57" s="3"/>
      <c r="K57" s="3"/>
      <c r="L57" s="761">
        <v>44432</v>
      </c>
      <c r="M57" s="761"/>
      <c r="N57" s="761"/>
      <c r="O57" s="761" t="s">
        <v>62</v>
      </c>
      <c r="P57" s="762"/>
      <c r="Q57" s="3"/>
      <c r="R57" s="3"/>
      <c r="S57" s="3" t="s">
        <v>1547</v>
      </c>
      <c r="T57" s="3"/>
      <c r="U57" s="3">
        <v>330.14</v>
      </c>
      <c r="V57" s="3"/>
      <c r="W57" s="761"/>
      <c r="X57" s="761"/>
      <c r="Y57" s="761">
        <v>44433</v>
      </c>
      <c r="Z57" s="761" t="s">
        <v>62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2:39">
      <c r="B58" s="1490" t="s">
        <v>541</v>
      </c>
      <c r="C58" s="748" t="s">
        <v>1792</v>
      </c>
      <c r="D58" s="490">
        <v>200094833</v>
      </c>
      <c r="E58" s="1491" t="s">
        <v>1868</v>
      </c>
      <c r="F58" s="749">
        <v>7</v>
      </c>
      <c r="G58" s="3" t="s">
        <v>1041</v>
      </c>
      <c r="H58" s="3"/>
      <c r="I58" s="3">
        <v>470.4</v>
      </c>
      <c r="J58" s="3"/>
      <c r="K58" s="3"/>
      <c r="L58" s="761">
        <v>44432</v>
      </c>
      <c r="M58" s="761"/>
      <c r="N58" s="761"/>
      <c r="O58" s="761" t="s">
        <v>62</v>
      </c>
      <c r="P58" s="762"/>
      <c r="Q58" s="3"/>
      <c r="R58" s="3"/>
      <c r="S58" s="3" t="s">
        <v>1547</v>
      </c>
      <c r="T58" s="3"/>
      <c r="U58" s="3">
        <v>330.2</v>
      </c>
      <c r="V58" s="3"/>
      <c r="W58" s="761"/>
      <c r="X58" s="761"/>
      <c r="Y58" s="761">
        <v>44433</v>
      </c>
      <c r="Z58" s="761" t="s">
        <v>62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2:39">
      <c r="B59" s="1490" t="s">
        <v>541</v>
      </c>
      <c r="C59" s="748" t="s">
        <v>1792</v>
      </c>
      <c r="D59" s="490">
        <v>200094834</v>
      </c>
      <c r="E59" s="1491" t="s">
        <v>1869</v>
      </c>
      <c r="F59" s="749">
        <v>8</v>
      </c>
      <c r="G59" s="3" t="s">
        <v>1041</v>
      </c>
      <c r="H59" s="3"/>
      <c r="I59" s="3">
        <v>461.8</v>
      </c>
      <c r="J59" s="3"/>
      <c r="K59" s="3"/>
      <c r="L59" s="761">
        <v>44433</v>
      </c>
      <c r="M59" s="761"/>
      <c r="N59" s="761"/>
      <c r="O59" s="761" t="s">
        <v>62</v>
      </c>
      <c r="P59" s="762"/>
      <c r="Q59" s="3"/>
      <c r="R59" s="3"/>
      <c r="S59" s="3" t="s">
        <v>1547</v>
      </c>
      <c r="T59" s="3"/>
      <c r="U59" s="3">
        <v>330.3</v>
      </c>
      <c r="V59" s="3"/>
      <c r="W59" s="761"/>
      <c r="X59" s="761"/>
      <c r="Y59" s="761">
        <v>44434</v>
      </c>
      <c r="Z59" s="761" t="s">
        <v>62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2:39">
      <c r="B60" s="1490" t="s">
        <v>541</v>
      </c>
      <c r="C60" s="748" t="s">
        <v>1792</v>
      </c>
      <c r="D60" s="490">
        <v>200094835</v>
      </c>
      <c r="E60" s="1491" t="s">
        <v>1870</v>
      </c>
      <c r="F60" s="749">
        <v>9</v>
      </c>
      <c r="G60" s="3" t="s">
        <v>1041</v>
      </c>
      <c r="H60" s="3"/>
      <c r="I60" s="3">
        <v>466.6</v>
      </c>
      <c r="J60" s="3"/>
      <c r="K60" s="3"/>
      <c r="L60" s="761">
        <v>44434</v>
      </c>
      <c r="M60" s="761"/>
      <c r="N60" s="761"/>
      <c r="O60" s="761" t="s">
        <v>62</v>
      </c>
      <c r="P60" s="762"/>
      <c r="Q60" s="3"/>
      <c r="R60" s="3"/>
      <c r="S60" s="3" t="s">
        <v>1547</v>
      </c>
      <c r="T60" s="3"/>
      <c r="U60" s="3">
        <v>329.9</v>
      </c>
      <c r="V60" s="3"/>
      <c r="W60" s="761"/>
      <c r="X60" s="761"/>
      <c r="Y60" s="761">
        <v>44434</v>
      </c>
      <c r="Z60" s="761" t="s">
        <v>62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2:39">
      <c r="B61" s="1490" t="s">
        <v>541</v>
      </c>
      <c r="C61" s="748" t="s">
        <v>1792</v>
      </c>
      <c r="D61" s="490">
        <v>200094836</v>
      </c>
      <c r="E61" s="1491" t="s">
        <v>1871</v>
      </c>
      <c r="F61" s="749">
        <v>10</v>
      </c>
      <c r="G61" s="3" t="s">
        <v>1041</v>
      </c>
      <c r="H61" s="3"/>
      <c r="I61" s="3">
        <v>468</v>
      </c>
      <c r="J61" s="3"/>
      <c r="K61" s="3"/>
      <c r="L61" s="761">
        <v>44434</v>
      </c>
      <c r="M61" s="761"/>
      <c r="N61" s="761"/>
      <c r="O61" s="761" t="s">
        <v>62</v>
      </c>
      <c r="P61" s="762"/>
      <c r="Q61" s="3"/>
      <c r="R61" s="3"/>
      <c r="S61" s="3" t="s">
        <v>1547</v>
      </c>
      <c r="T61" s="3"/>
      <c r="U61" s="3">
        <v>330</v>
      </c>
      <c r="V61" s="3"/>
      <c r="W61" s="761"/>
      <c r="X61" s="761"/>
      <c r="Y61" s="761">
        <v>44435</v>
      </c>
      <c r="Z61" s="761" t="s">
        <v>62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2:39">
      <c r="B62" s="1490" t="s">
        <v>541</v>
      </c>
      <c r="C62" s="748" t="s">
        <v>1792</v>
      </c>
      <c r="D62" s="490">
        <v>200094905</v>
      </c>
      <c r="E62" s="1491" t="s">
        <v>1872</v>
      </c>
      <c r="F62" s="749">
        <v>11</v>
      </c>
      <c r="G62" s="3" t="s">
        <v>1041</v>
      </c>
      <c r="H62" s="3"/>
      <c r="I62" s="3">
        <v>461.8</v>
      </c>
      <c r="J62" s="3"/>
      <c r="K62" s="3"/>
      <c r="L62" s="761">
        <v>44435</v>
      </c>
      <c r="M62" s="761"/>
      <c r="N62" s="761"/>
      <c r="O62" s="761" t="s">
        <v>62</v>
      </c>
      <c r="P62" s="762"/>
      <c r="Q62" s="3"/>
      <c r="R62" s="3"/>
      <c r="S62" s="3" t="s">
        <v>1547</v>
      </c>
      <c r="T62" s="3"/>
      <c r="U62" s="3">
        <v>330.4</v>
      </c>
      <c r="V62" s="3"/>
      <c r="W62" s="761"/>
      <c r="X62" s="761"/>
      <c r="Y62" s="761">
        <v>44435</v>
      </c>
      <c r="Z62" s="761" t="s">
        <v>62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39">
      <c r="B63" s="1490" t="s">
        <v>541</v>
      </c>
      <c r="C63" s="748" t="s">
        <v>1792</v>
      </c>
      <c r="D63" s="490">
        <v>200094906</v>
      </c>
      <c r="E63" s="1491" t="s">
        <v>1873</v>
      </c>
      <c r="F63" s="749">
        <v>12</v>
      </c>
      <c r="G63" s="3" t="s">
        <v>1041</v>
      </c>
      <c r="H63" s="3"/>
      <c r="I63" s="3">
        <v>463.8</v>
      </c>
      <c r="J63" s="3"/>
      <c r="K63" s="3"/>
      <c r="L63" s="761">
        <v>44435</v>
      </c>
      <c r="M63" s="761"/>
      <c r="N63" s="761"/>
      <c r="O63" s="761" t="s">
        <v>62</v>
      </c>
      <c r="P63" s="762"/>
      <c r="Q63" s="3"/>
      <c r="R63" s="3"/>
      <c r="S63" s="3" t="s">
        <v>1547</v>
      </c>
      <c r="T63" s="3"/>
      <c r="U63" s="3">
        <v>330.2</v>
      </c>
      <c r="V63" s="3"/>
      <c r="W63" s="761"/>
      <c r="X63" s="761"/>
      <c r="Y63" s="761">
        <v>44435</v>
      </c>
      <c r="Z63" s="761" t="s">
        <v>62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2:39">
      <c r="B64" s="1490" t="s">
        <v>541</v>
      </c>
      <c r="C64" s="748" t="s">
        <v>1792</v>
      </c>
      <c r="D64" s="490">
        <v>200094907</v>
      </c>
      <c r="E64" s="1491" t="s">
        <v>1874</v>
      </c>
      <c r="F64" s="749">
        <v>13</v>
      </c>
      <c r="G64" s="3" t="s">
        <v>1041</v>
      </c>
      <c r="H64" s="3"/>
      <c r="I64" s="3">
        <v>469.1</v>
      </c>
      <c r="J64" s="3"/>
      <c r="K64" s="3"/>
      <c r="L64" s="761">
        <v>44435</v>
      </c>
      <c r="M64" s="761"/>
      <c r="N64" s="761"/>
      <c r="O64" s="761" t="s">
        <v>62</v>
      </c>
      <c r="P64" s="762"/>
      <c r="Q64" s="3"/>
      <c r="R64" s="3"/>
      <c r="S64" s="3" t="s">
        <v>1547</v>
      </c>
      <c r="T64" s="3"/>
      <c r="U64" s="3">
        <v>330.5</v>
      </c>
      <c r="V64" s="3"/>
      <c r="W64" s="761"/>
      <c r="X64" s="761"/>
      <c r="Y64" s="761">
        <v>44435</v>
      </c>
      <c r="Z64" s="761" t="s">
        <v>62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2:39">
      <c r="B65" s="1490" t="s">
        <v>541</v>
      </c>
      <c r="C65" s="748" t="s">
        <v>1792</v>
      </c>
      <c r="D65" s="490">
        <v>200094926</v>
      </c>
      <c r="E65" s="1491" t="s">
        <v>1875</v>
      </c>
      <c r="F65" s="749">
        <v>14</v>
      </c>
      <c r="G65" s="3" t="s">
        <v>1041</v>
      </c>
      <c r="H65" s="3"/>
      <c r="I65" s="3">
        <v>463.9</v>
      </c>
      <c r="J65" s="3"/>
      <c r="K65" s="3"/>
      <c r="L65" s="761">
        <v>44443</v>
      </c>
      <c r="M65" s="761"/>
      <c r="N65" s="761"/>
      <c r="O65" s="761" t="s">
        <v>62</v>
      </c>
      <c r="P65" s="762"/>
      <c r="Q65" s="3"/>
      <c r="R65" s="3"/>
      <c r="S65" s="3" t="s">
        <v>1547</v>
      </c>
      <c r="T65" s="3"/>
      <c r="U65" s="3">
        <v>330.4</v>
      </c>
      <c r="V65" s="3"/>
      <c r="W65" s="761"/>
      <c r="X65" s="761"/>
      <c r="Y65" s="761">
        <v>44443</v>
      </c>
      <c r="Z65" s="761" t="s">
        <v>62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2:39">
      <c r="B66" s="1490" t="s">
        <v>541</v>
      </c>
      <c r="C66" s="748" t="s">
        <v>1792</v>
      </c>
      <c r="D66" s="490">
        <v>200094927</v>
      </c>
      <c r="E66" s="1491" t="s">
        <v>1876</v>
      </c>
      <c r="F66" s="749">
        <v>15</v>
      </c>
      <c r="G66" s="3" t="s">
        <v>1041</v>
      </c>
      <c r="H66" s="3"/>
      <c r="I66" s="3">
        <v>462.7</v>
      </c>
      <c r="J66" s="3"/>
      <c r="K66" s="3"/>
      <c r="L66" s="761">
        <v>44445</v>
      </c>
      <c r="M66" s="761"/>
      <c r="N66" s="761"/>
      <c r="O66" s="761" t="s">
        <v>62</v>
      </c>
      <c r="P66" s="762"/>
      <c r="Q66" s="3"/>
      <c r="R66" s="3"/>
      <c r="S66" s="3" t="s">
        <v>1547</v>
      </c>
      <c r="T66" s="3"/>
      <c r="U66" s="3">
        <v>330.6</v>
      </c>
      <c r="V66" s="3"/>
      <c r="W66" s="761"/>
      <c r="X66" s="761"/>
      <c r="Y66" s="761">
        <v>44443</v>
      </c>
      <c r="Z66" s="761" t="s">
        <v>62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2:39">
      <c r="B67" s="1490" t="s">
        <v>541</v>
      </c>
      <c r="C67" s="748" t="s">
        <v>1792</v>
      </c>
      <c r="D67" s="490">
        <v>200094928</v>
      </c>
      <c r="E67" s="1491" t="s">
        <v>1877</v>
      </c>
      <c r="F67" s="749">
        <v>16</v>
      </c>
      <c r="G67" s="3" t="s">
        <v>1041</v>
      </c>
      <c r="H67" s="3"/>
      <c r="I67" s="3">
        <v>463.4</v>
      </c>
      <c r="J67" s="3"/>
      <c r="K67" s="3"/>
      <c r="L67" s="761">
        <v>44445</v>
      </c>
      <c r="M67" s="761"/>
      <c r="N67" s="761"/>
      <c r="O67" s="761" t="s">
        <v>62</v>
      </c>
      <c r="P67" s="762"/>
      <c r="Q67" s="3"/>
      <c r="R67" s="3"/>
      <c r="S67" s="3" t="s">
        <v>1547</v>
      </c>
      <c r="T67" s="3"/>
      <c r="U67" s="3">
        <v>330.1</v>
      </c>
      <c r="V67" s="3"/>
      <c r="W67" s="761"/>
      <c r="X67" s="761"/>
      <c r="Y67" s="761">
        <v>44443</v>
      </c>
      <c r="Z67" s="761" t="s">
        <v>62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2:39">
      <c r="B68" s="1490" t="s">
        <v>541</v>
      </c>
      <c r="C68" s="748" t="s">
        <v>1792</v>
      </c>
      <c r="D68" s="2">
        <v>200094929</v>
      </c>
      <c r="E68" s="1492" t="s">
        <v>1878</v>
      </c>
      <c r="F68" s="749">
        <v>17</v>
      </c>
      <c r="G68" s="3" t="s">
        <v>1041</v>
      </c>
      <c r="H68" s="3"/>
      <c r="I68" s="3">
        <v>465.1</v>
      </c>
      <c r="J68" s="3"/>
      <c r="K68" s="3"/>
      <c r="L68" s="761">
        <v>44445</v>
      </c>
      <c r="M68" s="761"/>
      <c r="N68" s="761"/>
      <c r="O68" s="761" t="s">
        <v>62</v>
      </c>
      <c r="P68" s="762"/>
      <c r="Q68" s="3"/>
      <c r="R68" s="3"/>
      <c r="S68" s="3" t="s">
        <v>1547</v>
      </c>
      <c r="T68" s="3"/>
      <c r="U68" s="3">
        <v>329.1</v>
      </c>
      <c r="V68" s="3"/>
      <c r="W68" s="761"/>
      <c r="X68" s="761"/>
      <c r="Y68" s="761">
        <v>44445</v>
      </c>
      <c r="Z68" s="761" t="s">
        <v>62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2:39">
      <c r="B69" s="1490" t="s">
        <v>541</v>
      </c>
      <c r="C69" s="748" t="s">
        <v>1792</v>
      </c>
      <c r="D69" s="12" t="s">
        <v>1879</v>
      </c>
      <c r="E69" s="11" t="s">
        <v>1880</v>
      </c>
      <c r="F69" s="749">
        <v>18</v>
      </c>
      <c r="G69" s="3" t="s">
        <v>1041</v>
      </c>
      <c r="H69" s="3"/>
      <c r="I69" s="3">
        <v>461.4</v>
      </c>
      <c r="J69" s="3"/>
      <c r="K69" s="3"/>
      <c r="L69" s="761">
        <v>44446</v>
      </c>
      <c r="M69" s="761"/>
      <c r="N69" s="761"/>
      <c r="O69" s="761" t="s">
        <v>62</v>
      </c>
      <c r="P69" s="762"/>
      <c r="Q69" s="3"/>
      <c r="R69" s="3"/>
      <c r="S69" s="3"/>
      <c r="T69" s="3"/>
      <c r="U69" s="3">
        <v>329.5</v>
      </c>
      <c r="V69" s="3"/>
      <c r="W69" s="761"/>
      <c r="X69" s="761"/>
      <c r="Y69" s="761">
        <v>44445</v>
      </c>
      <c r="Z69" s="761" t="s">
        <v>62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2:39">
      <c r="B70" s="1490" t="s">
        <v>541</v>
      </c>
      <c r="C70" s="748" t="s">
        <v>1792</v>
      </c>
      <c r="D70" s="12" t="s">
        <v>1881</v>
      </c>
      <c r="E70" s="11" t="s">
        <v>1882</v>
      </c>
      <c r="F70" s="749">
        <v>19</v>
      </c>
      <c r="G70" s="3" t="s">
        <v>1041</v>
      </c>
      <c r="H70" s="3"/>
      <c r="I70" s="3">
        <v>464.7</v>
      </c>
      <c r="J70" s="3"/>
      <c r="K70" s="3"/>
      <c r="L70" s="761">
        <v>44446</v>
      </c>
      <c r="M70" s="761"/>
      <c r="N70" s="761"/>
      <c r="O70" s="761" t="s">
        <v>62</v>
      </c>
      <c r="P70" s="762"/>
      <c r="Q70" s="3"/>
      <c r="R70" s="3"/>
      <c r="S70" s="3" t="s">
        <v>1547</v>
      </c>
      <c r="T70" s="3"/>
      <c r="U70" s="3">
        <v>329.1</v>
      </c>
      <c r="V70" s="3"/>
      <c r="W70" s="761"/>
      <c r="X70" s="761"/>
      <c r="Y70" s="761">
        <v>44447</v>
      </c>
      <c r="Z70" s="761" t="s">
        <v>62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2:39">
      <c r="B71" s="1490" t="s">
        <v>541</v>
      </c>
      <c r="C71" s="748" t="s">
        <v>1792</v>
      </c>
      <c r="D71" s="12" t="s">
        <v>1883</v>
      </c>
      <c r="E71" s="11" t="s">
        <v>1884</v>
      </c>
      <c r="F71" s="749">
        <v>20</v>
      </c>
      <c r="G71" s="3" t="s">
        <v>1041</v>
      </c>
      <c r="H71" s="3"/>
      <c r="I71" s="3">
        <v>461.7</v>
      </c>
      <c r="J71" s="3"/>
      <c r="K71" s="3"/>
      <c r="L71" s="761">
        <v>44447</v>
      </c>
      <c r="M71" s="761"/>
      <c r="N71" s="761"/>
      <c r="O71" s="761" t="s">
        <v>62</v>
      </c>
      <c r="P71" s="762"/>
      <c r="Q71" s="3"/>
      <c r="R71" s="3"/>
      <c r="S71" s="3" t="s">
        <v>1547</v>
      </c>
      <c r="T71" s="3"/>
      <c r="U71" s="3">
        <v>330.1</v>
      </c>
      <c r="V71" s="3"/>
      <c r="W71" s="761"/>
      <c r="X71" s="761"/>
      <c r="Y71" s="761">
        <v>44447</v>
      </c>
      <c r="Z71" s="761" t="s">
        <v>62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2:39">
      <c r="B72" s="1490" t="s">
        <v>541</v>
      </c>
      <c r="C72" s="748" t="s">
        <v>1792</v>
      </c>
      <c r="D72" s="12" t="s">
        <v>1885</v>
      </c>
      <c r="E72" s="11" t="s">
        <v>1886</v>
      </c>
      <c r="F72" s="749">
        <v>21</v>
      </c>
      <c r="G72" s="3" t="s">
        <v>1041</v>
      </c>
      <c r="H72" s="3"/>
      <c r="I72" s="3">
        <v>466</v>
      </c>
      <c r="J72" s="3"/>
      <c r="K72" s="3"/>
      <c r="L72" s="761">
        <v>44447</v>
      </c>
      <c r="M72" s="761"/>
      <c r="N72" s="761"/>
      <c r="O72" s="761" t="s">
        <v>62</v>
      </c>
      <c r="P72" s="762"/>
      <c r="Q72" s="3"/>
      <c r="R72" s="3"/>
      <c r="S72" s="3" t="s">
        <v>1547</v>
      </c>
      <c r="T72" s="3"/>
      <c r="U72" s="3">
        <v>330.2</v>
      </c>
      <c r="V72" s="3"/>
      <c r="W72" s="761"/>
      <c r="X72" s="761"/>
      <c r="Y72" s="761">
        <v>44447</v>
      </c>
      <c r="Z72" s="761" t="s">
        <v>62</v>
      </c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2:39">
      <c r="B73" s="1490" t="s">
        <v>541</v>
      </c>
      <c r="C73" s="748" t="s">
        <v>1792</v>
      </c>
      <c r="D73" s="12" t="s">
        <v>1887</v>
      </c>
      <c r="E73" s="11" t="s">
        <v>1888</v>
      </c>
      <c r="F73" s="749">
        <v>22</v>
      </c>
      <c r="G73" s="3" t="s">
        <v>1041</v>
      </c>
      <c r="H73" s="3"/>
      <c r="I73" s="3">
        <v>466</v>
      </c>
      <c r="J73" s="3"/>
      <c r="K73" s="3"/>
      <c r="L73" s="761">
        <v>44448</v>
      </c>
      <c r="M73" s="761"/>
      <c r="N73" s="761"/>
      <c r="O73" s="761" t="s">
        <v>62</v>
      </c>
      <c r="P73" s="762"/>
      <c r="Q73" s="3"/>
      <c r="R73" s="3"/>
      <c r="S73" s="3" t="s">
        <v>1547</v>
      </c>
      <c r="T73" s="3"/>
      <c r="U73" s="3">
        <v>329.9</v>
      </c>
      <c r="V73" s="3"/>
      <c r="W73" s="761"/>
      <c r="X73" s="761"/>
      <c r="Y73" s="761">
        <v>44447</v>
      </c>
      <c r="Z73" s="761" t="s">
        <v>62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2:39">
      <c r="B74" s="1490" t="s">
        <v>541</v>
      </c>
      <c r="C74" s="748" t="s">
        <v>1792</v>
      </c>
      <c r="D74" s="12" t="s">
        <v>1889</v>
      </c>
      <c r="E74" s="11" t="s">
        <v>1890</v>
      </c>
      <c r="F74" s="749">
        <v>23</v>
      </c>
      <c r="G74" s="3" t="s">
        <v>1041</v>
      </c>
      <c r="H74" s="3"/>
      <c r="I74" s="3">
        <v>467.9</v>
      </c>
      <c r="J74" s="3"/>
      <c r="K74" s="3"/>
      <c r="L74" s="761">
        <v>44448</v>
      </c>
      <c r="M74" s="761"/>
      <c r="N74" s="761" t="s">
        <v>1622</v>
      </c>
      <c r="O74" s="761" t="s">
        <v>62</v>
      </c>
      <c r="P74" s="762"/>
      <c r="Q74" s="3"/>
      <c r="R74" s="3"/>
      <c r="S74" s="3" t="s">
        <v>1547</v>
      </c>
      <c r="T74" s="3"/>
      <c r="U74" s="3">
        <v>330.4</v>
      </c>
      <c r="V74" s="3"/>
      <c r="W74" s="761"/>
      <c r="X74" s="761"/>
      <c r="Y74" s="761">
        <v>44448</v>
      </c>
      <c r="Z74" s="761" t="s">
        <v>62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2:39">
      <c r="B75" s="1490" t="s">
        <v>541</v>
      </c>
      <c r="C75" s="748" t="s">
        <v>1792</v>
      </c>
      <c r="D75" s="12" t="s">
        <v>1891</v>
      </c>
      <c r="E75" s="11" t="s">
        <v>1892</v>
      </c>
      <c r="F75" s="749">
        <v>24</v>
      </c>
      <c r="G75" s="3" t="s">
        <v>1041</v>
      </c>
      <c r="H75" s="3"/>
      <c r="I75" s="3">
        <v>467.9</v>
      </c>
      <c r="J75" s="3"/>
      <c r="K75" s="3"/>
      <c r="L75" s="761">
        <v>44448</v>
      </c>
      <c r="M75" s="761"/>
      <c r="N75" s="761"/>
      <c r="O75" s="761" t="s">
        <v>62</v>
      </c>
      <c r="P75" s="762"/>
      <c r="Q75" s="3"/>
      <c r="R75" s="3"/>
      <c r="S75" s="3" t="s">
        <v>1547</v>
      </c>
      <c r="T75" s="3"/>
      <c r="U75" s="3">
        <v>329.9</v>
      </c>
      <c r="V75" s="3"/>
      <c r="W75" s="761"/>
      <c r="X75" s="761"/>
      <c r="Y75" s="761">
        <v>44448</v>
      </c>
      <c r="Z75" s="761" t="s">
        <v>62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2:39">
      <c r="B76" s="1490" t="s">
        <v>541</v>
      </c>
      <c r="C76" s="748" t="s">
        <v>1792</v>
      </c>
      <c r="D76" s="12" t="s">
        <v>1893</v>
      </c>
      <c r="E76" s="11" t="s">
        <v>1894</v>
      </c>
      <c r="F76" s="749">
        <v>25</v>
      </c>
      <c r="G76" s="3" t="s">
        <v>1041</v>
      </c>
      <c r="H76" s="3"/>
      <c r="I76" s="3">
        <v>456.3</v>
      </c>
      <c r="J76" s="3"/>
      <c r="K76" s="3"/>
      <c r="L76" s="761">
        <v>44448</v>
      </c>
      <c r="M76" s="761"/>
      <c r="N76" s="761"/>
      <c r="O76" s="761" t="s">
        <v>62</v>
      </c>
      <c r="P76" s="762"/>
      <c r="Q76" s="3"/>
      <c r="R76" s="3"/>
      <c r="S76" s="3" t="s">
        <v>1547</v>
      </c>
      <c r="T76" s="3"/>
      <c r="U76" s="3">
        <v>330.1</v>
      </c>
      <c r="V76" s="3"/>
      <c r="W76" s="761"/>
      <c r="X76" s="761"/>
      <c r="Y76" s="761">
        <v>44448</v>
      </c>
      <c r="Z76" s="761" t="s">
        <v>62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2:39">
      <c r="B77" s="1490" t="s">
        <v>541</v>
      </c>
      <c r="C77" s="748" t="s">
        <v>1792</v>
      </c>
      <c r="D77" s="12" t="s">
        <v>1895</v>
      </c>
      <c r="E77" s="11" t="s">
        <v>1896</v>
      </c>
      <c r="F77" s="749">
        <v>26</v>
      </c>
      <c r="G77" s="3" t="s">
        <v>1041</v>
      </c>
      <c r="H77" s="3"/>
      <c r="I77" s="3">
        <v>468.7</v>
      </c>
      <c r="J77" s="3"/>
      <c r="K77" s="3"/>
      <c r="L77" s="761">
        <v>44448</v>
      </c>
      <c r="M77" s="761"/>
      <c r="N77" s="761"/>
      <c r="O77" s="761" t="s">
        <v>62</v>
      </c>
      <c r="P77" s="762"/>
      <c r="Q77" s="3"/>
      <c r="R77" s="3"/>
      <c r="S77" s="3" t="s">
        <v>1547</v>
      </c>
      <c r="T77" s="3"/>
      <c r="U77" s="3">
        <v>330.2</v>
      </c>
      <c r="V77" s="3"/>
      <c r="W77" s="761"/>
      <c r="X77" s="761"/>
      <c r="Y77" s="761">
        <v>44449</v>
      </c>
      <c r="Z77" s="761" t="s">
        <v>62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2:39">
      <c r="B78" s="1490" t="s">
        <v>541</v>
      </c>
      <c r="C78" s="748" t="s">
        <v>1792</v>
      </c>
      <c r="D78" s="12" t="s">
        <v>1897</v>
      </c>
      <c r="E78" s="11" t="s">
        <v>1898</v>
      </c>
      <c r="F78" s="749">
        <v>27</v>
      </c>
      <c r="G78" s="3" t="s">
        <v>1041</v>
      </c>
      <c r="H78" s="3"/>
      <c r="I78" s="3">
        <v>456.3</v>
      </c>
      <c r="J78" s="3"/>
      <c r="K78" s="3"/>
      <c r="L78" s="761">
        <v>44449</v>
      </c>
      <c r="M78" s="761"/>
      <c r="N78" s="761"/>
      <c r="O78" s="761" t="s">
        <v>62</v>
      </c>
      <c r="P78" s="762"/>
      <c r="Q78" s="3"/>
      <c r="R78" s="3"/>
      <c r="S78" s="3" t="s">
        <v>1547</v>
      </c>
      <c r="T78" s="3"/>
      <c r="U78" s="3">
        <v>330</v>
      </c>
      <c r="V78" s="3"/>
      <c r="W78" s="761"/>
      <c r="X78" s="761"/>
      <c r="Y78" s="761">
        <v>44449</v>
      </c>
      <c r="Z78" s="761" t="s">
        <v>62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2:39" s="705" customFormat="1" ht="18" customHeight="1">
      <c r="B79" s="731"/>
      <c r="C79" s="736" t="s">
        <v>1899</v>
      </c>
      <c r="D79" s="737"/>
      <c r="E79" s="738"/>
      <c r="F79" s="739"/>
      <c r="G79" s="740"/>
      <c r="H79" s="740"/>
      <c r="I79" s="740"/>
      <c r="J79" s="756"/>
      <c r="K79" s="756"/>
      <c r="L79" s="740"/>
      <c r="M79" s="740"/>
      <c r="N79" s="740"/>
      <c r="O79" s="757"/>
      <c r="P79" s="758"/>
      <c r="Q79" s="740"/>
      <c r="R79" s="740"/>
      <c r="S79" s="740"/>
      <c r="T79" s="740"/>
      <c r="U79" s="740"/>
      <c r="V79" s="740"/>
      <c r="W79" s="740"/>
      <c r="X79" s="740"/>
      <c r="Y79" s="740"/>
      <c r="Z79" s="757"/>
      <c r="AA79" s="771"/>
      <c r="AB79" s="771"/>
      <c r="AC79" s="771"/>
      <c r="AD79" s="771"/>
      <c r="AE79" s="771"/>
      <c r="AF79" s="771"/>
      <c r="AG79" s="775"/>
      <c r="AH79" s="771"/>
      <c r="AI79" s="771"/>
      <c r="AJ79" s="771"/>
      <c r="AK79" s="771"/>
      <c r="AL79" s="771"/>
      <c r="AM79" s="776"/>
    </row>
    <row r="80" spans="2:39">
      <c r="B80" s="747">
        <v>10</v>
      </c>
      <c r="C80" s="748" t="s">
        <v>1792</v>
      </c>
      <c r="D80" s="12" t="s">
        <v>1900</v>
      </c>
      <c r="E80" s="11" t="s">
        <v>1901</v>
      </c>
      <c r="F80" s="749">
        <v>1</v>
      </c>
      <c r="G80" s="3" t="s">
        <v>1041</v>
      </c>
      <c r="H80" s="3"/>
      <c r="I80" s="3">
        <v>463.6</v>
      </c>
      <c r="J80" s="3"/>
      <c r="K80" s="3"/>
      <c r="L80" s="761">
        <v>44463</v>
      </c>
      <c r="M80" s="761"/>
      <c r="N80" s="761"/>
      <c r="O80" s="761" t="s">
        <v>62</v>
      </c>
      <c r="P80" s="762"/>
      <c r="Q80" s="3"/>
      <c r="R80" s="3"/>
      <c r="S80" s="3" t="s">
        <v>1547</v>
      </c>
      <c r="T80" s="3"/>
      <c r="U80" s="3">
        <v>330.2</v>
      </c>
      <c r="V80" s="3"/>
      <c r="W80" s="761"/>
      <c r="X80" s="761"/>
      <c r="Y80" s="761">
        <v>44462</v>
      </c>
      <c r="Z80" s="761" t="s">
        <v>62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2:38">
      <c r="B81" s="747">
        <v>10</v>
      </c>
      <c r="C81" s="748" t="s">
        <v>1792</v>
      </c>
      <c r="D81" s="12" t="s">
        <v>1902</v>
      </c>
      <c r="E81" s="11" t="s">
        <v>1903</v>
      </c>
      <c r="F81" s="749">
        <v>2</v>
      </c>
      <c r="G81" s="3" t="s">
        <v>1041</v>
      </c>
      <c r="H81" s="3"/>
      <c r="I81" s="3">
        <f>152.1+157.4+156</f>
        <v>465.5</v>
      </c>
      <c r="J81" s="3"/>
      <c r="K81" s="3"/>
      <c r="L81" s="761">
        <v>44463</v>
      </c>
      <c r="M81" s="761"/>
      <c r="N81" s="761"/>
      <c r="O81" s="761" t="s">
        <v>62</v>
      </c>
      <c r="P81" s="762"/>
      <c r="Q81" s="3"/>
      <c r="R81" s="3"/>
      <c r="S81" s="3" t="s">
        <v>1547</v>
      </c>
      <c r="T81" s="3"/>
      <c r="U81" s="3">
        <v>329.6</v>
      </c>
      <c r="V81" s="3"/>
      <c r="W81" s="761"/>
      <c r="X81" s="761"/>
      <c r="Y81" s="761">
        <v>44463</v>
      </c>
      <c r="Z81" s="761" t="s">
        <v>62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2:38">
      <c r="B82" s="747">
        <v>10</v>
      </c>
      <c r="C82" s="748" t="s">
        <v>1792</v>
      </c>
      <c r="D82" s="12" t="s">
        <v>1904</v>
      </c>
      <c r="E82" s="11" t="s">
        <v>1905</v>
      </c>
      <c r="F82" s="749">
        <v>3</v>
      </c>
      <c r="G82" s="3" t="s">
        <v>1041</v>
      </c>
      <c r="H82" s="3"/>
      <c r="I82" s="3">
        <v>464.9</v>
      </c>
      <c r="J82" s="3"/>
      <c r="K82" s="3"/>
      <c r="L82" s="761">
        <v>44466</v>
      </c>
      <c r="M82" s="761"/>
      <c r="N82" s="761"/>
      <c r="O82" s="761" t="s">
        <v>62</v>
      </c>
      <c r="P82" s="762"/>
      <c r="Q82" s="3"/>
      <c r="R82" s="3"/>
      <c r="S82" s="3" t="s">
        <v>1547</v>
      </c>
      <c r="T82" s="3"/>
      <c r="U82" s="3">
        <v>330.1</v>
      </c>
      <c r="V82" s="3"/>
      <c r="W82" s="761"/>
      <c r="X82" s="761"/>
      <c r="Y82" s="761">
        <v>44463</v>
      </c>
      <c r="Z82" s="761" t="s">
        <v>62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2:38">
      <c r="B83" s="747">
        <v>10</v>
      </c>
      <c r="C83" s="748" t="s">
        <v>1792</v>
      </c>
      <c r="D83" s="12" t="s">
        <v>1906</v>
      </c>
      <c r="E83" s="11" t="s">
        <v>1907</v>
      </c>
      <c r="F83" s="749">
        <v>4</v>
      </c>
      <c r="G83" s="3" t="s">
        <v>1041</v>
      </c>
      <c r="H83" s="3"/>
      <c r="I83" s="3">
        <v>463.6</v>
      </c>
      <c r="J83" s="3"/>
      <c r="K83" s="3"/>
      <c r="L83" s="761">
        <v>44466</v>
      </c>
      <c r="M83" s="761"/>
      <c r="N83" s="761"/>
      <c r="O83" s="761" t="s">
        <v>62</v>
      </c>
      <c r="P83" s="762"/>
      <c r="Q83" s="3"/>
      <c r="R83" s="3"/>
      <c r="S83" s="3" t="s">
        <v>1547</v>
      </c>
      <c r="T83" s="3"/>
      <c r="U83" s="3">
        <v>330.4</v>
      </c>
      <c r="V83" s="3"/>
      <c r="W83" s="761"/>
      <c r="X83" s="761"/>
      <c r="Y83" s="761">
        <v>44466</v>
      </c>
      <c r="Z83" s="761" t="s">
        <v>62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2:38">
      <c r="B84" s="747">
        <v>10</v>
      </c>
      <c r="C84" s="748" t="s">
        <v>1792</v>
      </c>
      <c r="D84" s="12" t="s">
        <v>1908</v>
      </c>
      <c r="E84" s="11" t="s">
        <v>1909</v>
      </c>
      <c r="F84" s="749">
        <v>5</v>
      </c>
      <c r="G84" s="3" t="s">
        <v>1041</v>
      </c>
      <c r="H84" s="3"/>
      <c r="I84" s="3">
        <v>467.2</v>
      </c>
      <c r="J84" s="3"/>
      <c r="K84" s="3"/>
      <c r="L84" s="761">
        <v>44466</v>
      </c>
      <c r="M84" s="761"/>
      <c r="N84" s="761"/>
      <c r="O84" s="761" t="s">
        <v>62</v>
      </c>
      <c r="P84" s="762"/>
      <c r="Q84" s="3"/>
      <c r="R84" s="3"/>
      <c r="S84" s="3" t="s">
        <v>1547</v>
      </c>
      <c r="T84" s="3"/>
      <c r="U84" s="3">
        <v>330.1</v>
      </c>
      <c r="V84" s="3"/>
      <c r="W84" s="761"/>
      <c r="X84" s="761"/>
      <c r="Y84" s="761">
        <v>44466</v>
      </c>
      <c r="Z84" s="761" t="s">
        <v>62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2:38">
      <c r="B85" s="747">
        <v>10</v>
      </c>
      <c r="C85" s="748" t="s">
        <v>1792</v>
      </c>
      <c r="D85" s="12" t="s">
        <v>1910</v>
      </c>
      <c r="E85" s="11" t="s">
        <v>1911</v>
      </c>
      <c r="F85" s="749">
        <v>6</v>
      </c>
      <c r="G85" s="3" t="s">
        <v>1041</v>
      </c>
      <c r="H85" s="3"/>
      <c r="I85" s="3">
        <v>462.9</v>
      </c>
      <c r="J85" s="3"/>
      <c r="K85" s="3"/>
      <c r="L85" s="761">
        <v>44468</v>
      </c>
      <c r="M85" s="761"/>
      <c r="N85" s="761"/>
      <c r="O85" s="761" t="s">
        <v>62</v>
      </c>
      <c r="P85" s="762"/>
      <c r="Q85" s="3"/>
      <c r="R85" s="3"/>
      <c r="S85" s="3" t="s">
        <v>1547</v>
      </c>
      <c r="T85" s="3"/>
      <c r="U85" s="3">
        <v>330.3</v>
      </c>
      <c r="V85" s="3"/>
      <c r="W85" s="761"/>
      <c r="X85" s="761"/>
      <c r="Y85" s="761">
        <v>44466</v>
      </c>
      <c r="Z85" s="761" t="s">
        <v>62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2:38">
      <c r="B86" s="747">
        <v>10</v>
      </c>
      <c r="C86" s="748" t="s">
        <v>1792</v>
      </c>
      <c r="D86" s="12" t="s">
        <v>1912</v>
      </c>
      <c r="E86" s="11" t="s">
        <v>1913</v>
      </c>
      <c r="F86" s="749">
        <v>7</v>
      </c>
      <c r="G86" s="3" t="s">
        <v>1041</v>
      </c>
      <c r="H86" s="3"/>
      <c r="I86" s="3">
        <v>466.6</v>
      </c>
      <c r="J86" s="3"/>
      <c r="K86" s="3"/>
      <c r="L86" s="761">
        <v>44468</v>
      </c>
      <c r="M86" s="761"/>
      <c r="N86" s="761"/>
      <c r="O86" s="761" t="s">
        <v>62</v>
      </c>
      <c r="P86" s="762"/>
      <c r="Q86" s="3"/>
      <c r="R86" s="3"/>
      <c r="S86" s="3" t="s">
        <v>1547</v>
      </c>
      <c r="T86" s="3"/>
      <c r="U86" s="3">
        <v>330.5</v>
      </c>
      <c r="V86" s="3"/>
      <c r="W86" s="761"/>
      <c r="X86" s="761"/>
      <c r="Y86" s="761">
        <v>44467</v>
      </c>
      <c r="Z86" s="761" t="s">
        <v>62</v>
      </c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2:38">
      <c r="B87" s="747">
        <v>10</v>
      </c>
      <c r="C87" s="748" t="s">
        <v>1792</v>
      </c>
      <c r="D87" s="12" t="s">
        <v>1914</v>
      </c>
      <c r="E87" s="11" t="s">
        <v>1915</v>
      </c>
      <c r="F87" s="749">
        <v>8</v>
      </c>
      <c r="G87" s="3" t="s">
        <v>1041</v>
      </c>
      <c r="H87" s="3"/>
      <c r="I87" s="3">
        <v>466.1</v>
      </c>
      <c r="J87" s="3"/>
      <c r="K87" s="3"/>
      <c r="L87" s="761">
        <v>44469</v>
      </c>
      <c r="M87" s="761"/>
      <c r="N87" s="761"/>
      <c r="O87" s="761" t="s">
        <v>62</v>
      </c>
      <c r="P87" s="762"/>
      <c r="Q87" s="3"/>
      <c r="R87" s="3"/>
      <c r="S87" s="3" t="s">
        <v>1547</v>
      </c>
      <c r="T87" s="3"/>
      <c r="U87" s="3">
        <v>330.1</v>
      </c>
      <c r="V87" s="3"/>
      <c r="W87" s="761"/>
      <c r="X87" s="761"/>
      <c r="Y87" s="761">
        <v>44467</v>
      </c>
      <c r="Z87" s="761" t="s">
        <v>62</v>
      </c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2:38">
      <c r="B88" s="747">
        <v>10</v>
      </c>
      <c r="C88" s="748" t="s">
        <v>1792</v>
      </c>
      <c r="D88" s="12" t="s">
        <v>1916</v>
      </c>
      <c r="E88" s="11" t="s">
        <v>1917</v>
      </c>
      <c r="F88" s="749">
        <v>9</v>
      </c>
      <c r="G88" s="3" t="s">
        <v>1041</v>
      </c>
      <c r="H88" s="3"/>
      <c r="I88" s="3">
        <v>468</v>
      </c>
      <c r="J88" s="3"/>
      <c r="K88" s="3"/>
      <c r="L88" s="761">
        <v>44469</v>
      </c>
      <c r="M88" s="761"/>
      <c r="N88" s="761"/>
      <c r="O88" s="761" t="s">
        <v>62</v>
      </c>
      <c r="P88" s="762"/>
      <c r="Q88" s="3"/>
      <c r="R88" s="3"/>
      <c r="S88" s="3" t="s">
        <v>1547</v>
      </c>
      <c r="T88" s="3"/>
      <c r="U88" s="3">
        <v>330.4</v>
      </c>
      <c r="V88" s="3"/>
      <c r="W88" s="761"/>
      <c r="X88" s="761"/>
      <c r="Y88" s="761">
        <v>44467</v>
      </c>
      <c r="Z88" s="761" t="s">
        <v>62</v>
      </c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2:38">
      <c r="B89" s="747">
        <v>10</v>
      </c>
      <c r="C89" s="748" t="s">
        <v>1792</v>
      </c>
      <c r="D89" s="12" t="s">
        <v>1918</v>
      </c>
      <c r="E89" s="11" t="s">
        <v>1919</v>
      </c>
      <c r="F89" s="749">
        <v>10</v>
      </c>
      <c r="G89" s="3" t="s">
        <v>1041</v>
      </c>
      <c r="H89" s="3"/>
      <c r="I89" s="3">
        <v>464.1</v>
      </c>
      <c r="J89" s="3"/>
      <c r="K89" s="3"/>
      <c r="L89" s="761">
        <v>44470</v>
      </c>
      <c r="M89" s="761"/>
      <c r="N89" s="761"/>
      <c r="O89" s="761" t="s">
        <v>62</v>
      </c>
      <c r="P89" s="762"/>
      <c r="Q89" s="3"/>
      <c r="R89" s="3"/>
      <c r="S89" s="3" t="s">
        <v>1547</v>
      </c>
      <c r="T89" s="3"/>
      <c r="U89" s="3">
        <v>330</v>
      </c>
      <c r="V89" s="3"/>
      <c r="W89" s="761"/>
      <c r="X89" s="761"/>
      <c r="Y89" s="761">
        <v>44467</v>
      </c>
      <c r="Z89" s="761" t="s">
        <v>62</v>
      </c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2:38">
      <c r="B90" s="747">
        <v>10</v>
      </c>
      <c r="C90" s="748" t="s">
        <v>1792</v>
      </c>
      <c r="D90" s="12" t="s">
        <v>1920</v>
      </c>
      <c r="E90" s="11" t="s">
        <v>1921</v>
      </c>
      <c r="F90" s="749">
        <v>11</v>
      </c>
      <c r="G90" s="3" t="s">
        <v>1041</v>
      </c>
      <c r="H90" s="3"/>
      <c r="I90" s="3">
        <v>466.9</v>
      </c>
      <c r="J90" s="3"/>
      <c r="K90" s="3"/>
      <c r="L90" s="761">
        <v>44470</v>
      </c>
      <c r="M90" s="761"/>
      <c r="N90" s="761"/>
      <c r="O90" s="761" t="s">
        <v>62</v>
      </c>
      <c r="P90" s="762"/>
      <c r="Q90" s="3"/>
      <c r="R90" s="3"/>
      <c r="S90" s="3" t="s">
        <v>1547</v>
      </c>
      <c r="T90" s="3"/>
      <c r="U90" s="3">
        <v>330.3</v>
      </c>
      <c r="V90" s="3"/>
      <c r="W90" s="761"/>
      <c r="X90" s="761"/>
      <c r="Y90" s="761">
        <v>44467</v>
      </c>
      <c r="Z90" s="761" t="s">
        <v>62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2:38">
      <c r="B91" s="747">
        <v>10</v>
      </c>
      <c r="C91" s="748" t="s">
        <v>1792</v>
      </c>
      <c r="D91" s="12" t="s">
        <v>1922</v>
      </c>
      <c r="E91" s="11" t="s">
        <v>1923</v>
      </c>
      <c r="F91" s="749">
        <v>12</v>
      </c>
      <c r="G91" s="3" t="s">
        <v>1041</v>
      </c>
      <c r="H91" s="3"/>
      <c r="I91" s="3">
        <v>464.8</v>
      </c>
      <c r="J91" s="3"/>
      <c r="K91" s="3"/>
      <c r="L91" s="761">
        <v>44470</v>
      </c>
      <c r="M91" s="761"/>
      <c r="N91" s="761"/>
      <c r="O91" s="761" t="s">
        <v>62</v>
      </c>
      <c r="P91" s="762"/>
      <c r="Q91" s="3"/>
      <c r="R91" s="3"/>
      <c r="S91" s="3" t="s">
        <v>1547</v>
      </c>
      <c r="T91" s="3"/>
      <c r="U91" s="3">
        <v>330.4</v>
      </c>
      <c r="V91" s="3"/>
      <c r="W91" s="761"/>
      <c r="X91" s="761"/>
      <c r="Y91" s="761">
        <v>44469</v>
      </c>
      <c r="Z91" s="761" t="s">
        <v>62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2:38">
      <c r="B92" s="747">
        <v>10</v>
      </c>
      <c r="C92" s="748" t="s">
        <v>1792</v>
      </c>
      <c r="D92" s="12" t="s">
        <v>1924</v>
      </c>
      <c r="E92" s="11" t="s">
        <v>1925</v>
      </c>
      <c r="F92" s="749">
        <v>13</v>
      </c>
      <c r="G92" s="3" t="s">
        <v>1041</v>
      </c>
      <c r="H92" s="3"/>
      <c r="I92" s="3">
        <v>471.2</v>
      </c>
      <c r="J92" s="3"/>
      <c r="K92" s="3"/>
      <c r="L92" s="761">
        <v>44470</v>
      </c>
      <c r="M92" s="761"/>
      <c r="N92" s="761"/>
      <c r="O92" s="761" t="s">
        <v>62</v>
      </c>
      <c r="P92" s="762"/>
      <c r="Q92" s="3"/>
      <c r="R92" s="3"/>
      <c r="S92" s="3" t="s">
        <v>1547</v>
      </c>
      <c r="T92" s="3"/>
      <c r="U92" s="3">
        <v>330.2</v>
      </c>
      <c r="V92" s="3"/>
      <c r="W92" s="761"/>
      <c r="X92" s="761"/>
      <c r="Y92" s="761">
        <v>44469</v>
      </c>
      <c r="Z92" s="761" t="s">
        <v>62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2:38">
      <c r="B93" s="747">
        <v>10</v>
      </c>
      <c r="C93" s="748" t="s">
        <v>1792</v>
      </c>
      <c r="D93" s="12" t="s">
        <v>1926</v>
      </c>
      <c r="E93" s="11" t="s">
        <v>1927</v>
      </c>
      <c r="F93" s="749">
        <v>14</v>
      </c>
      <c r="G93" s="3" t="s">
        <v>1041</v>
      </c>
      <c r="H93" s="3"/>
      <c r="I93" s="3">
        <v>464</v>
      </c>
      <c r="J93" s="3"/>
      <c r="K93" s="3"/>
      <c r="L93" s="761">
        <v>44473</v>
      </c>
      <c r="M93" s="761"/>
      <c r="N93" s="761"/>
      <c r="O93" s="761" t="s">
        <v>62</v>
      </c>
      <c r="P93" s="762"/>
      <c r="Q93" s="3"/>
      <c r="R93" s="3"/>
      <c r="S93" s="3" t="s">
        <v>1547</v>
      </c>
      <c r="T93" s="3"/>
      <c r="U93" s="3">
        <v>330.2</v>
      </c>
      <c r="V93" s="3"/>
      <c r="W93" s="761"/>
      <c r="X93" s="761"/>
      <c r="Y93" s="761">
        <v>44473</v>
      </c>
      <c r="Z93" s="761" t="s">
        <v>62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2:38">
      <c r="B94" s="747">
        <v>10</v>
      </c>
      <c r="C94" s="748" t="s">
        <v>1792</v>
      </c>
      <c r="D94" s="12" t="s">
        <v>1928</v>
      </c>
      <c r="E94" s="11" t="s">
        <v>1929</v>
      </c>
      <c r="F94" s="749">
        <v>15</v>
      </c>
      <c r="G94" s="3" t="s">
        <v>1041</v>
      </c>
      <c r="H94" s="3"/>
      <c r="I94" s="3">
        <v>468.8</v>
      </c>
      <c r="J94" s="3"/>
      <c r="K94" s="3"/>
      <c r="L94" s="761">
        <v>44473</v>
      </c>
      <c r="M94" s="761"/>
      <c r="N94" s="761"/>
      <c r="O94" s="761" t="s">
        <v>62</v>
      </c>
      <c r="P94" s="762"/>
      <c r="Q94" s="3"/>
      <c r="R94" s="3"/>
      <c r="S94" s="3" t="s">
        <v>1547</v>
      </c>
      <c r="T94" s="3"/>
      <c r="U94" s="3">
        <v>330.2</v>
      </c>
      <c r="V94" s="3"/>
      <c r="W94" s="761"/>
      <c r="X94" s="761"/>
      <c r="Y94" s="761">
        <v>44473</v>
      </c>
      <c r="Z94" s="761" t="s">
        <v>62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2:38">
      <c r="B95" s="747">
        <v>10</v>
      </c>
      <c r="C95" s="748" t="s">
        <v>1792</v>
      </c>
      <c r="D95" s="12" t="s">
        <v>1930</v>
      </c>
      <c r="E95" s="11" t="s">
        <v>1931</v>
      </c>
      <c r="F95" s="749">
        <v>16</v>
      </c>
      <c r="G95" s="3" t="s">
        <v>1041</v>
      </c>
      <c r="H95" s="3"/>
      <c r="I95" s="3">
        <v>465.7</v>
      </c>
      <c r="J95" s="3"/>
      <c r="K95" s="3"/>
      <c r="L95" s="761">
        <v>44473</v>
      </c>
      <c r="M95" s="761"/>
      <c r="N95" s="761"/>
      <c r="O95" s="761" t="s">
        <v>62</v>
      </c>
      <c r="P95" s="762"/>
      <c r="Q95" s="3"/>
      <c r="R95" s="3"/>
      <c r="S95" s="3" t="s">
        <v>1547</v>
      </c>
      <c r="T95" s="3"/>
      <c r="U95" s="3">
        <v>330.1</v>
      </c>
      <c r="V95" s="3"/>
      <c r="W95" s="761"/>
      <c r="X95" s="761"/>
      <c r="Y95" s="761">
        <v>44473</v>
      </c>
      <c r="Z95" s="761" t="s">
        <v>62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2:38">
      <c r="B96" s="747">
        <v>10</v>
      </c>
      <c r="C96" s="748" t="s">
        <v>1792</v>
      </c>
      <c r="D96" s="12" t="s">
        <v>1932</v>
      </c>
      <c r="E96" s="11" t="s">
        <v>1933</v>
      </c>
      <c r="F96" s="749">
        <v>17</v>
      </c>
      <c r="G96" s="3" t="s">
        <v>1041</v>
      </c>
      <c r="H96" s="3"/>
      <c r="I96" s="3">
        <v>461.8</v>
      </c>
      <c r="J96" s="3"/>
      <c r="K96" s="3"/>
      <c r="L96" s="761">
        <v>44475</v>
      </c>
      <c r="M96" s="761"/>
      <c r="N96" s="761"/>
      <c r="O96" s="761" t="s">
        <v>62</v>
      </c>
      <c r="P96" s="762"/>
      <c r="Q96" s="3"/>
      <c r="R96" s="3"/>
      <c r="S96" s="3" t="s">
        <v>1547</v>
      </c>
      <c r="T96" s="3"/>
      <c r="U96" s="3">
        <v>330</v>
      </c>
      <c r="V96" s="3"/>
      <c r="W96" s="761"/>
      <c r="X96" s="761"/>
      <c r="Y96" s="761">
        <v>44475</v>
      </c>
      <c r="Z96" s="761" t="s">
        <v>62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2:39">
      <c r="B97" s="747">
        <v>10</v>
      </c>
      <c r="C97" s="748" t="s">
        <v>1792</v>
      </c>
      <c r="D97" s="12" t="s">
        <v>1934</v>
      </c>
      <c r="E97" s="11" t="s">
        <v>1935</v>
      </c>
      <c r="F97" s="749">
        <v>18</v>
      </c>
      <c r="G97" s="3" t="s">
        <v>1041</v>
      </c>
      <c r="H97" s="3"/>
      <c r="I97" s="3">
        <v>470.9</v>
      </c>
      <c r="J97" s="3"/>
      <c r="K97" s="3"/>
      <c r="L97" s="761">
        <v>44475</v>
      </c>
      <c r="M97" s="761"/>
      <c r="N97" s="761"/>
      <c r="O97" s="761" t="s">
        <v>62</v>
      </c>
      <c r="P97" s="762"/>
      <c r="Q97" s="3"/>
      <c r="R97" s="3"/>
      <c r="S97" s="3" t="s">
        <v>1547</v>
      </c>
      <c r="T97" s="3"/>
      <c r="U97" s="3">
        <v>330.2</v>
      </c>
      <c r="V97" s="3"/>
      <c r="W97" s="761"/>
      <c r="X97" s="761"/>
      <c r="Y97" s="761">
        <v>44475</v>
      </c>
      <c r="Z97" s="761" t="s">
        <v>62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2:39">
      <c r="B98" s="747">
        <v>10</v>
      </c>
      <c r="C98" s="748" t="s">
        <v>1792</v>
      </c>
      <c r="D98" s="12" t="s">
        <v>1936</v>
      </c>
      <c r="E98" s="11" t="s">
        <v>1937</v>
      </c>
      <c r="F98" s="749">
        <v>19</v>
      </c>
      <c r="G98" s="3" t="s">
        <v>1041</v>
      </c>
      <c r="H98" s="3"/>
      <c r="I98" s="3">
        <v>467.9</v>
      </c>
      <c r="J98" s="3"/>
      <c r="K98" s="3"/>
      <c r="L98" s="761">
        <v>44475</v>
      </c>
      <c r="M98" s="761"/>
      <c r="N98" s="761"/>
      <c r="O98" s="761" t="s">
        <v>62</v>
      </c>
      <c r="P98" s="762"/>
      <c r="Q98" s="3"/>
      <c r="R98" s="3"/>
      <c r="S98" s="3" t="s">
        <v>1547</v>
      </c>
      <c r="T98" s="3"/>
      <c r="U98" s="3">
        <v>330.4</v>
      </c>
      <c r="V98" s="3"/>
      <c r="W98" s="761"/>
      <c r="X98" s="761"/>
      <c r="Y98" s="761">
        <v>44475</v>
      </c>
      <c r="Z98" s="761" t="s">
        <v>62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2:39">
      <c r="B99" s="747">
        <v>10</v>
      </c>
      <c r="C99" s="748" t="s">
        <v>1792</v>
      </c>
      <c r="D99" s="12" t="s">
        <v>1938</v>
      </c>
      <c r="E99" s="11" t="s">
        <v>1939</v>
      </c>
      <c r="F99" s="749">
        <v>20</v>
      </c>
      <c r="G99" s="3" t="s">
        <v>1041</v>
      </c>
      <c r="H99" s="3"/>
      <c r="I99" s="3">
        <v>465.3</v>
      </c>
      <c r="J99" s="3"/>
      <c r="K99" s="3"/>
      <c r="L99" s="761">
        <v>44484</v>
      </c>
      <c r="M99" s="761"/>
      <c r="N99" s="761"/>
      <c r="O99" s="761" t="s">
        <v>62</v>
      </c>
      <c r="P99" s="762"/>
      <c r="Q99" s="3"/>
      <c r="R99" s="3"/>
      <c r="S99" s="3" t="s">
        <v>1547</v>
      </c>
      <c r="T99" s="3"/>
      <c r="U99" s="3">
        <v>330.4</v>
      </c>
      <c r="V99" s="3"/>
      <c r="W99" s="761"/>
      <c r="X99" s="761"/>
      <c r="Y99" s="761">
        <v>44484</v>
      </c>
      <c r="Z99" s="778" t="s">
        <v>62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2:39">
      <c r="B100" s="747">
        <v>10</v>
      </c>
      <c r="C100" s="748" t="s">
        <v>1792</v>
      </c>
      <c r="D100" s="12" t="s">
        <v>1940</v>
      </c>
      <c r="E100" s="11" t="s">
        <v>1941</v>
      </c>
      <c r="F100" s="749">
        <v>21</v>
      </c>
      <c r="G100" s="3" t="s">
        <v>128</v>
      </c>
      <c r="H100" s="3"/>
      <c r="I100" s="3">
        <v>467</v>
      </c>
      <c r="J100" s="3"/>
      <c r="K100" s="3"/>
      <c r="L100" s="761">
        <v>44484</v>
      </c>
      <c r="M100" s="761"/>
      <c r="N100" s="761"/>
      <c r="O100" s="761" t="s">
        <v>62</v>
      </c>
      <c r="P100" s="762"/>
      <c r="Q100" s="3"/>
      <c r="R100" s="3"/>
      <c r="S100" s="3" t="s">
        <v>1547</v>
      </c>
      <c r="T100" s="3"/>
      <c r="U100" s="3">
        <v>330</v>
      </c>
      <c r="V100" s="3"/>
      <c r="W100" s="761"/>
      <c r="X100" s="761"/>
      <c r="Y100" s="761">
        <v>44484</v>
      </c>
      <c r="Z100" s="778" t="s">
        <v>62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2:39">
      <c r="B101" s="747">
        <v>10</v>
      </c>
      <c r="C101" s="748" t="s">
        <v>1792</v>
      </c>
      <c r="D101" s="12" t="s">
        <v>1942</v>
      </c>
      <c r="E101" s="11" t="s">
        <v>1943</v>
      </c>
      <c r="F101" s="749">
        <v>22</v>
      </c>
      <c r="G101" s="3" t="s">
        <v>1041</v>
      </c>
      <c r="H101" s="3"/>
      <c r="I101" s="3">
        <v>465.9</v>
      </c>
      <c r="J101" s="3"/>
      <c r="K101" s="3"/>
      <c r="L101" s="761">
        <v>44484</v>
      </c>
      <c r="M101" s="761"/>
      <c r="N101" s="761"/>
      <c r="O101" s="761" t="s">
        <v>62</v>
      </c>
      <c r="P101" s="762"/>
      <c r="Q101" s="3"/>
      <c r="R101" s="3"/>
      <c r="S101" s="3" t="s">
        <v>1547</v>
      </c>
      <c r="T101" s="3"/>
      <c r="U101" s="3">
        <v>330.1</v>
      </c>
      <c r="V101" s="3"/>
      <c r="W101" s="761"/>
      <c r="X101" s="761"/>
      <c r="Y101" s="761">
        <v>44484</v>
      </c>
      <c r="Z101" s="778" t="s">
        <v>62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2:39">
      <c r="B102" s="747">
        <v>10</v>
      </c>
      <c r="C102" s="748" t="s">
        <v>1792</v>
      </c>
      <c r="D102" s="12" t="s">
        <v>1944</v>
      </c>
      <c r="E102" s="11" t="s">
        <v>1945</v>
      </c>
      <c r="F102" s="749">
        <v>23</v>
      </c>
      <c r="G102" s="3" t="s">
        <v>1041</v>
      </c>
      <c r="H102" s="3"/>
      <c r="I102" s="3">
        <v>465.5</v>
      </c>
      <c r="J102" s="3"/>
      <c r="K102" s="3"/>
      <c r="L102" s="761">
        <v>44484</v>
      </c>
      <c r="M102" s="761"/>
      <c r="N102" s="761"/>
      <c r="O102" s="761" t="s">
        <v>62</v>
      </c>
      <c r="P102" s="762"/>
      <c r="Q102" s="3"/>
      <c r="R102" s="3"/>
      <c r="S102" s="3" t="s">
        <v>1547</v>
      </c>
      <c r="T102" s="3"/>
      <c r="U102" s="3">
        <v>330.2</v>
      </c>
      <c r="V102" s="3"/>
      <c r="W102" s="761"/>
      <c r="X102" s="761"/>
      <c r="Y102" s="761">
        <v>44487</v>
      </c>
      <c r="Z102" s="778" t="s">
        <v>62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2:39">
      <c r="B103" s="747">
        <v>10</v>
      </c>
      <c r="C103" s="748" t="s">
        <v>1792</v>
      </c>
      <c r="D103" s="12" t="s">
        <v>1946</v>
      </c>
      <c r="E103" s="11" t="s">
        <v>1947</v>
      </c>
      <c r="F103" s="749">
        <v>24</v>
      </c>
      <c r="G103" s="3" t="s">
        <v>1041</v>
      </c>
      <c r="H103" s="3"/>
      <c r="I103" s="3">
        <v>467.2</v>
      </c>
      <c r="J103" s="3"/>
      <c r="K103" s="3"/>
      <c r="L103" s="761">
        <v>44488</v>
      </c>
      <c r="M103" s="761"/>
      <c r="N103" s="761"/>
      <c r="O103" s="761" t="s">
        <v>62</v>
      </c>
      <c r="P103" s="762"/>
      <c r="Q103" s="3"/>
      <c r="R103" s="3"/>
      <c r="S103" s="3" t="s">
        <v>1547</v>
      </c>
      <c r="T103" s="3"/>
      <c r="U103" s="3">
        <v>330.2</v>
      </c>
      <c r="V103" s="3"/>
      <c r="W103" s="761"/>
      <c r="X103" s="761"/>
      <c r="Y103" s="761">
        <v>44487</v>
      </c>
      <c r="Z103" s="778" t="s">
        <v>62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2:39">
      <c r="B104" s="747">
        <v>10</v>
      </c>
      <c r="C104" s="748" t="s">
        <v>1792</v>
      </c>
      <c r="D104" s="12" t="s">
        <v>1948</v>
      </c>
      <c r="E104" s="11" t="s">
        <v>1949</v>
      </c>
      <c r="F104" s="749">
        <v>25</v>
      </c>
      <c r="G104" s="3" t="s">
        <v>1041</v>
      </c>
      <c r="H104" s="3"/>
      <c r="I104" s="3">
        <v>461.2</v>
      </c>
      <c r="J104" s="3"/>
      <c r="K104" s="3"/>
      <c r="L104" s="761">
        <v>44488</v>
      </c>
      <c r="M104" s="761"/>
      <c r="N104" s="761"/>
      <c r="O104" s="761" t="s">
        <v>62</v>
      </c>
      <c r="P104" s="762"/>
      <c r="Q104" s="3"/>
      <c r="R104" s="3"/>
      <c r="S104" s="3" t="s">
        <v>1547</v>
      </c>
      <c r="T104" s="3"/>
      <c r="U104" s="3">
        <v>330.1</v>
      </c>
      <c r="V104" s="3"/>
      <c r="W104" s="761"/>
      <c r="X104" s="761"/>
      <c r="Y104" s="761">
        <v>44487</v>
      </c>
      <c r="Z104" s="778" t="s">
        <v>62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2:39">
      <c r="B105" s="747">
        <v>10</v>
      </c>
      <c r="C105" s="748" t="s">
        <v>1792</v>
      </c>
      <c r="D105" s="12" t="s">
        <v>1950</v>
      </c>
      <c r="E105" s="11" t="s">
        <v>1951</v>
      </c>
      <c r="F105" s="749">
        <v>26</v>
      </c>
      <c r="G105" s="3" t="s">
        <v>1041</v>
      </c>
      <c r="H105" s="3"/>
      <c r="I105" s="3">
        <v>473.2</v>
      </c>
      <c r="J105" s="3"/>
      <c r="K105" s="3"/>
      <c r="L105" s="761">
        <v>44490</v>
      </c>
      <c r="M105" s="761"/>
      <c r="N105" s="761"/>
      <c r="O105" s="761" t="s">
        <v>62</v>
      </c>
      <c r="P105" s="762"/>
      <c r="Q105" s="3"/>
      <c r="R105" s="3"/>
      <c r="S105" s="3" t="s">
        <v>1547</v>
      </c>
      <c r="T105" s="3"/>
      <c r="U105" s="3">
        <v>330.4</v>
      </c>
      <c r="V105" s="3"/>
      <c r="W105" s="761"/>
      <c r="X105" s="761"/>
      <c r="Y105" s="761">
        <v>44488</v>
      </c>
      <c r="Z105" s="778" t="s">
        <v>62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2:39">
      <c r="B106" s="747">
        <v>10</v>
      </c>
      <c r="C106" s="748" t="s">
        <v>1792</v>
      </c>
      <c r="D106" s="12" t="s">
        <v>1952</v>
      </c>
      <c r="E106" s="11" t="s">
        <v>1953</v>
      </c>
      <c r="F106" s="749">
        <v>27</v>
      </c>
      <c r="G106" s="3" t="s">
        <v>1041</v>
      </c>
      <c r="H106" s="3"/>
      <c r="I106" s="3">
        <v>469.4</v>
      </c>
      <c r="J106" s="3"/>
      <c r="K106" s="3"/>
      <c r="L106" s="761">
        <v>44490</v>
      </c>
      <c r="M106" s="761"/>
      <c r="N106" s="761"/>
      <c r="O106" s="761" t="s">
        <v>62</v>
      </c>
      <c r="P106" s="762"/>
      <c r="Q106" s="3"/>
      <c r="R106" s="3"/>
      <c r="S106" s="3" t="s">
        <v>1547</v>
      </c>
      <c r="T106" s="3"/>
      <c r="U106" s="3">
        <v>330.1</v>
      </c>
      <c r="V106" s="3"/>
      <c r="W106" s="761"/>
      <c r="X106" s="761"/>
      <c r="Y106" s="761">
        <v>44490</v>
      </c>
      <c r="Z106" s="778" t="s">
        <v>62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2:39" s="705" customFormat="1" ht="18" customHeight="1">
      <c r="B107" s="731"/>
      <c r="C107" s="736" t="s">
        <v>1760</v>
      </c>
      <c r="D107" s="737"/>
      <c r="E107" s="738"/>
      <c r="F107" s="739"/>
      <c r="G107" s="740"/>
      <c r="H107" s="740"/>
      <c r="I107" s="740"/>
      <c r="J107" s="756"/>
      <c r="K107" s="756"/>
      <c r="L107" s="740"/>
      <c r="M107" s="740"/>
      <c r="N107" s="740"/>
      <c r="O107" s="757"/>
      <c r="P107" s="758"/>
      <c r="Q107" s="740"/>
      <c r="R107" s="740"/>
      <c r="S107" s="740"/>
      <c r="T107" s="740"/>
      <c r="U107" s="740"/>
      <c r="V107" s="740"/>
      <c r="W107" s="740"/>
      <c r="X107" s="740"/>
      <c r="Y107" s="740"/>
      <c r="Z107" s="757"/>
      <c r="AA107" s="771"/>
      <c r="AB107" s="771"/>
      <c r="AC107" s="771"/>
      <c r="AD107" s="771"/>
      <c r="AE107" s="771"/>
      <c r="AF107" s="771"/>
      <c r="AG107" s="775"/>
      <c r="AH107" s="771"/>
      <c r="AI107" s="771"/>
      <c r="AJ107" s="771"/>
      <c r="AK107" s="771"/>
      <c r="AL107" s="771"/>
      <c r="AM107" s="776"/>
    </row>
    <row r="108" spans="2:39">
      <c r="B108" s="747">
        <v>11</v>
      </c>
      <c r="C108" s="748" t="s">
        <v>1792</v>
      </c>
      <c r="D108" s="12" t="s">
        <v>1954</v>
      </c>
      <c r="E108" s="11" t="s">
        <v>1955</v>
      </c>
      <c r="F108" s="749">
        <v>1</v>
      </c>
      <c r="G108" s="3" t="s">
        <v>128</v>
      </c>
      <c r="H108" s="3"/>
      <c r="I108" s="3">
        <v>464</v>
      </c>
      <c r="J108" s="3"/>
      <c r="K108" s="3"/>
      <c r="L108" s="761">
        <v>44494</v>
      </c>
      <c r="M108" s="761"/>
      <c r="N108" s="761"/>
      <c r="O108" s="761" t="s">
        <v>62</v>
      </c>
      <c r="P108" s="762"/>
      <c r="Q108" s="3"/>
      <c r="R108" s="3"/>
      <c r="S108" s="3" t="s">
        <v>1547</v>
      </c>
      <c r="T108" s="3"/>
      <c r="U108" s="3">
        <v>329.9</v>
      </c>
      <c r="V108" s="3"/>
      <c r="W108" s="761"/>
      <c r="X108" s="761"/>
      <c r="Y108" s="761">
        <v>44494</v>
      </c>
      <c r="Z108" s="778" t="s">
        <v>62</v>
      </c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2:39">
      <c r="B109" s="747">
        <v>11</v>
      </c>
      <c r="C109" s="748" t="s">
        <v>1792</v>
      </c>
      <c r="D109" s="12" t="s">
        <v>1956</v>
      </c>
      <c r="E109" s="11" t="s">
        <v>1957</v>
      </c>
      <c r="F109" s="749">
        <v>2</v>
      </c>
      <c r="G109" s="3" t="s">
        <v>1041</v>
      </c>
      <c r="H109" s="3"/>
      <c r="I109" s="3">
        <v>467.2</v>
      </c>
      <c r="J109" s="3"/>
      <c r="K109" s="3"/>
      <c r="L109" s="761">
        <v>44494</v>
      </c>
      <c r="M109" s="761"/>
      <c r="N109" s="761"/>
      <c r="O109" s="761" t="s">
        <v>62</v>
      </c>
      <c r="P109" s="762"/>
      <c r="Q109" s="3"/>
      <c r="R109" s="3"/>
      <c r="S109" s="3" t="s">
        <v>1547</v>
      </c>
      <c r="T109" s="3"/>
      <c r="U109" s="3">
        <v>329.8</v>
      </c>
      <c r="V109" s="3"/>
      <c r="W109" s="761"/>
      <c r="X109" s="761"/>
      <c r="Y109" s="761">
        <v>44494</v>
      </c>
      <c r="Z109" s="778" t="s">
        <v>62</v>
      </c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2:39">
      <c r="B110" s="747">
        <v>11</v>
      </c>
      <c r="C110" s="748" t="s">
        <v>1792</v>
      </c>
      <c r="D110" s="12" t="s">
        <v>1958</v>
      </c>
      <c r="E110" s="11" t="s">
        <v>1959</v>
      </c>
      <c r="F110" s="749">
        <v>3</v>
      </c>
      <c r="G110" s="3" t="s">
        <v>1041</v>
      </c>
      <c r="H110" s="3"/>
      <c r="I110" s="3">
        <f>154+154.2+155.4</f>
        <v>463.6</v>
      </c>
      <c r="J110" s="3"/>
      <c r="K110" s="3"/>
      <c r="L110" s="761">
        <v>44497</v>
      </c>
      <c r="M110" s="761"/>
      <c r="N110" s="761"/>
      <c r="O110" s="761" t="s">
        <v>62</v>
      </c>
      <c r="P110" s="762"/>
      <c r="Q110" s="3"/>
      <c r="R110" s="3"/>
      <c r="S110" s="3" t="s">
        <v>1547</v>
      </c>
      <c r="T110" s="3"/>
      <c r="U110" s="3">
        <v>330</v>
      </c>
      <c r="V110" s="3"/>
      <c r="W110" s="761"/>
      <c r="X110" s="761"/>
      <c r="Y110" s="761">
        <v>44497</v>
      </c>
      <c r="Z110" s="778" t="s">
        <v>62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2:39">
      <c r="B111" s="747">
        <v>11</v>
      </c>
      <c r="C111" s="748" t="s">
        <v>1792</v>
      </c>
      <c r="D111" s="12" t="s">
        <v>1960</v>
      </c>
      <c r="E111" s="11" t="s">
        <v>1961</v>
      </c>
      <c r="F111" s="749">
        <v>4</v>
      </c>
      <c r="G111" s="3" t="s">
        <v>1041</v>
      </c>
      <c r="H111" s="3"/>
      <c r="I111" s="3">
        <f>155.9+155.5+155.9</f>
        <v>467.29999999999995</v>
      </c>
      <c r="J111" s="3"/>
      <c r="K111" s="3"/>
      <c r="L111" s="761">
        <v>44497</v>
      </c>
      <c r="M111" s="761"/>
      <c r="N111" s="761"/>
      <c r="O111" s="761" t="s">
        <v>62</v>
      </c>
      <c r="P111" s="762"/>
      <c r="Q111" s="3"/>
      <c r="R111" s="3"/>
      <c r="S111" s="3" t="s">
        <v>1547</v>
      </c>
      <c r="T111" s="3"/>
      <c r="U111" s="3">
        <v>330</v>
      </c>
      <c r="V111" s="3"/>
      <c r="W111" s="761"/>
      <c r="X111" s="761"/>
      <c r="Y111" s="761">
        <v>44497</v>
      </c>
      <c r="Z111" s="778" t="s">
        <v>62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2:39">
      <c r="B112" s="747">
        <v>11</v>
      </c>
      <c r="C112" s="748" t="s">
        <v>1792</v>
      </c>
      <c r="D112" s="12" t="s">
        <v>1962</v>
      </c>
      <c r="E112" s="11" t="s">
        <v>1963</v>
      </c>
      <c r="F112" s="749">
        <v>5</v>
      </c>
      <c r="G112" s="3" t="s">
        <v>1041</v>
      </c>
      <c r="H112" s="3"/>
      <c r="I112" s="3">
        <v>465.8</v>
      </c>
      <c r="J112" s="3"/>
      <c r="K112" s="3"/>
      <c r="L112" s="761">
        <v>44497</v>
      </c>
      <c r="M112" s="761"/>
      <c r="N112" s="761"/>
      <c r="O112" s="761" t="s">
        <v>62</v>
      </c>
      <c r="P112" s="762"/>
      <c r="Q112" s="3"/>
      <c r="R112" s="3"/>
      <c r="S112" s="3" t="s">
        <v>1547</v>
      </c>
      <c r="T112" s="3"/>
      <c r="U112" s="3">
        <v>329.7</v>
      </c>
      <c r="V112" s="3"/>
      <c r="W112" s="761"/>
      <c r="X112" s="761"/>
      <c r="Y112" s="761">
        <v>44498</v>
      </c>
      <c r="Z112" s="778" t="s">
        <v>62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2:38">
      <c r="B113" s="747">
        <v>11</v>
      </c>
      <c r="C113" s="748" t="s">
        <v>1792</v>
      </c>
      <c r="D113" s="12" t="s">
        <v>1964</v>
      </c>
      <c r="E113" s="11" t="s">
        <v>1965</v>
      </c>
      <c r="F113" s="749">
        <v>6</v>
      </c>
      <c r="G113" s="3" t="s">
        <v>1041</v>
      </c>
      <c r="H113" s="3"/>
      <c r="I113" s="3">
        <v>467.32</v>
      </c>
      <c r="J113" s="3"/>
      <c r="K113" s="3"/>
      <c r="L113" s="761">
        <v>44497</v>
      </c>
      <c r="M113" s="761"/>
      <c r="N113" s="761"/>
      <c r="O113" s="761" t="s">
        <v>62</v>
      </c>
      <c r="P113" s="762"/>
      <c r="Q113" s="3"/>
      <c r="R113" s="3"/>
      <c r="S113" s="3" t="s">
        <v>1547</v>
      </c>
      <c r="T113" s="3"/>
      <c r="U113" s="3">
        <v>330.2</v>
      </c>
      <c r="V113" s="3"/>
      <c r="W113" s="761"/>
      <c r="X113" s="761"/>
      <c r="Y113" s="761">
        <v>44498</v>
      </c>
      <c r="Z113" s="778" t="s">
        <v>62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2:38">
      <c r="B114" s="747">
        <v>11</v>
      </c>
      <c r="C114" s="748" t="s">
        <v>1792</v>
      </c>
      <c r="D114" s="12" t="s">
        <v>1966</v>
      </c>
      <c r="E114" s="11" t="s">
        <v>1967</v>
      </c>
      <c r="F114" s="749">
        <v>7</v>
      </c>
      <c r="G114" s="3" t="s">
        <v>128</v>
      </c>
      <c r="H114" s="3"/>
      <c r="I114" s="3">
        <v>460.4</v>
      </c>
      <c r="J114" s="3"/>
      <c r="K114" s="3"/>
      <c r="L114" s="761">
        <v>44501</v>
      </c>
      <c r="M114" s="761"/>
      <c r="N114" s="761"/>
      <c r="O114" s="761" t="s">
        <v>62</v>
      </c>
      <c r="P114" s="762"/>
      <c r="Q114" s="3"/>
      <c r="R114" s="3"/>
      <c r="S114" s="3" t="s">
        <v>1547</v>
      </c>
      <c r="T114" s="3"/>
      <c r="U114" s="3">
        <v>330</v>
      </c>
      <c r="V114" s="3"/>
      <c r="W114" s="761"/>
      <c r="X114" s="761"/>
      <c r="Y114" s="761">
        <v>44501</v>
      </c>
      <c r="Z114" s="778" t="s">
        <v>62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2:38">
      <c r="B115" s="747">
        <v>11</v>
      </c>
      <c r="C115" s="748" t="s">
        <v>1792</v>
      </c>
      <c r="D115" s="12" t="s">
        <v>1968</v>
      </c>
      <c r="E115" s="11" t="s">
        <v>1969</v>
      </c>
      <c r="F115" s="749">
        <v>8</v>
      </c>
      <c r="G115" s="3" t="s">
        <v>128</v>
      </c>
      <c r="H115" s="3"/>
      <c r="I115" s="3">
        <v>465</v>
      </c>
      <c r="J115" s="3"/>
      <c r="K115" s="3"/>
      <c r="L115" s="761">
        <v>44501</v>
      </c>
      <c r="M115" s="761"/>
      <c r="N115" s="761"/>
      <c r="O115" s="761" t="s">
        <v>62</v>
      </c>
      <c r="P115" s="762"/>
      <c r="Q115" s="3"/>
      <c r="R115" s="3"/>
      <c r="S115" s="3" t="s">
        <v>1547</v>
      </c>
      <c r="T115" s="3"/>
      <c r="U115" s="3">
        <v>330.2</v>
      </c>
      <c r="V115" s="3"/>
      <c r="W115" s="761"/>
      <c r="X115" s="761"/>
      <c r="Y115" s="761">
        <v>44501</v>
      </c>
      <c r="Z115" s="778" t="s">
        <v>62</v>
      </c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2:38">
      <c r="B116" s="747">
        <v>11</v>
      </c>
      <c r="C116" s="748" t="s">
        <v>1792</v>
      </c>
      <c r="D116" s="12" t="s">
        <v>1970</v>
      </c>
      <c r="E116" s="11" t="s">
        <v>1971</v>
      </c>
      <c r="F116" s="749">
        <v>9</v>
      </c>
      <c r="G116" s="3" t="s">
        <v>128</v>
      </c>
      <c r="H116" s="3"/>
      <c r="I116" s="3">
        <v>464.6</v>
      </c>
      <c r="J116" s="3"/>
      <c r="K116" s="3"/>
      <c r="L116" s="761">
        <v>44501</v>
      </c>
      <c r="M116" s="761"/>
      <c r="N116" s="761"/>
      <c r="O116" s="761" t="s">
        <v>62</v>
      </c>
      <c r="P116" s="762"/>
      <c r="Q116" s="3"/>
      <c r="R116" s="3"/>
      <c r="S116" s="3" t="s">
        <v>1547</v>
      </c>
      <c r="T116" s="3"/>
      <c r="U116" s="3">
        <v>330.3</v>
      </c>
      <c r="V116" s="3"/>
      <c r="W116" s="761"/>
      <c r="X116" s="761"/>
      <c r="Y116" s="761">
        <v>44501</v>
      </c>
      <c r="Z116" s="778" t="s">
        <v>62</v>
      </c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2:38">
      <c r="B117" s="747">
        <v>11</v>
      </c>
      <c r="C117" s="748" t="s">
        <v>1792</v>
      </c>
      <c r="D117" s="12" t="s">
        <v>1972</v>
      </c>
      <c r="E117" s="11" t="s">
        <v>1973</v>
      </c>
      <c r="F117" s="749">
        <v>10</v>
      </c>
      <c r="G117" s="3" t="s">
        <v>1041</v>
      </c>
      <c r="H117" s="3"/>
      <c r="I117" s="3">
        <v>464.4</v>
      </c>
      <c r="J117" s="3"/>
      <c r="K117" s="3"/>
      <c r="L117" s="761">
        <v>44502</v>
      </c>
      <c r="M117" s="761"/>
      <c r="N117" s="761"/>
      <c r="O117" s="761" t="s">
        <v>62</v>
      </c>
      <c r="P117" s="762"/>
      <c r="Q117" s="3"/>
      <c r="R117" s="3"/>
      <c r="S117" s="3" t="s">
        <v>1547</v>
      </c>
      <c r="T117" s="3"/>
      <c r="U117" s="3">
        <v>330.1</v>
      </c>
      <c r="V117" s="3"/>
      <c r="W117" s="761"/>
      <c r="X117" s="761"/>
      <c r="Y117" s="761">
        <v>44502</v>
      </c>
      <c r="Z117" s="778" t="s">
        <v>62</v>
      </c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2:38">
      <c r="B118" s="747">
        <v>11</v>
      </c>
      <c r="C118" s="748" t="s">
        <v>1792</v>
      </c>
      <c r="D118" s="777" t="s">
        <v>1974</v>
      </c>
      <c r="E118" s="712" t="s">
        <v>1975</v>
      </c>
      <c r="F118" s="749">
        <v>11</v>
      </c>
      <c r="G118" s="3" t="s">
        <v>932</v>
      </c>
      <c r="H118" s="3"/>
      <c r="I118">
        <v>465.8</v>
      </c>
      <c r="J118" s="3"/>
      <c r="K118" s="3"/>
      <c r="L118" s="761">
        <v>44502</v>
      </c>
      <c r="M118" s="761"/>
      <c r="N118" s="761"/>
      <c r="O118" s="761" t="s">
        <v>62</v>
      </c>
      <c r="P118" s="762"/>
      <c r="Q118" s="3"/>
      <c r="R118" s="3"/>
      <c r="S118" s="3" t="s">
        <v>1547</v>
      </c>
      <c r="T118" s="3"/>
      <c r="U118" s="3">
        <v>330.2</v>
      </c>
      <c r="V118" s="3"/>
      <c r="W118" s="761"/>
      <c r="X118" s="761"/>
      <c r="Y118" s="761">
        <v>44502</v>
      </c>
      <c r="Z118" s="778" t="s">
        <v>62</v>
      </c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2:38">
      <c r="B119" s="747">
        <v>11</v>
      </c>
      <c r="C119" s="748" t="s">
        <v>1792</v>
      </c>
      <c r="D119" s="12" t="s">
        <v>1976</v>
      </c>
      <c r="E119" s="11" t="s">
        <v>1977</v>
      </c>
      <c r="F119" s="749">
        <v>12</v>
      </c>
      <c r="G119" s="3" t="s">
        <v>1041</v>
      </c>
      <c r="H119" s="3"/>
      <c r="I119" s="3">
        <v>462.2</v>
      </c>
      <c r="J119" s="3"/>
      <c r="K119" s="3"/>
      <c r="L119" s="761">
        <v>44502</v>
      </c>
      <c r="M119" s="761"/>
      <c r="N119" s="761"/>
      <c r="O119" s="761" t="s">
        <v>62</v>
      </c>
      <c r="P119" s="762"/>
      <c r="Q119" s="3"/>
      <c r="R119" s="3"/>
      <c r="S119" s="3" t="s">
        <v>1547</v>
      </c>
      <c r="T119" s="3"/>
      <c r="U119" s="3">
        <v>330.2</v>
      </c>
      <c r="V119" s="3"/>
      <c r="W119" s="761"/>
      <c r="X119" s="761"/>
      <c r="Y119" s="761">
        <v>44502</v>
      </c>
      <c r="Z119" s="778" t="s">
        <v>62</v>
      </c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2:38">
      <c r="B120" s="747">
        <v>11</v>
      </c>
      <c r="C120" s="748" t="s">
        <v>1792</v>
      </c>
      <c r="D120" s="12" t="s">
        <v>1978</v>
      </c>
      <c r="E120" s="11" t="s">
        <v>1979</v>
      </c>
      <c r="F120" s="749">
        <v>13</v>
      </c>
      <c r="G120" s="3" t="s">
        <v>1041</v>
      </c>
      <c r="H120" s="3"/>
      <c r="I120" s="3">
        <v>466.5</v>
      </c>
      <c r="J120" s="3"/>
      <c r="K120" s="3"/>
      <c r="L120" s="761">
        <v>44502</v>
      </c>
      <c r="M120" s="761"/>
      <c r="N120" s="761"/>
      <c r="O120" s="761" t="s">
        <v>62</v>
      </c>
      <c r="P120" s="762"/>
      <c r="Q120" s="3"/>
      <c r="R120" s="3"/>
      <c r="S120" s="3" t="s">
        <v>1547</v>
      </c>
      <c r="T120" s="3"/>
      <c r="U120" s="3">
        <v>329.1</v>
      </c>
      <c r="V120" s="3"/>
      <c r="W120" s="761"/>
      <c r="X120" s="761"/>
      <c r="Y120" s="761">
        <v>44502</v>
      </c>
      <c r="Z120" s="778" t="s">
        <v>62</v>
      </c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2:38">
      <c r="B121" s="747">
        <v>11</v>
      </c>
      <c r="C121" s="748" t="s">
        <v>1792</v>
      </c>
      <c r="D121" s="12" t="s">
        <v>1980</v>
      </c>
      <c r="E121" s="11" t="s">
        <v>1981</v>
      </c>
      <c r="F121" s="749">
        <v>14</v>
      </c>
      <c r="G121" s="3" t="s">
        <v>932</v>
      </c>
      <c r="H121" s="3"/>
      <c r="I121" s="3">
        <v>465.6</v>
      </c>
      <c r="J121" s="3"/>
      <c r="K121" s="3"/>
      <c r="L121" s="761">
        <v>44502</v>
      </c>
      <c r="M121" s="761"/>
      <c r="N121" s="761"/>
      <c r="O121" s="761" t="s">
        <v>62</v>
      </c>
      <c r="P121" s="762"/>
      <c r="Q121" s="3"/>
      <c r="R121" s="3"/>
      <c r="S121" s="3" t="s">
        <v>1547</v>
      </c>
      <c r="T121" s="3"/>
      <c r="U121" s="3">
        <v>330.3</v>
      </c>
      <c r="V121" s="3"/>
      <c r="W121" s="761"/>
      <c r="X121" s="761"/>
      <c r="Y121" s="761">
        <v>44502</v>
      </c>
      <c r="Z121" s="778" t="s">
        <v>62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2:38">
      <c r="B122" s="747">
        <v>11</v>
      </c>
      <c r="C122" s="748" t="s">
        <v>1792</v>
      </c>
      <c r="D122" s="12" t="s">
        <v>1982</v>
      </c>
      <c r="E122" s="11" t="s">
        <v>1983</v>
      </c>
      <c r="F122" s="749">
        <v>15</v>
      </c>
      <c r="G122" s="3" t="s">
        <v>1041</v>
      </c>
      <c r="H122" s="3"/>
      <c r="I122" s="3">
        <v>465.96</v>
      </c>
      <c r="J122" s="3"/>
      <c r="K122" s="3"/>
      <c r="L122" s="761">
        <v>44502</v>
      </c>
      <c r="M122" s="761"/>
      <c r="N122" s="761"/>
      <c r="O122" s="761" t="s">
        <v>62</v>
      </c>
      <c r="P122" s="762"/>
      <c r="Q122" s="3"/>
      <c r="R122" s="3"/>
      <c r="S122" s="3" t="s">
        <v>1547</v>
      </c>
      <c r="T122" s="3"/>
      <c r="U122" s="3">
        <v>330.2</v>
      </c>
      <c r="V122" s="3"/>
      <c r="W122" s="761"/>
      <c r="X122" s="761"/>
      <c r="Y122" s="761">
        <v>44502</v>
      </c>
      <c r="Z122" s="778" t="s">
        <v>62</v>
      </c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2:38">
      <c r="B123" s="747">
        <v>11</v>
      </c>
      <c r="C123" s="748" t="s">
        <v>1792</v>
      </c>
      <c r="D123" s="12" t="s">
        <v>1984</v>
      </c>
      <c r="E123" s="11" t="s">
        <v>1985</v>
      </c>
      <c r="F123" s="749">
        <v>16</v>
      </c>
      <c r="G123" s="3" t="s">
        <v>1041</v>
      </c>
      <c r="H123" s="3"/>
      <c r="I123" s="3">
        <v>460.9</v>
      </c>
      <c r="J123" s="3"/>
      <c r="K123" s="3"/>
      <c r="L123" s="761">
        <v>44503</v>
      </c>
      <c r="M123" s="761"/>
      <c r="N123" s="761"/>
      <c r="O123" s="761" t="s">
        <v>62</v>
      </c>
      <c r="P123" s="762"/>
      <c r="Q123" s="3"/>
      <c r="R123" s="3"/>
      <c r="S123" s="3" t="s">
        <v>1547</v>
      </c>
      <c r="T123" s="3"/>
      <c r="U123" s="3">
        <v>330.3</v>
      </c>
      <c r="V123" s="3"/>
      <c r="W123" s="761"/>
      <c r="X123" s="761"/>
      <c r="Y123" s="761">
        <v>44502</v>
      </c>
      <c r="Z123" s="778" t="s">
        <v>62</v>
      </c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2:38">
      <c r="B124" s="747">
        <v>11</v>
      </c>
      <c r="C124" s="748" t="s">
        <v>1792</v>
      </c>
      <c r="D124" s="12" t="s">
        <v>1986</v>
      </c>
      <c r="E124" s="11" t="s">
        <v>1987</v>
      </c>
      <c r="F124" s="749">
        <v>17</v>
      </c>
      <c r="G124" s="3" t="s">
        <v>1041</v>
      </c>
      <c r="H124" s="3"/>
      <c r="I124" s="3">
        <v>467.4</v>
      </c>
      <c r="J124" s="3"/>
      <c r="K124" s="3"/>
      <c r="L124" s="761">
        <v>44503</v>
      </c>
      <c r="M124" s="761"/>
      <c r="N124" s="761"/>
      <c r="O124" s="761" t="s">
        <v>62</v>
      </c>
      <c r="P124" s="762"/>
      <c r="Q124" s="3"/>
      <c r="R124" s="3"/>
      <c r="S124" s="3" t="s">
        <v>1547</v>
      </c>
      <c r="T124" s="3"/>
      <c r="U124" s="3">
        <v>330</v>
      </c>
      <c r="V124" s="3"/>
      <c r="W124" s="761"/>
      <c r="X124" s="761"/>
      <c r="Y124" s="761">
        <v>44503</v>
      </c>
      <c r="Z124" s="778" t="s">
        <v>62</v>
      </c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2:38">
      <c r="B125" s="747">
        <v>11</v>
      </c>
      <c r="C125" s="748" t="s">
        <v>1792</v>
      </c>
      <c r="D125" s="12" t="s">
        <v>1988</v>
      </c>
      <c r="E125" s="11" t="s">
        <v>1989</v>
      </c>
      <c r="F125" s="749">
        <v>18</v>
      </c>
      <c r="G125" s="3" t="s">
        <v>1041</v>
      </c>
      <c r="H125" s="3"/>
      <c r="I125" s="3">
        <v>465.7</v>
      </c>
      <c r="J125" s="3"/>
      <c r="K125" s="3"/>
      <c r="L125" s="761">
        <v>44503</v>
      </c>
      <c r="M125" s="761"/>
      <c r="N125" s="761"/>
      <c r="O125" s="761" t="s">
        <v>62</v>
      </c>
      <c r="P125" s="762"/>
      <c r="Q125" s="3"/>
      <c r="R125" s="3"/>
      <c r="S125" s="3" t="s">
        <v>1547</v>
      </c>
      <c r="T125" s="3"/>
      <c r="U125" s="3">
        <v>330</v>
      </c>
      <c r="V125" s="3"/>
      <c r="W125" s="761"/>
      <c r="X125" s="761"/>
      <c r="Y125" s="761">
        <v>44503</v>
      </c>
      <c r="Z125" s="778" t="s">
        <v>62</v>
      </c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2:38">
      <c r="B126" s="747">
        <v>11</v>
      </c>
      <c r="C126" s="748" t="s">
        <v>1792</v>
      </c>
      <c r="D126" s="12" t="s">
        <v>1990</v>
      </c>
      <c r="E126" s="11" t="s">
        <v>1991</v>
      </c>
      <c r="F126" s="749">
        <v>19</v>
      </c>
      <c r="G126" s="3" t="s">
        <v>1041</v>
      </c>
      <c r="H126" s="3"/>
      <c r="I126" s="3">
        <v>468.8</v>
      </c>
      <c r="J126" s="3"/>
      <c r="K126" s="3"/>
      <c r="L126" s="761">
        <v>44503</v>
      </c>
      <c r="M126" s="761"/>
      <c r="N126" s="761"/>
      <c r="O126" s="761" t="s">
        <v>62</v>
      </c>
      <c r="P126" s="762"/>
      <c r="Q126" s="3"/>
      <c r="R126" s="3"/>
      <c r="S126" s="3" t="s">
        <v>1547</v>
      </c>
      <c r="T126" s="3"/>
      <c r="U126" s="3">
        <v>330.1</v>
      </c>
      <c r="V126" s="3"/>
      <c r="W126" s="761"/>
      <c r="X126" s="761"/>
      <c r="Y126" s="761">
        <v>44503</v>
      </c>
      <c r="Z126" s="778" t="s">
        <v>62</v>
      </c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2:38">
      <c r="B127" s="747">
        <v>11</v>
      </c>
      <c r="C127" s="748" t="s">
        <v>1792</v>
      </c>
      <c r="D127" s="12" t="s">
        <v>1992</v>
      </c>
      <c r="E127" s="11" t="s">
        <v>1993</v>
      </c>
      <c r="F127" s="749">
        <v>20</v>
      </c>
      <c r="G127" s="3" t="s">
        <v>1041</v>
      </c>
      <c r="H127" s="3"/>
      <c r="I127" s="3">
        <v>459.6</v>
      </c>
      <c r="J127" s="3"/>
      <c r="K127" s="3"/>
      <c r="L127" s="761">
        <v>44504</v>
      </c>
      <c r="M127" s="761"/>
      <c r="N127" s="761"/>
      <c r="O127" s="761" t="s">
        <v>62</v>
      </c>
      <c r="P127" s="762"/>
      <c r="Q127" s="3"/>
      <c r="R127" s="3"/>
      <c r="S127" s="3" t="s">
        <v>1547</v>
      </c>
      <c r="T127" s="3"/>
      <c r="U127" s="3">
        <v>330.1</v>
      </c>
      <c r="V127" s="3"/>
      <c r="W127" s="761"/>
      <c r="X127" s="761"/>
      <c r="Y127" s="761">
        <v>44504</v>
      </c>
      <c r="Z127" s="778" t="s">
        <v>62</v>
      </c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2:38">
      <c r="B128" s="747">
        <v>11</v>
      </c>
      <c r="C128" s="748" t="s">
        <v>1792</v>
      </c>
      <c r="D128" s="12" t="s">
        <v>1994</v>
      </c>
      <c r="E128" s="11" t="s">
        <v>1995</v>
      </c>
      <c r="F128" s="749">
        <v>21</v>
      </c>
      <c r="G128" s="3" t="s">
        <v>1041</v>
      </c>
      <c r="H128" s="3"/>
      <c r="I128" s="3">
        <v>467.6</v>
      </c>
      <c r="J128" s="3"/>
      <c r="K128" s="3"/>
      <c r="L128" s="761">
        <v>44504</v>
      </c>
      <c r="M128" s="761"/>
      <c r="N128" s="761"/>
      <c r="O128" s="761" t="s">
        <v>62</v>
      </c>
      <c r="P128" s="762"/>
      <c r="Q128" s="3"/>
      <c r="R128" s="3"/>
      <c r="S128" s="3" t="s">
        <v>1547</v>
      </c>
      <c r="T128" s="3"/>
      <c r="U128" s="3">
        <v>330.1</v>
      </c>
      <c r="V128" s="3"/>
      <c r="W128" s="761"/>
      <c r="X128" s="761"/>
      <c r="Y128" s="761">
        <v>44504</v>
      </c>
      <c r="Z128" s="778" t="s">
        <v>62</v>
      </c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2:39">
      <c r="B129" s="747">
        <v>11</v>
      </c>
      <c r="C129" s="748" t="s">
        <v>1792</v>
      </c>
      <c r="D129" s="12" t="s">
        <v>1996</v>
      </c>
      <c r="E129" s="11" t="s">
        <v>1997</v>
      </c>
      <c r="F129" s="749">
        <v>22</v>
      </c>
      <c r="G129" s="3" t="s">
        <v>1041</v>
      </c>
      <c r="H129" s="3"/>
      <c r="I129" s="3">
        <v>466.2</v>
      </c>
      <c r="J129" s="3"/>
      <c r="K129" s="3"/>
      <c r="L129" s="761">
        <v>44505</v>
      </c>
      <c r="M129" s="761"/>
      <c r="N129" s="761"/>
      <c r="O129" s="761" t="s">
        <v>62</v>
      </c>
      <c r="P129" s="762"/>
      <c r="Q129" s="3"/>
      <c r="R129" s="3"/>
      <c r="S129" s="3" t="s">
        <v>1547</v>
      </c>
      <c r="T129" s="3"/>
      <c r="U129" s="3">
        <v>330.1</v>
      </c>
      <c r="V129" s="3"/>
      <c r="W129" s="761"/>
      <c r="X129" s="761"/>
      <c r="Y129" s="761">
        <v>44505</v>
      </c>
      <c r="Z129" s="778" t="s">
        <v>62</v>
      </c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2:39">
      <c r="B130" s="747">
        <v>11</v>
      </c>
      <c r="C130" s="748" t="s">
        <v>1792</v>
      </c>
      <c r="D130" s="12" t="s">
        <v>1998</v>
      </c>
      <c r="E130" s="11" t="s">
        <v>1999</v>
      </c>
      <c r="F130" s="749">
        <v>23</v>
      </c>
      <c r="G130" s="3" t="s">
        <v>1041</v>
      </c>
      <c r="H130" s="3"/>
      <c r="I130" s="3">
        <v>463.1</v>
      </c>
      <c r="J130" s="3"/>
      <c r="K130" s="3"/>
      <c r="L130" s="761">
        <v>44510</v>
      </c>
      <c r="M130" s="761"/>
      <c r="N130" s="761"/>
      <c r="O130" s="761" t="s">
        <v>62</v>
      </c>
      <c r="P130" s="762"/>
      <c r="Q130" s="3"/>
      <c r="R130" s="3"/>
      <c r="S130" s="3" t="s">
        <v>1547</v>
      </c>
      <c r="T130" s="3"/>
      <c r="U130" s="3">
        <v>329.6</v>
      </c>
      <c r="V130" s="3"/>
      <c r="W130" s="761"/>
      <c r="X130" s="761"/>
      <c r="Y130" s="761">
        <v>44510</v>
      </c>
      <c r="Z130" s="778" t="s">
        <v>62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2:39">
      <c r="B131" s="747">
        <v>11</v>
      </c>
      <c r="C131" s="748" t="s">
        <v>1792</v>
      </c>
      <c r="D131" s="12" t="s">
        <v>2000</v>
      </c>
      <c r="E131" s="11" t="s">
        <v>2001</v>
      </c>
      <c r="F131" s="749">
        <v>24</v>
      </c>
      <c r="G131" s="3" t="s">
        <v>1041</v>
      </c>
      <c r="H131" s="3"/>
      <c r="I131" s="3">
        <v>464.3</v>
      </c>
      <c r="J131" s="3"/>
      <c r="K131" s="3"/>
      <c r="L131" s="761">
        <v>44510</v>
      </c>
      <c r="M131" s="761"/>
      <c r="N131" s="761"/>
      <c r="O131" s="761" t="s">
        <v>62</v>
      </c>
      <c r="P131" s="762"/>
      <c r="Q131" s="3"/>
      <c r="R131" s="3"/>
      <c r="S131" s="3" t="s">
        <v>1547</v>
      </c>
      <c r="T131" s="3"/>
      <c r="U131" s="3">
        <v>330.1</v>
      </c>
      <c r="V131" s="3"/>
      <c r="W131" s="761"/>
      <c r="X131" s="761"/>
      <c r="Y131" s="761">
        <v>44511</v>
      </c>
      <c r="Z131" s="778" t="s">
        <v>62</v>
      </c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2:39">
      <c r="B132" s="747">
        <v>11</v>
      </c>
      <c r="C132" s="748" t="s">
        <v>1792</v>
      </c>
      <c r="D132" s="12" t="s">
        <v>2002</v>
      </c>
      <c r="E132" s="11" t="s">
        <v>2003</v>
      </c>
      <c r="F132" s="749">
        <v>25</v>
      </c>
      <c r="G132" s="3" t="s">
        <v>1041</v>
      </c>
      <c r="H132" s="3"/>
      <c r="I132" s="2">
        <v>462.9</v>
      </c>
      <c r="J132" s="3"/>
      <c r="K132" s="3"/>
      <c r="L132" s="761">
        <v>44510</v>
      </c>
      <c r="M132" s="761"/>
      <c r="N132" s="761"/>
      <c r="O132" s="761" t="s">
        <v>62</v>
      </c>
      <c r="P132" s="762"/>
      <c r="Q132" s="3"/>
      <c r="R132" s="3"/>
      <c r="S132" s="3" t="s">
        <v>1547</v>
      </c>
      <c r="T132" s="3"/>
      <c r="U132" s="3">
        <v>329.5</v>
      </c>
      <c r="V132" s="3"/>
      <c r="W132" s="761"/>
      <c r="X132" s="761"/>
      <c r="Y132" s="761">
        <v>44511</v>
      </c>
      <c r="Z132" s="778" t="s">
        <v>62</v>
      </c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2:39">
      <c r="B133" s="747">
        <v>11</v>
      </c>
      <c r="C133" s="748" t="s">
        <v>1792</v>
      </c>
      <c r="D133" s="12" t="s">
        <v>2004</v>
      </c>
      <c r="E133" s="11" t="s">
        <v>2005</v>
      </c>
      <c r="F133" s="749">
        <v>26</v>
      </c>
      <c r="G133" s="3" t="s">
        <v>1041</v>
      </c>
      <c r="H133" s="3"/>
      <c r="I133" s="3">
        <v>462.4</v>
      </c>
      <c r="J133" s="3"/>
      <c r="K133" s="3"/>
      <c r="L133" s="761">
        <v>44511</v>
      </c>
      <c r="M133" s="761"/>
      <c r="N133" s="761"/>
      <c r="O133" s="761" t="s">
        <v>62</v>
      </c>
      <c r="P133" s="762"/>
      <c r="Q133" s="3"/>
      <c r="R133" s="3"/>
      <c r="S133" s="3" t="s">
        <v>1547</v>
      </c>
      <c r="T133" s="3"/>
      <c r="U133" s="3">
        <v>330.1</v>
      </c>
      <c r="V133" s="3"/>
      <c r="W133" s="761"/>
      <c r="X133" s="761"/>
      <c r="Y133" s="761">
        <v>44511</v>
      </c>
      <c r="Z133" s="778" t="s">
        <v>62</v>
      </c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2:39">
      <c r="B134" s="747">
        <v>11</v>
      </c>
      <c r="C134" s="748" t="s">
        <v>1792</v>
      </c>
      <c r="D134" s="777" t="s">
        <v>2006</v>
      </c>
      <c r="E134" s="712" t="s">
        <v>2007</v>
      </c>
      <c r="F134" s="749">
        <v>27</v>
      </c>
      <c r="G134" s="3" t="s">
        <v>1041</v>
      </c>
      <c r="H134" s="3"/>
      <c r="I134" s="3">
        <v>460.7</v>
      </c>
      <c r="J134" s="3"/>
      <c r="K134" s="3"/>
      <c r="L134" s="761">
        <v>44511</v>
      </c>
      <c r="M134" s="761"/>
      <c r="N134" s="761"/>
      <c r="O134" s="761" t="s">
        <v>62</v>
      </c>
      <c r="P134" s="762"/>
      <c r="Q134" s="3"/>
      <c r="R134" s="3"/>
      <c r="S134" s="3" t="s">
        <v>1547</v>
      </c>
      <c r="T134" s="3"/>
      <c r="U134" s="3">
        <v>329</v>
      </c>
      <c r="V134" s="3"/>
      <c r="W134" s="761"/>
      <c r="X134" s="761"/>
      <c r="Y134" s="761">
        <v>44511</v>
      </c>
      <c r="Z134" s="778" t="s">
        <v>62</v>
      </c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2:39">
      <c r="B135" s="747">
        <v>11</v>
      </c>
      <c r="C135" s="748" t="s">
        <v>1792</v>
      </c>
      <c r="D135" s="777" t="s">
        <v>2008</v>
      </c>
      <c r="E135" s="712" t="s">
        <v>2009</v>
      </c>
      <c r="F135" s="749">
        <v>28</v>
      </c>
      <c r="G135" s="3" t="s">
        <v>1041</v>
      </c>
      <c r="H135" s="3"/>
      <c r="I135" s="3">
        <v>462.6</v>
      </c>
      <c r="J135" s="3"/>
      <c r="K135" s="3"/>
      <c r="L135" s="761">
        <v>44511</v>
      </c>
      <c r="M135" s="761"/>
      <c r="N135" s="761"/>
      <c r="O135" s="761" t="s">
        <v>62</v>
      </c>
      <c r="P135" s="762"/>
      <c r="Q135" s="3"/>
      <c r="R135" s="3"/>
      <c r="S135" s="3" t="s">
        <v>1547</v>
      </c>
      <c r="T135" s="3"/>
      <c r="U135" s="3">
        <v>329.8</v>
      </c>
      <c r="V135" s="3"/>
      <c r="W135" s="761"/>
      <c r="X135" s="761"/>
      <c r="Y135" s="761">
        <v>44512</v>
      </c>
      <c r="Z135" s="778" t="s">
        <v>62</v>
      </c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2:39">
      <c r="B136" s="747">
        <v>11</v>
      </c>
      <c r="C136" s="748" t="s">
        <v>1792</v>
      </c>
      <c r="D136" s="777" t="s">
        <v>2010</v>
      </c>
      <c r="E136" s="712" t="s">
        <v>2011</v>
      </c>
      <c r="F136" s="749">
        <v>29</v>
      </c>
      <c r="G136" s="3" t="s">
        <v>1041</v>
      </c>
      <c r="H136" s="3"/>
      <c r="I136" s="3">
        <v>462.2</v>
      </c>
      <c r="J136" s="3"/>
      <c r="K136" s="3"/>
      <c r="L136" s="761">
        <v>44511</v>
      </c>
      <c r="M136" s="761"/>
      <c r="N136" s="761"/>
      <c r="O136" s="761" t="s">
        <v>62</v>
      </c>
      <c r="P136" s="762"/>
      <c r="Q136" s="3"/>
      <c r="R136" s="3"/>
      <c r="S136" s="3" t="s">
        <v>1547</v>
      </c>
      <c r="T136" s="3"/>
      <c r="U136" s="3">
        <v>319.89999999999998</v>
      </c>
      <c r="V136" s="3"/>
      <c r="W136" s="761"/>
      <c r="X136" s="761"/>
      <c r="Y136" s="761">
        <v>44512</v>
      </c>
      <c r="Z136" s="778" t="s">
        <v>62</v>
      </c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2:39">
      <c r="B137" s="747">
        <v>11</v>
      </c>
      <c r="C137" s="748" t="s">
        <v>1792</v>
      </c>
      <c r="D137" s="777" t="s">
        <v>2012</v>
      </c>
      <c r="E137" s="712" t="s">
        <v>2013</v>
      </c>
      <c r="F137" s="749">
        <v>30</v>
      </c>
      <c r="G137" s="3" t="s">
        <v>1041</v>
      </c>
      <c r="H137" s="3"/>
      <c r="I137" s="3">
        <v>464.1</v>
      </c>
      <c r="J137" s="3"/>
      <c r="K137" s="3"/>
      <c r="L137" s="761">
        <v>44512</v>
      </c>
      <c r="M137" s="761"/>
      <c r="N137" s="761"/>
      <c r="O137" s="761" t="s">
        <v>62</v>
      </c>
      <c r="P137" s="762"/>
      <c r="Q137" s="3"/>
      <c r="R137" s="3"/>
      <c r="S137" s="3" t="s">
        <v>1547</v>
      </c>
      <c r="T137" s="3"/>
      <c r="U137" s="3">
        <v>329.8</v>
      </c>
      <c r="V137" s="3"/>
      <c r="W137" s="761"/>
      <c r="X137" s="761"/>
      <c r="Y137" s="761">
        <v>44512</v>
      </c>
      <c r="Z137" s="778" t="s">
        <v>62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2:39">
      <c r="B138" s="747">
        <v>11</v>
      </c>
      <c r="C138" s="748" t="s">
        <v>1792</v>
      </c>
      <c r="D138" s="777" t="s">
        <v>2014</v>
      </c>
      <c r="E138" s="712" t="s">
        <v>2015</v>
      </c>
      <c r="F138" s="749">
        <v>31</v>
      </c>
      <c r="G138" s="3" t="s">
        <v>1041</v>
      </c>
      <c r="H138" s="3"/>
      <c r="I138" s="3">
        <v>466.3</v>
      </c>
      <c r="J138" s="3"/>
      <c r="K138" s="3"/>
      <c r="L138" s="761">
        <v>44512</v>
      </c>
      <c r="M138" s="761"/>
      <c r="N138" s="761"/>
      <c r="O138" s="761" t="s">
        <v>62</v>
      </c>
      <c r="P138" s="762"/>
      <c r="Q138" s="3"/>
      <c r="R138" s="3"/>
      <c r="S138" s="3" t="s">
        <v>1547</v>
      </c>
      <c r="T138" s="3"/>
      <c r="U138" s="3">
        <v>329.9</v>
      </c>
      <c r="V138" s="3"/>
      <c r="W138" s="761"/>
      <c r="X138" s="761"/>
      <c r="Y138" s="761">
        <v>44512</v>
      </c>
      <c r="Z138" s="778" t="s">
        <v>62</v>
      </c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2:39">
      <c r="B139" s="747">
        <v>11</v>
      </c>
      <c r="C139" s="748" t="s">
        <v>1792</v>
      </c>
      <c r="D139" s="12" t="s">
        <v>2016</v>
      </c>
      <c r="E139" s="11" t="s">
        <v>2017</v>
      </c>
      <c r="F139" s="749">
        <v>32</v>
      </c>
      <c r="G139" s="3" t="s">
        <v>1041</v>
      </c>
      <c r="H139" s="3"/>
      <c r="I139" s="3">
        <f>154.5+151.7+160</f>
        <v>466.2</v>
      </c>
      <c r="J139" s="3"/>
      <c r="K139" s="3"/>
      <c r="L139" s="761">
        <v>44519</v>
      </c>
      <c r="M139" s="761"/>
      <c r="N139" s="761"/>
      <c r="O139" s="761" t="s">
        <v>62</v>
      </c>
      <c r="P139" s="762"/>
      <c r="Q139" s="3"/>
      <c r="R139" s="3"/>
      <c r="S139" s="3" t="s">
        <v>1547</v>
      </c>
      <c r="T139" s="3"/>
      <c r="U139" s="3">
        <v>330.2</v>
      </c>
      <c r="V139" s="4"/>
      <c r="W139" s="761"/>
      <c r="X139" s="761"/>
      <c r="Y139" s="761">
        <v>44519</v>
      </c>
      <c r="Z139" s="761" t="s">
        <v>62</v>
      </c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2:39">
      <c r="B140" s="747">
        <v>11</v>
      </c>
      <c r="C140" s="748" t="s">
        <v>1792</v>
      </c>
      <c r="D140" s="12" t="s">
        <v>2018</v>
      </c>
      <c r="E140" s="11" t="s">
        <v>2019</v>
      </c>
      <c r="F140" s="749">
        <v>33</v>
      </c>
      <c r="G140" s="3" t="s">
        <v>1041</v>
      </c>
      <c r="H140" s="3"/>
      <c r="I140" s="3">
        <v>462.3</v>
      </c>
      <c r="J140" s="3"/>
      <c r="K140" s="3"/>
      <c r="L140" s="761">
        <v>44519</v>
      </c>
      <c r="M140" s="761"/>
      <c r="N140" s="761"/>
      <c r="O140" s="761" t="s">
        <v>62</v>
      </c>
      <c r="P140" s="762"/>
      <c r="Q140" s="3"/>
      <c r="R140" s="3"/>
      <c r="S140" s="3" t="s">
        <v>1547</v>
      </c>
      <c r="T140" s="3"/>
      <c r="U140" s="3">
        <v>330.4</v>
      </c>
      <c r="V140" s="4"/>
      <c r="W140" s="761"/>
      <c r="X140" s="761"/>
      <c r="Y140" s="761">
        <v>44519</v>
      </c>
      <c r="Z140" s="761" t="s">
        <v>62</v>
      </c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2:39">
      <c r="B141" s="747">
        <v>11</v>
      </c>
      <c r="C141" s="748" t="s">
        <v>1792</v>
      </c>
      <c r="D141" s="12" t="s">
        <v>2020</v>
      </c>
      <c r="E141" s="11" t="s">
        <v>2021</v>
      </c>
      <c r="F141" s="749">
        <v>34</v>
      </c>
      <c r="G141" s="3" t="s">
        <v>1041</v>
      </c>
      <c r="H141" s="3"/>
      <c r="I141" s="3">
        <v>464.6</v>
      </c>
      <c r="J141" s="3"/>
      <c r="K141" s="3"/>
      <c r="L141" s="761">
        <v>44522</v>
      </c>
      <c r="M141" s="761"/>
      <c r="N141" s="761"/>
      <c r="O141" s="761" t="s">
        <v>62</v>
      </c>
      <c r="P141" s="762"/>
      <c r="Q141" s="3"/>
      <c r="R141" s="3"/>
      <c r="S141" s="3" t="s">
        <v>1547</v>
      </c>
      <c r="T141" s="3"/>
      <c r="U141" s="3">
        <v>330.3</v>
      </c>
      <c r="V141" s="4"/>
      <c r="W141" s="761"/>
      <c r="X141" s="761"/>
      <c r="Y141" s="761">
        <v>44522</v>
      </c>
      <c r="Z141" s="761" t="s">
        <v>62</v>
      </c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2:39">
      <c r="B142" s="747">
        <v>11</v>
      </c>
      <c r="C142" s="748" t="s">
        <v>1792</v>
      </c>
      <c r="D142" s="12" t="s">
        <v>2022</v>
      </c>
      <c r="E142" s="11" t="s">
        <v>2023</v>
      </c>
      <c r="F142" s="749">
        <v>35</v>
      </c>
      <c r="G142" s="3" t="s">
        <v>1041</v>
      </c>
      <c r="H142" s="3"/>
      <c r="I142" s="3">
        <v>470.8</v>
      </c>
      <c r="J142" s="3"/>
      <c r="K142" s="3"/>
      <c r="L142" s="761">
        <v>44522</v>
      </c>
      <c r="M142" s="761"/>
      <c r="N142" s="761"/>
      <c r="O142" s="761" t="s">
        <v>62</v>
      </c>
      <c r="P142" s="762"/>
      <c r="Q142" s="3"/>
      <c r="R142" s="3"/>
      <c r="S142" s="3" t="s">
        <v>1547</v>
      </c>
      <c r="T142" s="3"/>
      <c r="U142" s="3">
        <v>330</v>
      </c>
      <c r="V142" s="4"/>
      <c r="W142" s="761"/>
      <c r="X142" s="761"/>
      <c r="Y142" s="761">
        <v>44522</v>
      </c>
      <c r="Z142" s="761" t="s">
        <v>62</v>
      </c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2:39">
      <c r="B143" s="747">
        <v>11</v>
      </c>
      <c r="C143" s="748" t="s">
        <v>1792</v>
      </c>
      <c r="D143" s="12" t="s">
        <v>2024</v>
      </c>
      <c r="E143" s="11" t="s">
        <v>2025</v>
      </c>
      <c r="F143" s="749">
        <v>36</v>
      </c>
      <c r="G143" s="3" t="s">
        <v>1041</v>
      </c>
      <c r="H143" s="3"/>
      <c r="I143" s="3">
        <v>467.1</v>
      </c>
      <c r="J143" s="3"/>
      <c r="K143" s="3"/>
      <c r="L143" s="761">
        <v>44522</v>
      </c>
      <c r="M143" s="761"/>
      <c r="N143" s="761"/>
      <c r="O143" s="761" t="s">
        <v>62</v>
      </c>
      <c r="P143" s="762"/>
      <c r="Q143" s="3"/>
      <c r="R143" s="3"/>
      <c r="S143" s="3" t="s">
        <v>1547</v>
      </c>
      <c r="T143" s="3"/>
      <c r="U143" s="3">
        <v>330.1</v>
      </c>
      <c r="V143" s="4"/>
      <c r="W143" s="761"/>
      <c r="X143" s="761"/>
      <c r="Y143" s="761">
        <v>44522</v>
      </c>
      <c r="Z143" s="761" t="s">
        <v>62</v>
      </c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2:39" s="705" customFormat="1" ht="18" customHeight="1">
      <c r="B144" s="731"/>
      <c r="C144" s="736" t="s">
        <v>1710</v>
      </c>
      <c r="D144" s="737"/>
      <c r="E144" s="738"/>
      <c r="F144" s="739"/>
      <c r="G144" s="740"/>
      <c r="H144" s="740"/>
      <c r="I144" s="740"/>
      <c r="J144" s="756"/>
      <c r="K144" s="756"/>
      <c r="L144" s="740"/>
      <c r="M144" s="740"/>
      <c r="N144" s="740"/>
      <c r="O144" s="757"/>
      <c r="P144" s="758"/>
      <c r="Q144" s="740"/>
      <c r="R144" s="740"/>
      <c r="S144" s="740"/>
      <c r="T144" s="740"/>
      <c r="U144" s="740"/>
      <c r="V144" s="740"/>
      <c r="W144" s="740"/>
      <c r="X144" s="740"/>
      <c r="Y144" s="740"/>
      <c r="Z144" s="757"/>
      <c r="AA144" s="771"/>
      <c r="AB144" s="771"/>
      <c r="AC144" s="771"/>
      <c r="AD144" s="771"/>
      <c r="AE144" s="771"/>
      <c r="AF144" s="771"/>
      <c r="AG144" s="775"/>
      <c r="AH144" s="771"/>
      <c r="AI144" s="771"/>
      <c r="AJ144" s="771"/>
      <c r="AK144" s="771"/>
      <c r="AL144" s="771"/>
      <c r="AM144" s="776"/>
    </row>
    <row r="145" spans="2:38">
      <c r="B145" s="747">
        <v>12</v>
      </c>
      <c r="C145" s="748" t="s">
        <v>1792</v>
      </c>
      <c r="D145" s="12" t="s">
        <v>2026</v>
      </c>
      <c r="E145" s="11" t="s">
        <v>2027</v>
      </c>
      <c r="F145" s="749">
        <v>1</v>
      </c>
      <c r="G145" s="3" t="s">
        <v>1041</v>
      </c>
      <c r="H145" s="3"/>
      <c r="I145" s="3">
        <v>464.1</v>
      </c>
      <c r="J145" s="3"/>
      <c r="K145" s="3"/>
      <c r="L145" s="761">
        <v>44522</v>
      </c>
      <c r="M145" s="761"/>
      <c r="N145" s="761"/>
      <c r="O145" s="761" t="s">
        <v>62</v>
      </c>
      <c r="P145" s="762"/>
      <c r="Q145" s="3"/>
      <c r="R145" s="3"/>
      <c r="S145" s="3" t="s">
        <v>1547</v>
      </c>
      <c r="T145" s="3"/>
      <c r="U145" s="3">
        <v>330</v>
      </c>
      <c r="V145" s="4"/>
      <c r="W145" s="761"/>
      <c r="X145" s="761"/>
      <c r="Y145" s="761">
        <v>44523</v>
      </c>
      <c r="Z145" s="761" t="s">
        <v>62</v>
      </c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2:38">
      <c r="B146" s="747">
        <v>12</v>
      </c>
      <c r="C146" s="748" t="s">
        <v>1792</v>
      </c>
      <c r="D146" s="12" t="s">
        <v>2028</v>
      </c>
      <c r="E146" s="11" t="s">
        <v>2029</v>
      </c>
      <c r="F146" s="749">
        <v>2</v>
      </c>
      <c r="G146" s="3" t="s">
        <v>1041</v>
      </c>
      <c r="H146" s="3"/>
      <c r="I146" s="3">
        <v>465.7</v>
      </c>
      <c r="J146" s="3"/>
      <c r="K146" s="3"/>
      <c r="L146" s="761">
        <v>44524</v>
      </c>
      <c r="M146" s="761"/>
      <c r="N146" s="761"/>
      <c r="O146" s="761" t="s">
        <v>62</v>
      </c>
      <c r="P146" s="762"/>
      <c r="Q146" s="3"/>
      <c r="R146" s="3"/>
      <c r="S146" s="3" t="s">
        <v>1547</v>
      </c>
      <c r="T146" s="3"/>
      <c r="U146" s="3">
        <v>330</v>
      </c>
      <c r="V146" s="4"/>
      <c r="W146" s="761"/>
      <c r="X146" s="761"/>
      <c r="Y146" s="761">
        <v>44523</v>
      </c>
      <c r="Z146" s="761" t="s">
        <v>62</v>
      </c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2:38">
      <c r="B147" s="747">
        <v>12</v>
      </c>
      <c r="C147" s="748" t="s">
        <v>1792</v>
      </c>
      <c r="D147" s="12" t="s">
        <v>2030</v>
      </c>
      <c r="E147" s="11" t="s">
        <v>2031</v>
      </c>
      <c r="F147" s="749">
        <v>3</v>
      </c>
      <c r="G147" s="3" t="s">
        <v>1041</v>
      </c>
      <c r="H147" s="3"/>
      <c r="I147" s="3">
        <v>466.3</v>
      </c>
      <c r="J147" s="3"/>
      <c r="K147" s="3"/>
      <c r="L147" s="761">
        <v>44525</v>
      </c>
      <c r="M147" s="761"/>
      <c r="N147" s="761"/>
      <c r="O147" s="761" t="s">
        <v>62</v>
      </c>
      <c r="P147" s="762"/>
      <c r="Q147" s="3"/>
      <c r="R147" s="3"/>
      <c r="S147" s="3" t="s">
        <v>1547</v>
      </c>
      <c r="T147" s="3"/>
      <c r="U147" s="3">
        <v>329.8</v>
      </c>
      <c r="V147" s="4"/>
      <c r="W147" s="761"/>
      <c r="X147" s="761"/>
      <c r="Y147" s="761">
        <v>44523</v>
      </c>
      <c r="Z147" s="761" t="s">
        <v>62</v>
      </c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2:38">
      <c r="B148" s="747">
        <v>12</v>
      </c>
      <c r="C148" s="748" t="s">
        <v>1792</v>
      </c>
      <c r="D148" s="12" t="s">
        <v>2032</v>
      </c>
      <c r="E148" s="11" t="s">
        <v>2033</v>
      </c>
      <c r="F148" s="749">
        <v>4</v>
      </c>
      <c r="G148" s="3" t="s">
        <v>1041</v>
      </c>
      <c r="H148" s="3"/>
      <c r="I148" s="3">
        <v>465.4</v>
      </c>
      <c r="J148" s="3"/>
      <c r="K148" s="3"/>
      <c r="L148" s="761">
        <v>44525</v>
      </c>
      <c r="M148" s="761"/>
      <c r="N148" s="761"/>
      <c r="O148" s="761" t="s">
        <v>62</v>
      </c>
      <c r="P148" s="762"/>
      <c r="Q148" s="3"/>
      <c r="R148" s="3"/>
      <c r="S148" s="3" t="s">
        <v>1547</v>
      </c>
      <c r="T148" s="3"/>
      <c r="U148" s="3">
        <v>330.1</v>
      </c>
      <c r="V148" s="4"/>
      <c r="W148" s="761"/>
      <c r="X148" s="761"/>
      <c r="Y148" s="761">
        <v>44525</v>
      </c>
      <c r="Z148" s="761" t="s">
        <v>62</v>
      </c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2:38">
      <c r="B149" s="747">
        <v>12</v>
      </c>
      <c r="C149" s="748" t="s">
        <v>1792</v>
      </c>
      <c r="D149" s="12" t="s">
        <v>2034</v>
      </c>
      <c r="E149" s="11" t="s">
        <v>2035</v>
      </c>
      <c r="F149" s="749">
        <v>5</v>
      </c>
      <c r="G149" s="3" t="s">
        <v>1041</v>
      </c>
      <c r="H149" s="3"/>
      <c r="I149" s="3">
        <v>461</v>
      </c>
      <c r="J149" s="3"/>
      <c r="K149" s="3"/>
      <c r="L149" s="761">
        <v>44526</v>
      </c>
      <c r="M149" s="761"/>
      <c r="N149" s="761"/>
      <c r="O149" s="761" t="s">
        <v>62</v>
      </c>
      <c r="P149" s="762"/>
      <c r="Q149" s="3"/>
      <c r="R149" s="3"/>
      <c r="S149" s="3" t="s">
        <v>1547</v>
      </c>
      <c r="T149" s="3"/>
      <c r="U149" s="3">
        <v>330.1</v>
      </c>
      <c r="V149" s="4"/>
      <c r="W149" s="761"/>
      <c r="X149" s="761"/>
      <c r="Y149" s="761">
        <v>44525</v>
      </c>
      <c r="Z149" s="761" t="s">
        <v>62</v>
      </c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2:38">
      <c r="B150" s="747">
        <v>12</v>
      </c>
      <c r="C150" s="748" t="s">
        <v>1792</v>
      </c>
      <c r="D150" s="12" t="s">
        <v>2036</v>
      </c>
      <c r="E150" s="11" t="s">
        <v>2037</v>
      </c>
      <c r="F150" s="749">
        <v>6</v>
      </c>
      <c r="G150" s="3" t="s">
        <v>1041</v>
      </c>
      <c r="H150" s="3"/>
      <c r="I150" s="3">
        <v>467.4</v>
      </c>
      <c r="J150" s="3"/>
      <c r="K150" s="3"/>
      <c r="L150" s="761">
        <v>44526</v>
      </c>
      <c r="M150" s="761"/>
      <c r="N150" s="761"/>
      <c r="O150" s="761" t="s">
        <v>62</v>
      </c>
      <c r="P150" s="762"/>
      <c r="Q150" s="3"/>
      <c r="R150" s="3"/>
      <c r="S150" s="3" t="s">
        <v>1547</v>
      </c>
      <c r="T150" s="3"/>
      <c r="U150" s="3">
        <v>330.1</v>
      </c>
      <c r="V150" s="4"/>
      <c r="W150" s="761"/>
      <c r="X150" s="761"/>
      <c r="Y150" s="761">
        <v>44525</v>
      </c>
      <c r="Z150" s="761" t="s">
        <v>62</v>
      </c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2:38">
      <c r="B151" s="747">
        <v>12</v>
      </c>
      <c r="C151" s="748" t="s">
        <v>1792</v>
      </c>
      <c r="D151" s="12" t="s">
        <v>2038</v>
      </c>
      <c r="E151" s="11" t="s">
        <v>2039</v>
      </c>
      <c r="F151" s="749">
        <v>7</v>
      </c>
      <c r="G151" s="3" t="s">
        <v>1041</v>
      </c>
      <c r="H151" s="3"/>
      <c r="I151" s="3">
        <v>471.8</v>
      </c>
      <c r="J151" s="3"/>
      <c r="K151" s="3"/>
      <c r="L151" s="761">
        <v>44529</v>
      </c>
      <c r="M151" s="761"/>
      <c r="N151" s="761"/>
      <c r="O151" s="761" t="s">
        <v>62</v>
      </c>
      <c r="P151" s="762"/>
      <c r="Q151" s="3"/>
      <c r="R151" s="3"/>
      <c r="S151" s="3" t="s">
        <v>1547</v>
      </c>
      <c r="T151" s="3"/>
      <c r="U151" s="3">
        <v>329.5</v>
      </c>
      <c r="V151" s="4"/>
      <c r="W151" s="761"/>
      <c r="X151" s="761"/>
      <c r="Y151" s="761">
        <v>44529</v>
      </c>
      <c r="Z151" s="761" t="s">
        <v>62</v>
      </c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2:38">
      <c r="B152" s="747">
        <v>12</v>
      </c>
      <c r="C152" s="748" t="s">
        <v>1792</v>
      </c>
      <c r="D152" s="12" t="s">
        <v>2040</v>
      </c>
      <c r="E152" s="11" t="s">
        <v>2041</v>
      </c>
      <c r="F152" s="749">
        <v>8</v>
      </c>
      <c r="G152" s="3" t="s">
        <v>1041</v>
      </c>
      <c r="H152" s="3"/>
      <c r="I152" s="3">
        <v>464.4</v>
      </c>
      <c r="J152" s="3"/>
      <c r="K152" s="3"/>
      <c r="L152" s="761">
        <v>44529</v>
      </c>
      <c r="M152" s="761"/>
      <c r="N152" s="761"/>
      <c r="O152" s="761" t="s">
        <v>62</v>
      </c>
      <c r="P152" s="762"/>
      <c r="Q152" s="3"/>
      <c r="R152" s="3"/>
      <c r="S152" s="3" t="s">
        <v>1547</v>
      </c>
      <c r="T152" s="3"/>
      <c r="U152" s="3">
        <v>329.9</v>
      </c>
      <c r="V152" s="4"/>
      <c r="W152" s="761"/>
      <c r="X152" s="761"/>
      <c r="Y152" s="761">
        <v>44529</v>
      </c>
      <c r="Z152" s="761" t="s">
        <v>62</v>
      </c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2:38">
      <c r="B153" s="747">
        <v>12</v>
      </c>
      <c r="C153" s="748" t="s">
        <v>1792</v>
      </c>
      <c r="D153" s="12" t="s">
        <v>2042</v>
      </c>
      <c r="E153" s="11" t="s">
        <v>2043</v>
      </c>
      <c r="F153" s="749">
        <v>9</v>
      </c>
      <c r="G153" s="3" t="s">
        <v>1041</v>
      </c>
      <c r="H153" s="3"/>
      <c r="I153" s="3">
        <v>463.9</v>
      </c>
      <c r="J153" s="3"/>
      <c r="K153" s="3"/>
      <c r="L153" s="761">
        <v>44529</v>
      </c>
      <c r="M153" s="761"/>
      <c r="N153" s="761"/>
      <c r="O153" s="761" t="s">
        <v>62</v>
      </c>
      <c r="P153" s="762"/>
      <c r="Q153" s="3"/>
      <c r="R153" s="3"/>
      <c r="S153" s="3" t="s">
        <v>1547</v>
      </c>
      <c r="T153" s="3"/>
      <c r="U153" s="3">
        <v>329.7</v>
      </c>
      <c r="V153" s="4"/>
      <c r="W153" s="761"/>
      <c r="X153" s="761"/>
      <c r="Y153" s="761">
        <v>44530</v>
      </c>
      <c r="Z153" s="761" t="s">
        <v>62</v>
      </c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2:38">
      <c r="B154" s="747">
        <v>12</v>
      </c>
      <c r="C154" s="748" t="s">
        <v>1792</v>
      </c>
      <c r="D154" s="12" t="s">
        <v>2044</v>
      </c>
      <c r="E154" s="11" t="s">
        <v>2045</v>
      </c>
      <c r="F154" s="749">
        <v>10</v>
      </c>
      <c r="G154" s="3" t="s">
        <v>1041</v>
      </c>
      <c r="H154" s="3"/>
      <c r="I154" s="3">
        <v>467.8</v>
      </c>
      <c r="J154" s="3"/>
      <c r="K154" s="3"/>
      <c r="L154" s="761">
        <v>44530</v>
      </c>
      <c r="M154" s="761"/>
      <c r="N154" s="761"/>
      <c r="O154" s="761" t="s">
        <v>62</v>
      </c>
      <c r="P154" s="762"/>
      <c r="Q154" s="3"/>
      <c r="R154" s="3"/>
      <c r="S154" s="3" t="s">
        <v>1547</v>
      </c>
      <c r="T154" s="3"/>
      <c r="U154" s="3">
        <v>329.4</v>
      </c>
      <c r="V154" s="4"/>
      <c r="W154" s="761"/>
      <c r="X154" s="761"/>
      <c r="Y154" s="761">
        <v>44530</v>
      </c>
      <c r="Z154" s="761" t="s">
        <v>62</v>
      </c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2:38">
      <c r="B155" s="747">
        <v>12</v>
      </c>
      <c r="C155" s="748" t="s">
        <v>1792</v>
      </c>
      <c r="D155" s="12" t="s">
        <v>2046</v>
      </c>
      <c r="E155" s="11" t="s">
        <v>2047</v>
      </c>
      <c r="F155" s="749">
        <v>11</v>
      </c>
      <c r="G155" s="3" t="s">
        <v>1041</v>
      </c>
      <c r="H155" s="3"/>
      <c r="I155" s="3">
        <v>461.3</v>
      </c>
      <c r="J155" s="3"/>
      <c r="K155" s="3"/>
      <c r="L155" s="761">
        <v>44531</v>
      </c>
      <c r="M155" s="761"/>
      <c r="N155" s="761"/>
      <c r="O155" s="761" t="s">
        <v>62</v>
      </c>
      <c r="P155" s="762"/>
      <c r="Q155" s="3"/>
      <c r="R155" s="3"/>
      <c r="S155" s="3" t="s">
        <v>1547</v>
      </c>
      <c r="T155" s="3"/>
      <c r="U155" s="3">
        <v>329.7</v>
      </c>
      <c r="V155" s="4"/>
      <c r="W155" s="761"/>
      <c r="X155" s="761"/>
      <c r="Y155" s="761">
        <v>44530</v>
      </c>
      <c r="Z155" s="761" t="s">
        <v>62</v>
      </c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2:38">
      <c r="B156" s="747">
        <v>12</v>
      </c>
      <c r="C156" s="748" t="s">
        <v>1792</v>
      </c>
      <c r="D156" s="12" t="s">
        <v>2048</v>
      </c>
      <c r="E156" s="11" t="s">
        <v>2049</v>
      </c>
      <c r="F156" s="749">
        <v>12</v>
      </c>
      <c r="G156" s="3" t="s">
        <v>1041</v>
      </c>
      <c r="H156" s="3"/>
      <c r="I156" s="3">
        <v>460.8</v>
      </c>
      <c r="J156" s="3"/>
      <c r="K156" s="3"/>
      <c r="L156" s="761">
        <v>44531</v>
      </c>
      <c r="M156" s="761"/>
      <c r="N156" s="761"/>
      <c r="O156" s="761" t="s">
        <v>62</v>
      </c>
      <c r="P156" s="762"/>
      <c r="Q156" s="3"/>
      <c r="R156" s="3"/>
      <c r="S156" s="3" t="s">
        <v>1547</v>
      </c>
      <c r="T156" s="3"/>
      <c r="U156" s="3">
        <v>329.7</v>
      </c>
      <c r="V156" s="4"/>
      <c r="W156" s="761"/>
      <c r="X156" s="761"/>
      <c r="Y156" s="761">
        <v>44531</v>
      </c>
      <c r="Z156" s="761" t="s">
        <v>62</v>
      </c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2:38">
      <c r="B157" s="747">
        <v>12</v>
      </c>
      <c r="C157" s="748" t="s">
        <v>1792</v>
      </c>
      <c r="D157" s="12" t="s">
        <v>2050</v>
      </c>
      <c r="E157" s="11" t="s">
        <v>2051</v>
      </c>
      <c r="F157" s="749">
        <v>13</v>
      </c>
      <c r="G157" s="3" t="s">
        <v>1041</v>
      </c>
      <c r="H157" s="3"/>
      <c r="I157" s="3">
        <v>465.1</v>
      </c>
      <c r="J157" s="3"/>
      <c r="K157" s="3"/>
      <c r="L157" s="761">
        <v>44532</v>
      </c>
      <c r="M157" s="761"/>
      <c r="N157" s="761"/>
      <c r="O157" s="761" t="s">
        <v>62</v>
      </c>
      <c r="P157" s="762"/>
      <c r="Q157" s="3"/>
      <c r="R157" s="3"/>
      <c r="S157" s="3" t="s">
        <v>1547</v>
      </c>
      <c r="T157" s="3"/>
      <c r="U157" s="3">
        <v>329.4</v>
      </c>
      <c r="V157" s="4"/>
      <c r="W157" s="761"/>
      <c r="X157" s="761"/>
      <c r="Y157" s="761">
        <v>44531</v>
      </c>
      <c r="Z157" s="761" t="s">
        <v>62</v>
      </c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2:38">
      <c r="B158" s="747">
        <v>12</v>
      </c>
      <c r="C158" s="748" t="s">
        <v>1792</v>
      </c>
      <c r="D158" s="12" t="s">
        <v>2052</v>
      </c>
      <c r="E158" s="11" t="s">
        <v>2053</v>
      </c>
      <c r="F158" s="749">
        <v>14</v>
      </c>
      <c r="G158" s="3" t="s">
        <v>1041</v>
      </c>
      <c r="H158" s="3"/>
      <c r="I158" s="3">
        <v>466.4</v>
      </c>
      <c r="J158" s="3"/>
      <c r="K158" s="3"/>
      <c r="L158" s="761">
        <v>44532</v>
      </c>
      <c r="M158" s="761"/>
      <c r="N158" s="761"/>
      <c r="O158" s="761" t="s">
        <v>62</v>
      </c>
      <c r="P158" s="762"/>
      <c r="Q158" s="3"/>
      <c r="R158" s="3"/>
      <c r="S158" s="3" t="s">
        <v>1547</v>
      </c>
      <c r="T158" s="3"/>
      <c r="U158" s="3">
        <v>329.6</v>
      </c>
      <c r="V158" s="4"/>
      <c r="W158" s="761"/>
      <c r="X158" s="761"/>
      <c r="Y158" s="761">
        <v>44532</v>
      </c>
      <c r="Z158" s="761" t="s">
        <v>62</v>
      </c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2:38">
      <c r="B159" s="747">
        <v>12</v>
      </c>
      <c r="C159" s="748" t="s">
        <v>1792</v>
      </c>
      <c r="D159" s="12" t="s">
        <v>2054</v>
      </c>
      <c r="E159" s="11" t="s">
        <v>2055</v>
      </c>
      <c r="F159" s="749">
        <v>15</v>
      </c>
      <c r="G159" s="3" t="s">
        <v>1041</v>
      </c>
      <c r="H159" s="3"/>
      <c r="I159" s="3">
        <v>466.3</v>
      </c>
      <c r="J159" s="3"/>
      <c r="K159" s="3"/>
      <c r="L159" s="761">
        <v>44537</v>
      </c>
      <c r="M159" s="761"/>
      <c r="N159" s="761"/>
      <c r="O159" s="761" t="s">
        <v>62</v>
      </c>
      <c r="P159" s="762"/>
      <c r="Q159" s="3"/>
      <c r="R159" s="3"/>
      <c r="S159" s="3" t="s">
        <v>1547</v>
      </c>
      <c r="T159" s="3"/>
      <c r="U159" s="3">
        <v>330.1</v>
      </c>
      <c r="V159" s="4"/>
      <c r="W159" s="761"/>
      <c r="X159" s="761"/>
      <c r="Y159" s="761">
        <v>44538</v>
      </c>
      <c r="Z159" s="761" t="s">
        <v>62</v>
      </c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2:38">
      <c r="B160" s="747">
        <v>12</v>
      </c>
      <c r="C160" s="748" t="s">
        <v>1792</v>
      </c>
      <c r="D160" s="12" t="s">
        <v>2056</v>
      </c>
      <c r="E160" s="11" t="s">
        <v>2057</v>
      </c>
      <c r="F160" s="749">
        <v>16</v>
      </c>
      <c r="G160" s="3" t="s">
        <v>1041</v>
      </c>
      <c r="H160" s="3"/>
      <c r="I160" s="3">
        <v>466.6</v>
      </c>
      <c r="J160" s="3"/>
      <c r="K160" s="3"/>
      <c r="L160" s="761">
        <v>44538</v>
      </c>
      <c r="M160" s="761"/>
      <c r="N160" s="761"/>
      <c r="O160" s="761" t="s">
        <v>62</v>
      </c>
      <c r="P160" s="762"/>
      <c r="Q160" s="3"/>
      <c r="R160" s="3"/>
      <c r="S160" s="3" t="s">
        <v>1547</v>
      </c>
      <c r="T160" s="3"/>
      <c r="U160" s="3">
        <v>329.8</v>
      </c>
      <c r="V160" s="4"/>
      <c r="W160" s="761"/>
      <c r="X160" s="761"/>
      <c r="Y160" s="761">
        <v>44538</v>
      </c>
      <c r="Z160" s="761" t="s">
        <v>62</v>
      </c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2:39">
      <c r="B161" s="747">
        <v>12</v>
      </c>
      <c r="C161" s="748" t="s">
        <v>1792</v>
      </c>
      <c r="D161" s="12" t="s">
        <v>2058</v>
      </c>
      <c r="E161" s="11" t="s">
        <v>2059</v>
      </c>
      <c r="F161" s="749">
        <v>17</v>
      </c>
      <c r="G161" s="3" t="s">
        <v>1041</v>
      </c>
      <c r="H161" s="3"/>
      <c r="I161" s="3">
        <v>466.7</v>
      </c>
      <c r="J161" s="3"/>
      <c r="K161" s="3"/>
      <c r="L161" s="761">
        <v>44538</v>
      </c>
      <c r="M161" s="761"/>
      <c r="N161" s="761"/>
      <c r="O161" s="761" t="s">
        <v>62</v>
      </c>
      <c r="P161" s="762"/>
      <c r="Q161" s="3"/>
      <c r="R161" s="3"/>
      <c r="S161" s="3" t="s">
        <v>1547</v>
      </c>
      <c r="T161" s="3"/>
      <c r="U161" s="3">
        <v>330.5</v>
      </c>
      <c r="V161" s="4"/>
      <c r="W161" s="761"/>
      <c r="X161" s="761"/>
      <c r="Y161" s="761">
        <v>44538</v>
      </c>
      <c r="Z161" s="761" t="s">
        <v>62</v>
      </c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2:39">
      <c r="B162" s="747">
        <v>12</v>
      </c>
      <c r="C162" s="748" t="s">
        <v>1792</v>
      </c>
      <c r="D162" s="12" t="s">
        <v>2060</v>
      </c>
      <c r="E162" s="11" t="s">
        <v>2061</v>
      </c>
      <c r="F162" s="749">
        <v>18</v>
      </c>
      <c r="G162" s="3" t="s">
        <v>1041</v>
      </c>
      <c r="H162" s="3"/>
      <c r="I162" s="3">
        <v>468.2</v>
      </c>
      <c r="J162" s="3"/>
      <c r="K162" s="3"/>
      <c r="L162" s="761">
        <v>44538</v>
      </c>
      <c r="M162" s="761"/>
      <c r="N162" s="761"/>
      <c r="O162" s="761" t="s">
        <v>62</v>
      </c>
      <c r="P162" s="762"/>
      <c r="Q162" s="3"/>
      <c r="R162" s="3"/>
      <c r="S162" s="3" t="s">
        <v>1547</v>
      </c>
      <c r="T162" s="3"/>
      <c r="U162" s="3">
        <v>330</v>
      </c>
      <c r="V162" s="4"/>
      <c r="W162" s="761"/>
      <c r="X162" s="761"/>
      <c r="Y162" s="761">
        <v>44539</v>
      </c>
      <c r="Z162" s="761" t="s">
        <v>62</v>
      </c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2:39">
      <c r="B163" s="747">
        <v>12</v>
      </c>
      <c r="C163" s="748" t="s">
        <v>1792</v>
      </c>
      <c r="D163" s="12" t="s">
        <v>2062</v>
      </c>
      <c r="E163" s="11" t="s">
        <v>2063</v>
      </c>
      <c r="F163" s="749">
        <v>19</v>
      </c>
      <c r="G163" s="3" t="s">
        <v>1041</v>
      </c>
      <c r="H163" s="3"/>
      <c r="I163" s="3">
        <v>469</v>
      </c>
      <c r="J163" s="3"/>
      <c r="K163" s="3"/>
      <c r="L163" s="761">
        <v>44539</v>
      </c>
      <c r="M163" s="761"/>
      <c r="N163" s="761"/>
      <c r="O163" s="761" t="s">
        <v>62</v>
      </c>
      <c r="P163" s="762"/>
      <c r="Q163" s="3"/>
      <c r="R163" s="3"/>
      <c r="S163" s="3" t="s">
        <v>1547</v>
      </c>
      <c r="T163" s="3"/>
      <c r="U163" s="3">
        <v>330</v>
      </c>
      <c r="V163" s="4"/>
      <c r="W163" s="761"/>
      <c r="X163" s="761"/>
      <c r="Y163" s="761">
        <v>44539</v>
      </c>
      <c r="Z163" s="761" t="s">
        <v>62</v>
      </c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2:39" s="705" customFormat="1" ht="18" customHeight="1">
      <c r="B164" s="731"/>
      <c r="C164" s="736" t="s">
        <v>2064</v>
      </c>
      <c r="D164" s="737"/>
      <c r="E164" s="738"/>
      <c r="F164" s="739"/>
      <c r="G164" s="740"/>
      <c r="H164" s="740"/>
      <c r="I164" s="740"/>
      <c r="J164" s="756"/>
      <c r="K164" s="756"/>
      <c r="L164" s="740"/>
      <c r="M164" s="740"/>
      <c r="N164" s="740"/>
      <c r="O164" s="757"/>
      <c r="P164" s="758"/>
      <c r="Q164" s="740"/>
      <c r="R164" s="740"/>
      <c r="S164" s="740"/>
      <c r="T164" s="740"/>
      <c r="U164" s="740"/>
      <c r="V164" s="740"/>
      <c r="W164" s="740"/>
      <c r="X164" s="740"/>
      <c r="Y164" s="740"/>
      <c r="Z164" s="757"/>
      <c r="AA164" s="771"/>
      <c r="AB164" s="771"/>
      <c r="AC164" s="771"/>
      <c r="AD164" s="771"/>
      <c r="AE164" s="771"/>
      <c r="AF164" s="771"/>
      <c r="AG164" s="775"/>
      <c r="AH164" s="771"/>
      <c r="AI164" s="771"/>
      <c r="AJ164" s="771"/>
      <c r="AK164" s="771"/>
      <c r="AL164" s="771"/>
      <c r="AM164" s="776"/>
    </row>
    <row r="165" spans="2:39">
      <c r="B165" s="1490" t="s">
        <v>125</v>
      </c>
      <c r="C165" s="748" t="s">
        <v>1792</v>
      </c>
      <c r="D165" s="12" t="s">
        <v>2065</v>
      </c>
      <c r="E165" s="11" t="s">
        <v>2066</v>
      </c>
      <c r="F165" s="749">
        <v>1</v>
      </c>
      <c r="G165" s="3" t="s">
        <v>1041</v>
      </c>
      <c r="H165" s="3"/>
      <c r="I165" s="3">
        <v>461</v>
      </c>
      <c r="J165" s="3"/>
      <c r="K165" s="3" t="s">
        <v>2067</v>
      </c>
      <c r="L165" s="761">
        <v>44547</v>
      </c>
      <c r="M165" s="761"/>
      <c r="N165" s="761"/>
      <c r="O165" s="761" t="s">
        <v>62</v>
      </c>
      <c r="P165" s="762"/>
      <c r="Q165" s="3"/>
      <c r="R165" s="3"/>
      <c r="S165" s="3" t="s">
        <v>1547</v>
      </c>
      <c r="T165" s="3"/>
      <c r="U165" s="3">
        <v>329.8</v>
      </c>
      <c r="V165" s="4"/>
      <c r="W165" s="761"/>
      <c r="X165" s="4" t="s">
        <v>2067</v>
      </c>
      <c r="Y165" s="761">
        <v>44547</v>
      </c>
      <c r="Z165" s="761" t="s">
        <v>62</v>
      </c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2:39">
      <c r="B166" s="1490" t="s">
        <v>125</v>
      </c>
      <c r="C166" s="748" t="s">
        <v>1792</v>
      </c>
      <c r="D166" s="12" t="s">
        <v>2068</v>
      </c>
      <c r="E166" s="11" t="s">
        <v>2069</v>
      </c>
      <c r="F166" s="749">
        <v>2</v>
      </c>
      <c r="G166" s="3" t="s">
        <v>1041</v>
      </c>
      <c r="H166" s="3"/>
      <c r="I166" s="3">
        <f>152.7+155.64+155.9</f>
        <v>464.24</v>
      </c>
      <c r="J166" s="3"/>
      <c r="K166" s="3" t="s">
        <v>2067</v>
      </c>
      <c r="L166" s="761">
        <v>44547</v>
      </c>
      <c r="M166" s="761"/>
      <c r="N166" s="761"/>
      <c r="O166" s="761" t="s">
        <v>62</v>
      </c>
      <c r="P166" s="762"/>
      <c r="Q166" s="3"/>
      <c r="R166" s="3"/>
      <c r="S166" s="3" t="s">
        <v>1547</v>
      </c>
      <c r="T166" s="3"/>
      <c r="U166" s="3">
        <v>330</v>
      </c>
      <c r="V166" s="4"/>
      <c r="W166" s="761"/>
      <c r="X166" s="4" t="str">
        <f t="shared" ref="X166:X229" si="0">TEXT(Y166,"mmmm")</f>
        <v>December</v>
      </c>
      <c r="Y166" s="761">
        <v>44547</v>
      </c>
      <c r="Z166" s="761" t="s">
        <v>62</v>
      </c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2:39">
      <c r="B167" s="1490" t="s">
        <v>125</v>
      </c>
      <c r="C167" s="748" t="s">
        <v>1792</v>
      </c>
      <c r="D167" s="12" t="s">
        <v>2070</v>
      </c>
      <c r="E167" s="11" t="s">
        <v>2071</v>
      </c>
      <c r="F167" s="749">
        <v>3</v>
      </c>
      <c r="G167" s="3" t="s">
        <v>1041</v>
      </c>
      <c r="H167" s="3"/>
      <c r="I167" s="3">
        <v>464.32</v>
      </c>
      <c r="J167" s="3"/>
      <c r="K167" s="3" t="s">
        <v>2067</v>
      </c>
      <c r="L167" s="761">
        <v>44547</v>
      </c>
      <c r="M167" s="761"/>
      <c r="N167" s="761"/>
      <c r="O167" s="761" t="s">
        <v>62</v>
      </c>
      <c r="P167" s="762"/>
      <c r="Q167" s="3"/>
      <c r="R167" s="3"/>
      <c r="S167" s="3" t="s">
        <v>1547</v>
      </c>
      <c r="T167" s="3"/>
      <c r="U167" s="3">
        <v>330</v>
      </c>
      <c r="V167" s="4"/>
      <c r="W167" s="761"/>
      <c r="X167" s="4" t="str">
        <f t="shared" si="0"/>
        <v>December</v>
      </c>
      <c r="Y167" s="761">
        <v>44550</v>
      </c>
      <c r="Z167" s="761" t="s">
        <v>62</v>
      </c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2:39">
      <c r="B168" s="1490" t="s">
        <v>125</v>
      </c>
      <c r="C168" s="748" t="s">
        <v>1792</v>
      </c>
      <c r="D168" s="12" t="s">
        <v>2072</v>
      </c>
      <c r="E168" s="11" t="s">
        <v>2073</v>
      </c>
      <c r="F168" s="749">
        <v>4</v>
      </c>
      <c r="G168" s="3" t="s">
        <v>1041</v>
      </c>
      <c r="H168" s="3"/>
      <c r="I168" s="3">
        <v>468</v>
      </c>
      <c r="J168" s="3"/>
      <c r="K168" s="3" t="s">
        <v>2067</v>
      </c>
      <c r="L168" s="761">
        <v>44550</v>
      </c>
      <c r="M168" s="761"/>
      <c r="N168" s="761"/>
      <c r="O168" s="761" t="s">
        <v>62</v>
      </c>
      <c r="P168" s="762"/>
      <c r="Q168" s="3"/>
      <c r="R168" s="3"/>
      <c r="S168" s="3" t="s">
        <v>1547</v>
      </c>
      <c r="T168" s="3"/>
      <c r="U168" s="3">
        <v>329.8</v>
      </c>
      <c r="V168" s="4"/>
      <c r="W168" s="761"/>
      <c r="X168" s="4" t="str">
        <f t="shared" si="0"/>
        <v>December</v>
      </c>
      <c r="Y168" s="761">
        <v>44550</v>
      </c>
      <c r="Z168" s="761" t="s">
        <v>62</v>
      </c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2:39">
      <c r="B169" s="1490" t="s">
        <v>125</v>
      </c>
      <c r="C169" s="748" t="s">
        <v>1792</v>
      </c>
      <c r="D169" s="12" t="s">
        <v>2074</v>
      </c>
      <c r="E169" s="11" t="s">
        <v>2075</v>
      </c>
      <c r="F169" s="749">
        <v>5</v>
      </c>
      <c r="G169" s="3" t="s">
        <v>1041</v>
      </c>
      <c r="H169" s="3"/>
      <c r="I169" s="3">
        <v>459.9</v>
      </c>
      <c r="J169" s="3"/>
      <c r="K169" s="3" t="s">
        <v>2067</v>
      </c>
      <c r="L169" s="761">
        <v>44550</v>
      </c>
      <c r="M169" s="761"/>
      <c r="N169" s="761"/>
      <c r="O169" s="761" t="s">
        <v>62</v>
      </c>
      <c r="P169" s="762"/>
      <c r="Q169" s="3"/>
      <c r="R169" s="3"/>
      <c r="S169" s="3" t="s">
        <v>1547</v>
      </c>
      <c r="T169" s="3"/>
      <c r="U169" s="3">
        <v>329.9</v>
      </c>
      <c r="V169" s="4"/>
      <c r="W169" s="761"/>
      <c r="X169" s="4" t="str">
        <f t="shared" si="0"/>
        <v>December</v>
      </c>
      <c r="Y169" s="761">
        <v>44550</v>
      </c>
      <c r="Z169" s="761" t="s">
        <v>62</v>
      </c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2:39">
      <c r="B170" s="1490" t="s">
        <v>125</v>
      </c>
      <c r="C170" s="748" t="s">
        <v>1792</v>
      </c>
      <c r="D170" s="12" t="s">
        <v>2076</v>
      </c>
      <c r="E170" s="11" t="s">
        <v>2077</v>
      </c>
      <c r="F170" s="749">
        <v>6</v>
      </c>
      <c r="G170" s="3" t="s">
        <v>1041</v>
      </c>
      <c r="H170" s="3"/>
      <c r="I170" s="3">
        <v>466.1</v>
      </c>
      <c r="J170" s="3"/>
      <c r="K170" s="3" t="s">
        <v>2067</v>
      </c>
      <c r="L170" s="761">
        <v>44550</v>
      </c>
      <c r="M170" s="761"/>
      <c r="N170" s="761"/>
      <c r="O170" s="761" t="s">
        <v>62</v>
      </c>
      <c r="P170" s="762"/>
      <c r="Q170" s="3"/>
      <c r="R170" s="3"/>
      <c r="S170" s="3" t="s">
        <v>1547</v>
      </c>
      <c r="T170" s="3"/>
      <c r="U170" s="3">
        <v>329.7</v>
      </c>
      <c r="V170" s="4"/>
      <c r="W170" s="761"/>
      <c r="X170" s="4" t="str">
        <f t="shared" si="0"/>
        <v>December</v>
      </c>
      <c r="Y170" s="761">
        <v>44551</v>
      </c>
      <c r="Z170" s="761" t="s">
        <v>62</v>
      </c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2:39">
      <c r="B171" s="1490" t="s">
        <v>125</v>
      </c>
      <c r="C171" s="748" t="s">
        <v>1792</v>
      </c>
      <c r="D171" s="12" t="s">
        <v>2078</v>
      </c>
      <c r="E171" s="11" t="s">
        <v>2079</v>
      </c>
      <c r="F171" s="749">
        <v>7</v>
      </c>
      <c r="G171" s="3" t="s">
        <v>1041</v>
      </c>
      <c r="H171" s="3"/>
      <c r="I171" s="3">
        <v>462.6</v>
      </c>
      <c r="J171" s="3"/>
      <c r="K171" s="3" t="s">
        <v>2067</v>
      </c>
      <c r="L171" s="761">
        <v>44551</v>
      </c>
      <c r="M171" s="761"/>
      <c r="N171" s="761"/>
      <c r="O171" s="761" t="s">
        <v>62</v>
      </c>
      <c r="P171" s="762"/>
      <c r="Q171" s="3"/>
      <c r="R171" s="3"/>
      <c r="S171" s="3" t="s">
        <v>1547</v>
      </c>
      <c r="T171" s="3"/>
      <c r="U171" s="3">
        <v>330</v>
      </c>
      <c r="V171" s="4"/>
      <c r="W171" s="761"/>
      <c r="X171" s="4" t="str">
        <f t="shared" si="0"/>
        <v>December</v>
      </c>
      <c r="Y171" s="761">
        <v>44551</v>
      </c>
      <c r="Z171" s="761" t="s">
        <v>62</v>
      </c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2:39">
      <c r="B172" s="1490" t="s">
        <v>125</v>
      </c>
      <c r="C172" s="748" t="s">
        <v>1792</v>
      </c>
      <c r="D172" s="12" t="s">
        <v>2080</v>
      </c>
      <c r="E172" s="11" t="s">
        <v>2081</v>
      </c>
      <c r="F172" s="749">
        <v>8</v>
      </c>
      <c r="G172" s="3" t="s">
        <v>1041</v>
      </c>
      <c r="H172" s="3"/>
      <c r="I172" s="3">
        <f>151.1+153.9+156.2</f>
        <v>461.2</v>
      </c>
      <c r="J172" s="3"/>
      <c r="K172" s="3" t="s">
        <v>2067</v>
      </c>
      <c r="L172" s="761">
        <v>44552</v>
      </c>
      <c r="M172" s="761"/>
      <c r="N172" s="761"/>
      <c r="O172" s="761" t="s">
        <v>62</v>
      </c>
      <c r="P172" s="762"/>
      <c r="Q172" s="3"/>
      <c r="R172" s="3"/>
      <c r="S172" s="3" t="s">
        <v>1547</v>
      </c>
      <c r="T172" s="3"/>
      <c r="U172" s="3">
        <v>330</v>
      </c>
      <c r="V172" s="4"/>
      <c r="W172" s="761"/>
      <c r="X172" s="4" t="str">
        <f t="shared" si="0"/>
        <v>December</v>
      </c>
      <c r="Y172" s="761">
        <v>44552</v>
      </c>
      <c r="Z172" s="761" t="s">
        <v>62</v>
      </c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2:39">
      <c r="B173" s="1490" t="s">
        <v>125</v>
      </c>
      <c r="C173" s="748" t="s">
        <v>1792</v>
      </c>
      <c r="D173" s="12" t="s">
        <v>2082</v>
      </c>
      <c r="E173" s="11" t="s">
        <v>2083</v>
      </c>
      <c r="F173" s="749">
        <v>9</v>
      </c>
      <c r="G173" s="3" t="s">
        <v>1041</v>
      </c>
      <c r="H173" s="3"/>
      <c r="I173" s="3">
        <v>463.2</v>
      </c>
      <c r="J173" s="3"/>
      <c r="K173" s="3" t="s">
        <v>2067</v>
      </c>
      <c r="L173" s="761">
        <v>44553</v>
      </c>
      <c r="M173" s="761"/>
      <c r="N173" s="761"/>
      <c r="O173" s="761" t="s">
        <v>62</v>
      </c>
      <c r="P173" s="762"/>
      <c r="Q173" s="3"/>
      <c r="R173" s="3"/>
      <c r="S173" s="3" t="s">
        <v>1547</v>
      </c>
      <c r="T173" s="3"/>
      <c r="U173" s="3">
        <v>329.6</v>
      </c>
      <c r="V173" s="4"/>
      <c r="W173" s="761"/>
      <c r="X173" s="4" t="str">
        <f t="shared" si="0"/>
        <v>December</v>
      </c>
      <c r="Y173" s="761">
        <v>44552</v>
      </c>
      <c r="Z173" s="761" t="s">
        <v>62</v>
      </c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2:39">
      <c r="B174" s="1490" t="s">
        <v>125</v>
      </c>
      <c r="C174" s="748" t="s">
        <v>1792</v>
      </c>
      <c r="D174" s="12" t="s">
        <v>2084</v>
      </c>
      <c r="E174" s="11" t="s">
        <v>2085</v>
      </c>
      <c r="F174" s="749">
        <v>10</v>
      </c>
      <c r="G174" s="3" t="s">
        <v>1041</v>
      </c>
      <c r="H174" s="3"/>
      <c r="I174" s="3">
        <v>464.6</v>
      </c>
      <c r="J174" s="3"/>
      <c r="K174" s="3" t="s">
        <v>2067</v>
      </c>
      <c r="L174" s="761">
        <v>44553</v>
      </c>
      <c r="M174" s="761"/>
      <c r="N174" s="761"/>
      <c r="O174" s="761" t="s">
        <v>62</v>
      </c>
      <c r="P174" s="762"/>
      <c r="Q174" s="3"/>
      <c r="R174" s="3"/>
      <c r="S174" s="3" t="s">
        <v>1547</v>
      </c>
      <c r="T174" s="3"/>
      <c r="U174" s="3">
        <v>329.7</v>
      </c>
      <c r="V174" s="4"/>
      <c r="W174" s="761"/>
      <c r="X174" s="4" t="str">
        <f t="shared" si="0"/>
        <v>December</v>
      </c>
      <c r="Y174" s="761">
        <v>44552</v>
      </c>
      <c r="Z174" s="761" t="s">
        <v>62</v>
      </c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2:39">
      <c r="B175" s="1490" t="s">
        <v>125</v>
      </c>
      <c r="C175" s="748" t="s">
        <v>1792</v>
      </c>
      <c r="D175" s="12" t="s">
        <v>2086</v>
      </c>
      <c r="E175" s="11" t="s">
        <v>2087</v>
      </c>
      <c r="F175" s="749">
        <v>11</v>
      </c>
      <c r="G175" s="3" t="s">
        <v>1041</v>
      </c>
      <c r="H175" s="3"/>
      <c r="I175" s="3">
        <v>461.2</v>
      </c>
      <c r="J175" s="3"/>
      <c r="K175" s="3" t="s">
        <v>2067</v>
      </c>
      <c r="L175" s="761">
        <v>44561</v>
      </c>
      <c r="M175" s="761"/>
      <c r="N175" s="761"/>
      <c r="O175" s="761" t="s">
        <v>62</v>
      </c>
      <c r="P175" s="762"/>
      <c r="Q175" s="3"/>
      <c r="R175" s="3"/>
      <c r="S175" s="3" t="s">
        <v>1547</v>
      </c>
      <c r="T175" s="3"/>
      <c r="U175" s="3">
        <v>330</v>
      </c>
      <c r="V175" s="4"/>
      <c r="W175" s="761"/>
      <c r="X175" s="4" t="str">
        <f t="shared" si="0"/>
        <v>December</v>
      </c>
      <c r="Y175" s="761">
        <v>44560</v>
      </c>
      <c r="Z175" s="761" t="s">
        <v>62</v>
      </c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2:39">
      <c r="B176" s="1490" t="s">
        <v>125</v>
      </c>
      <c r="C176" s="748" t="s">
        <v>1792</v>
      </c>
      <c r="D176" s="12" t="s">
        <v>2088</v>
      </c>
      <c r="E176" s="11" t="s">
        <v>2089</v>
      </c>
      <c r="F176" s="749">
        <v>12</v>
      </c>
      <c r="G176" s="3" t="s">
        <v>1041</v>
      </c>
      <c r="H176" s="3"/>
      <c r="I176" s="3">
        <v>463.4</v>
      </c>
      <c r="J176" s="3"/>
      <c r="K176" s="3" t="s">
        <v>2067</v>
      </c>
      <c r="L176" s="761">
        <v>44561</v>
      </c>
      <c r="M176" s="761"/>
      <c r="N176" s="761"/>
      <c r="O176" s="761" t="s">
        <v>62</v>
      </c>
      <c r="P176" s="762"/>
      <c r="Q176" s="3"/>
      <c r="R176" s="3"/>
      <c r="S176" s="3" t="s">
        <v>1547</v>
      </c>
      <c r="T176" s="3"/>
      <c r="U176" s="3">
        <v>330.1</v>
      </c>
      <c r="V176" s="4"/>
      <c r="W176" s="761"/>
      <c r="X176" s="4" t="str">
        <f t="shared" si="0"/>
        <v>December</v>
      </c>
      <c r="Y176" s="761">
        <v>44560</v>
      </c>
      <c r="Z176" s="761" t="s">
        <v>62</v>
      </c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2:39">
      <c r="B177" s="1490" t="s">
        <v>125</v>
      </c>
      <c r="C177" s="748" t="s">
        <v>1792</v>
      </c>
      <c r="D177" s="12" t="s">
        <v>2090</v>
      </c>
      <c r="E177" s="11" t="s">
        <v>2091</v>
      </c>
      <c r="F177" s="749">
        <v>13</v>
      </c>
      <c r="G177" s="3" t="s">
        <v>1041</v>
      </c>
      <c r="H177" s="3"/>
      <c r="I177" s="3">
        <v>467.5</v>
      </c>
      <c r="J177" s="3"/>
      <c r="K177" s="3" t="s">
        <v>2067</v>
      </c>
      <c r="L177" s="761">
        <v>44561</v>
      </c>
      <c r="M177" s="761"/>
      <c r="N177" s="761"/>
      <c r="O177" s="761" t="s">
        <v>62</v>
      </c>
      <c r="P177" s="762"/>
      <c r="Q177" s="3"/>
      <c r="R177" s="3"/>
      <c r="S177" s="3" t="s">
        <v>1547</v>
      </c>
      <c r="T177" s="3"/>
      <c r="U177" s="3">
        <v>329.9</v>
      </c>
      <c r="V177" s="4"/>
      <c r="W177" s="761"/>
      <c r="X177" s="4" t="str">
        <f t="shared" si="0"/>
        <v>December</v>
      </c>
      <c r="Y177" s="761">
        <v>44561</v>
      </c>
      <c r="Z177" s="761" t="s">
        <v>62</v>
      </c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2:39">
      <c r="B178" s="1490" t="s">
        <v>125</v>
      </c>
      <c r="C178" s="748" t="s">
        <v>1792</v>
      </c>
      <c r="D178" s="12" t="s">
        <v>2092</v>
      </c>
      <c r="E178" s="11" t="s">
        <v>2093</v>
      </c>
      <c r="F178" s="749">
        <v>14</v>
      </c>
      <c r="G178" s="3" t="s">
        <v>1041</v>
      </c>
      <c r="H178" s="3"/>
      <c r="I178" s="3">
        <v>462.4</v>
      </c>
      <c r="J178" s="3"/>
      <c r="K178" s="3" t="s">
        <v>2094</v>
      </c>
      <c r="L178" s="761">
        <v>44564</v>
      </c>
      <c r="M178" s="761"/>
      <c r="N178" s="761"/>
      <c r="O178" s="761" t="s">
        <v>62</v>
      </c>
      <c r="P178" s="762"/>
      <c r="Q178" s="3"/>
      <c r="R178" s="3"/>
      <c r="S178" s="3" t="s">
        <v>1547</v>
      </c>
      <c r="T178" s="3"/>
      <c r="U178" s="3">
        <v>329.8</v>
      </c>
      <c r="V178" s="4"/>
      <c r="W178" s="761"/>
      <c r="X178" s="4" t="str">
        <f t="shared" si="0"/>
        <v>December</v>
      </c>
      <c r="Y178" s="761">
        <v>44561</v>
      </c>
      <c r="Z178" s="761" t="s">
        <v>62</v>
      </c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2:39">
      <c r="B179" s="1490" t="s">
        <v>125</v>
      </c>
      <c r="C179" s="748" t="s">
        <v>1792</v>
      </c>
      <c r="D179" s="12" t="s">
        <v>2095</v>
      </c>
      <c r="E179" s="11" t="s">
        <v>2096</v>
      </c>
      <c r="F179" s="749">
        <v>15</v>
      </c>
      <c r="G179" s="3" t="s">
        <v>1041</v>
      </c>
      <c r="H179" s="3"/>
      <c r="I179" s="3">
        <v>466.8</v>
      </c>
      <c r="J179" s="3"/>
      <c r="K179" s="3" t="s">
        <v>2094</v>
      </c>
      <c r="L179" s="761">
        <v>44564</v>
      </c>
      <c r="M179" s="761"/>
      <c r="N179" s="761"/>
      <c r="O179" s="761" t="s">
        <v>62</v>
      </c>
      <c r="P179" s="762"/>
      <c r="Q179" s="3"/>
      <c r="R179" s="3"/>
      <c r="S179" s="3" t="s">
        <v>1547</v>
      </c>
      <c r="T179" s="3"/>
      <c r="U179" s="3">
        <v>328.8</v>
      </c>
      <c r="V179" s="4"/>
      <c r="W179" s="761"/>
      <c r="X179" s="4" t="str">
        <f t="shared" si="0"/>
        <v>December</v>
      </c>
      <c r="Y179" s="761">
        <v>44561</v>
      </c>
      <c r="Z179" s="761" t="s">
        <v>62</v>
      </c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2:39">
      <c r="B180" s="1490" t="s">
        <v>125</v>
      </c>
      <c r="C180" s="748" t="s">
        <v>1792</v>
      </c>
      <c r="D180" s="12" t="s">
        <v>2097</v>
      </c>
      <c r="E180" s="11" t="s">
        <v>2098</v>
      </c>
      <c r="F180" s="749">
        <v>16</v>
      </c>
      <c r="G180" s="3" t="s">
        <v>1041</v>
      </c>
      <c r="H180" s="3"/>
      <c r="I180" s="3">
        <v>463.8</v>
      </c>
      <c r="J180" s="3"/>
      <c r="K180" s="3" t="s">
        <v>2094</v>
      </c>
      <c r="L180" s="761">
        <v>44565</v>
      </c>
      <c r="M180" s="761"/>
      <c r="N180" s="761"/>
      <c r="O180" s="761" t="s">
        <v>62</v>
      </c>
      <c r="P180" s="762"/>
      <c r="Q180" s="3"/>
      <c r="R180" s="3"/>
      <c r="S180" s="3" t="s">
        <v>1547</v>
      </c>
      <c r="T180" s="3"/>
      <c r="U180" s="3">
        <v>329.3</v>
      </c>
      <c r="V180" s="4"/>
      <c r="W180" s="761"/>
      <c r="X180" s="4" t="str">
        <f t="shared" si="0"/>
        <v>December</v>
      </c>
      <c r="Y180" s="761">
        <v>44561</v>
      </c>
      <c r="Z180" s="761" t="s">
        <v>62</v>
      </c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2:39">
      <c r="B181" s="1490" t="s">
        <v>125</v>
      </c>
      <c r="C181" s="748" t="s">
        <v>1792</v>
      </c>
      <c r="D181" s="12" t="s">
        <v>2099</v>
      </c>
      <c r="E181" s="11" t="s">
        <v>2100</v>
      </c>
      <c r="F181" s="749">
        <v>17</v>
      </c>
      <c r="G181" s="3" t="s">
        <v>1041</v>
      </c>
      <c r="H181" s="3"/>
      <c r="I181" s="3">
        <v>464.8</v>
      </c>
      <c r="J181" s="3"/>
      <c r="K181" s="3" t="s">
        <v>2094</v>
      </c>
      <c r="L181" s="761">
        <v>44566</v>
      </c>
      <c r="M181" s="761"/>
      <c r="N181" s="761"/>
      <c r="O181" s="761" t="s">
        <v>62</v>
      </c>
      <c r="P181" s="762"/>
      <c r="Q181" s="3"/>
      <c r="R181" s="3"/>
      <c r="S181" s="3" t="s">
        <v>1547</v>
      </c>
      <c r="T181" s="3"/>
      <c r="U181" s="3">
        <v>329.7</v>
      </c>
      <c r="V181" s="4"/>
      <c r="W181" s="761"/>
      <c r="X181" s="4" t="str">
        <f t="shared" si="0"/>
        <v>December</v>
      </c>
      <c r="Y181" s="761">
        <v>44561</v>
      </c>
      <c r="Z181" s="761" t="s">
        <v>62</v>
      </c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2:39">
      <c r="B182" s="1490" t="s">
        <v>125</v>
      </c>
      <c r="C182" s="748" t="s">
        <v>1792</v>
      </c>
      <c r="D182" s="12" t="s">
        <v>2101</v>
      </c>
      <c r="E182" s="11" t="s">
        <v>2102</v>
      </c>
      <c r="F182" s="749">
        <v>18</v>
      </c>
      <c r="G182" s="3" t="s">
        <v>1041</v>
      </c>
      <c r="H182" s="3"/>
      <c r="I182" s="3">
        <v>461.5</v>
      </c>
      <c r="J182" s="3"/>
      <c r="K182" s="3" t="s">
        <v>2094</v>
      </c>
      <c r="L182" s="761">
        <v>44567</v>
      </c>
      <c r="M182" s="761"/>
      <c r="N182" s="761"/>
      <c r="O182" s="761" t="s">
        <v>62</v>
      </c>
      <c r="P182" s="762"/>
      <c r="Q182" s="3"/>
      <c r="R182" s="3"/>
      <c r="S182" s="3" t="s">
        <v>1547</v>
      </c>
      <c r="T182" s="3"/>
      <c r="U182" s="3">
        <v>329.7</v>
      </c>
      <c r="V182" s="4"/>
      <c r="W182" s="761"/>
      <c r="X182" s="4" t="str">
        <f t="shared" si="0"/>
        <v>January</v>
      </c>
      <c r="Y182" s="761">
        <v>44566</v>
      </c>
      <c r="Z182" s="761" t="s">
        <v>62</v>
      </c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2:39">
      <c r="B183" s="1490" t="s">
        <v>125</v>
      </c>
      <c r="C183" s="748" t="s">
        <v>1792</v>
      </c>
      <c r="D183" s="12" t="s">
        <v>2103</v>
      </c>
      <c r="E183" s="11" t="s">
        <v>2104</v>
      </c>
      <c r="F183" s="749">
        <v>19</v>
      </c>
      <c r="G183" s="3" t="s">
        <v>1041</v>
      </c>
      <c r="H183" s="3"/>
      <c r="I183" s="3">
        <v>462.9</v>
      </c>
      <c r="J183" s="3"/>
      <c r="K183" s="3" t="s">
        <v>2094</v>
      </c>
      <c r="L183" s="761">
        <v>44567</v>
      </c>
      <c r="M183" s="761"/>
      <c r="N183" s="761"/>
      <c r="O183" s="761" t="s">
        <v>62</v>
      </c>
      <c r="P183" s="762"/>
      <c r="Q183" s="3"/>
      <c r="R183" s="3"/>
      <c r="S183" s="3" t="s">
        <v>1547</v>
      </c>
      <c r="T183" s="3"/>
      <c r="U183" s="3">
        <v>330</v>
      </c>
      <c r="V183" s="4"/>
      <c r="W183" s="761"/>
      <c r="X183" s="4" t="str">
        <f t="shared" si="0"/>
        <v>January</v>
      </c>
      <c r="Y183" s="761">
        <v>44567</v>
      </c>
      <c r="Z183" s="761" t="s">
        <v>62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2:39">
      <c r="B184" s="1490" t="s">
        <v>125</v>
      </c>
      <c r="C184" s="748" t="s">
        <v>1792</v>
      </c>
      <c r="D184" s="12" t="s">
        <v>2105</v>
      </c>
      <c r="E184" s="12" t="s">
        <v>2106</v>
      </c>
      <c r="F184" s="749">
        <v>20</v>
      </c>
      <c r="G184" s="3" t="s">
        <v>1041</v>
      </c>
      <c r="H184" s="3"/>
      <c r="I184" s="3">
        <v>459.8</v>
      </c>
      <c r="J184" s="3"/>
      <c r="K184" s="3" t="s">
        <v>2094</v>
      </c>
      <c r="L184" s="761">
        <v>44568</v>
      </c>
      <c r="M184" s="761"/>
      <c r="N184" s="761"/>
      <c r="O184" s="761" t="s">
        <v>62</v>
      </c>
      <c r="P184" s="762"/>
      <c r="Q184" s="3"/>
      <c r="R184" s="3"/>
      <c r="S184" s="3" t="s">
        <v>1547</v>
      </c>
      <c r="T184" s="3"/>
      <c r="U184" s="3">
        <v>330.2</v>
      </c>
      <c r="V184" s="4"/>
      <c r="W184" s="761"/>
      <c r="X184" s="4" t="str">
        <f t="shared" si="0"/>
        <v>January</v>
      </c>
      <c r="Y184" s="761">
        <v>44568</v>
      </c>
      <c r="Z184" s="761" t="s">
        <v>62</v>
      </c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2:39">
      <c r="B185" s="1490" t="s">
        <v>125</v>
      </c>
      <c r="C185" s="748" t="s">
        <v>1792</v>
      </c>
      <c r="D185" s="12" t="s">
        <v>2107</v>
      </c>
      <c r="E185" s="12" t="s">
        <v>2108</v>
      </c>
      <c r="F185" s="749">
        <v>21</v>
      </c>
      <c r="G185" s="3" t="s">
        <v>1041</v>
      </c>
      <c r="H185" s="3"/>
      <c r="I185" s="3">
        <v>462.9</v>
      </c>
      <c r="J185" s="3"/>
      <c r="K185" s="3" t="s">
        <v>2094</v>
      </c>
      <c r="L185" s="761">
        <v>44568</v>
      </c>
      <c r="M185" s="761"/>
      <c r="N185" s="761"/>
      <c r="O185" s="761" t="s">
        <v>62</v>
      </c>
      <c r="P185" s="762"/>
      <c r="Q185" s="3"/>
      <c r="R185" s="3"/>
      <c r="S185" s="3" t="s">
        <v>1547</v>
      </c>
      <c r="T185" s="3"/>
      <c r="U185" s="3">
        <v>330.5</v>
      </c>
      <c r="V185" s="4"/>
      <c r="W185" s="761"/>
      <c r="X185" s="4" t="str">
        <f t="shared" si="0"/>
        <v>January</v>
      </c>
      <c r="Y185" s="761">
        <v>44568</v>
      </c>
      <c r="Z185" s="761" t="s">
        <v>62</v>
      </c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2:39">
      <c r="B186" s="1490" t="s">
        <v>125</v>
      </c>
      <c r="C186" s="748" t="s">
        <v>1792</v>
      </c>
      <c r="D186" s="12" t="s">
        <v>2109</v>
      </c>
      <c r="E186" s="12" t="s">
        <v>2110</v>
      </c>
      <c r="F186" s="749">
        <v>22</v>
      </c>
      <c r="G186" s="3" t="s">
        <v>1041</v>
      </c>
      <c r="H186" s="3"/>
      <c r="I186" s="3">
        <v>463.8</v>
      </c>
      <c r="J186" s="3"/>
      <c r="K186" s="3" t="s">
        <v>2094</v>
      </c>
      <c r="L186" s="761">
        <v>44571</v>
      </c>
      <c r="M186" s="761"/>
      <c r="N186" s="761"/>
      <c r="O186" s="761" t="s">
        <v>62</v>
      </c>
      <c r="P186" s="762"/>
      <c r="Q186" s="3"/>
      <c r="R186" s="3"/>
      <c r="S186" s="3" t="s">
        <v>1547</v>
      </c>
      <c r="T186" s="3"/>
      <c r="U186" s="3">
        <v>330.3</v>
      </c>
      <c r="V186" s="4"/>
      <c r="W186" s="761"/>
      <c r="X186" s="4" t="str">
        <f t="shared" si="0"/>
        <v>January</v>
      </c>
      <c r="Y186" s="761">
        <v>44568</v>
      </c>
      <c r="Z186" s="761" t="s">
        <v>62</v>
      </c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2:39">
      <c r="B187" s="1490" t="s">
        <v>125</v>
      </c>
      <c r="C187" s="748" t="s">
        <v>1792</v>
      </c>
      <c r="D187" s="12" t="s">
        <v>2111</v>
      </c>
      <c r="E187" s="12" t="s">
        <v>2112</v>
      </c>
      <c r="F187" s="749">
        <v>23</v>
      </c>
      <c r="G187" s="3" t="s">
        <v>1041</v>
      </c>
      <c r="H187" s="3"/>
      <c r="I187" s="3">
        <v>464.8</v>
      </c>
      <c r="J187" s="3"/>
      <c r="K187" s="3" t="s">
        <v>2094</v>
      </c>
      <c r="L187" s="761">
        <v>44571</v>
      </c>
      <c r="M187" s="761"/>
      <c r="N187" s="761"/>
      <c r="O187" s="761" t="s">
        <v>62</v>
      </c>
      <c r="P187" s="762"/>
      <c r="Q187" s="3"/>
      <c r="R187" s="3"/>
      <c r="S187" s="3" t="s">
        <v>1547</v>
      </c>
      <c r="T187" s="3"/>
      <c r="U187" s="3">
        <v>330.2</v>
      </c>
      <c r="V187" s="4"/>
      <c r="W187" s="761"/>
      <c r="X187" s="4" t="str">
        <f t="shared" si="0"/>
        <v>January</v>
      </c>
      <c r="Y187" s="761">
        <v>44571</v>
      </c>
      <c r="Z187" s="761" t="s">
        <v>62</v>
      </c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2:39">
      <c r="B188" s="1490" t="s">
        <v>125</v>
      </c>
      <c r="C188" s="748" t="s">
        <v>1792</v>
      </c>
      <c r="D188" s="12" t="s">
        <v>2113</v>
      </c>
      <c r="E188" s="12" t="s">
        <v>2114</v>
      </c>
      <c r="F188" s="749">
        <v>24</v>
      </c>
      <c r="G188" s="3" t="s">
        <v>1041</v>
      </c>
      <c r="H188" s="3"/>
      <c r="I188" s="3">
        <v>463.1</v>
      </c>
      <c r="J188" s="3"/>
      <c r="K188" s="3" t="s">
        <v>2094</v>
      </c>
      <c r="L188" s="761">
        <v>44571</v>
      </c>
      <c r="M188" s="761"/>
      <c r="N188" s="761"/>
      <c r="O188" s="761" t="s">
        <v>62</v>
      </c>
      <c r="P188" s="762"/>
      <c r="Q188" s="3"/>
      <c r="R188" s="3"/>
      <c r="S188" s="3" t="s">
        <v>1547</v>
      </c>
      <c r="T188" s="3"/>
      <c r="U188" s="3">
        <v>330.2</v>
      </c>
      <c r="V188" s="4"/>
      <c r="W188" s="761"/>
      <c r="X188" s="4" t="str">
        <f t="shared" si="0"/>
        <v>January</v>
      </c>
      <c r="Y188" s="761">
        <v>44572</v>
      </c>
      <c r="Z188" s="761" t="s">
        <v>62</v>
      </c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2:39">
      <c r="B189" s="1490" t="s">
        <v>125</v>
      </c>
      <c r="C189" s="748" t="s">
        <v>1792</v>
      </c>
      <c r="D189" s="12" t="s">
        <v>2115</v>
      </c>
      <c r="E189" s="12" t="s">
        <v>2116</v>
      </c>
      <c r="F189" s="749">
        <v>25</v>
      </c>
      <c r="G189" s="3" t="s">
        <v>1041</v>
      </c>
      <c r="H189" s="3"/>
      <c r="I189" s="3">
        <v>464.6</v>
      </c>
      <c r="J189" s="3"/>
      <c r="K189" s="3" t="s">
        <v>2094</v>
      </c>
      <c r="L189" s="761">
        <v>44571</v>
      </c>
      <c r="M189" s="761"/>
      <c r="N189" s="761"/>
      <c r="O189" s="761" t="s">
        <v>62</v>
      </c>
      <c r="P189" s="762"/>
      <c r="Q189" s="3"/>
      <c r="R189" s="3"/>
      <c r="S189" s="3" t="s">
        <v>1547</v>
      </c>
      <c r="T189" s="3"/>
      <c r="U189" s="3">
        <v>330.3</v>
      </c>
      <c r="V189" s="4"/>
      <c r="W189" s="761"/>
      <c r="X189" s="4" t="str">
        <f t="shared" si="0"/>
        <v>January</v>
      </c>
      <c r="Y189" s="761">
        <v>44572</v>
      </c>
      <c r="Z189" s="761" t="s">
        <v>62</v>
      </c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2:39">
      <c r="B190" s="1490" t="s">
        <v>125</v>
      </c>
      <c r="C190" s="748" t="s">
        <v>1792</v>
      </c>
      <c r="D190" s="12" t="s">
        <v>2117</v>
      </c>
      <c r="E190" s="12" t="s">
        <v>2118</v>
      </c>
      <c r="F190" s="749">
        <v>26</v>
      </c>
      <c r="G190" s="3" t="s">
        <v>1041</v>
      </c>
      <c r="H190" s="3"/>
      <c r="I190" s="3">
        <v>461.4</v>
      </c>
      <c r="J190" s="3"/>
      <c r="K190" s="3" t="s">
        <v>2094</v>
      </c>
      <c r="L190" s="761">
        <v>44572</v>
      </c>
      <c r="M190" s="761"/>
      <c r="N190" s="761"/>
      <c r="O190" s="761" t="s">
        <v>62</v>
      </c>
      <c r="P190" s="762"/>
      <c r="Q190" s="3"/>
      <c r="R190" s="3"/>
      <c r="S190" s="3" t="s">
        <v>1547</v>
      </c>
      <c r="T190" s="3"/>
      <c r="U190" s="3">
        <v>330.3</v>
      </c>
      <c r="V190" s="4"/>
      <c r="W190" s="761"/>
      <c r="X190" s="4" t="str">
        <f t="shared" si="0"/>
        <v>January</v>
      </c>
      <c r="Y190" s="761">
        <v>44572</v>
      </c>
      <c r="Z190" s="761" t="s">
        <v>62</v>
      </c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2:39">
      <c r="B191" s="1490" t="s">
        <v>125</v>
      </c>
      <c r="C191" s="748" t="s">
        <v>1792</v>
      </c>
      <c r="D191" s="12" t="s">
        <v>2119</v>
      </c>
      <c r="E191" s="12" t="s">
        <v>2120</v>
      </c>
      <c r="F191" s="749">
        <v>27</v>
      </c>
      <c r="G191" s="3" t="s">
        <v>1041</v>
      </c>
      <c r="H191" s="3"/>
      <c r="I191" s="3">
        <v>463.1</v>
      </c>
      <c r="J191" s="3"/>
      <c r="K191" s="3" t="s">
        <v>2094</v>
      </c>
      <c r="L191" s="761">
        <v>44572</v>
      </c>
      <c r="M191" s="761"/>
      <c r="N191" s="761"/>
      <c r="O191" s="761" t="s">
        <v>62</v>
      </c>
      <c r="P191" s="762"/>
      <c r="Q191" s="3"/>
      <c r="R191" s="3"/>
      <c r="S191" s="3" t="s">
        <v>1547</v>
      </c>
      <c r="T191" s="3"/>
      <c r="U191" s="3">
        <v>330</v>
      </c>
      <c r="V191" s="4"/>
      <c r="W191" s="761"/>
      <c r="X191" s="4" t="str">
        <f t="shared" si="0"/>
        <v>January</v>
      </c>
      <c r="Y191" s="761">
        <v>44572</v>
      </c>
      <c r="Z191" s="761" t="s">
        <v>62</v>
      </c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2:39">
      <c r="B192" s="1490" t="s">
        <v>125</v>
      </c>
      <c r="C192" s="748" t="s">
        <v>1792</v>
      </c>
      <c r="D192" s="12" t="s">
        <v>2121</v>
      </c>
      <c r="E192" s="12" t="s">
        <v>2122</v>
      </c>
      <c r="F192" s="749">
        <v>28</v>
      </c>
      <c r="G192" s="3" t="s">
        <v>1041</v>
      </c>
      <c r="H192" s="3"/>
      <c r="I192" s="3">
        <f>156.1+152.6+156.8</f>
        <v>465.5</v>
      </c>
      <c r="J192" s="3"/>
      <c r="K192" s="3" t="s">
        <v>2094</v>
      </c>
      <c r="L192" s="761">
        <v>44572</v>
      </c>
      <c r="M192" s="761"/>
      <c r="N192" s="761"/>
      <c r="O192" s="761" t="s">
        <v>62</v>
      </c>
      <c r="P192" s="762"/>
      <c r="Q192" s="3"/>
      <c r="R192" s="3"/>
      <c r="S192" s="3" t="s">
        <v>1547</v>
      </c>
      <c r="T192" s="3"/>
      <c r="U192" s="3">
        <v>329.9</v>
      </c>
      <c r="V192" s="4"/>
      <c r="W192" s="761"/>
      <c r="X192" s="4" t="str">
        <f t="shared" si="0"/>
        <v>January</v>
      </c>
      <c r="Y192" s="761">
        <v>44573</v>
      </c>
      <c r="Z192" s="761" t="s">
        <v>62</v>
      </c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2:39" s="705" customFormat="1" ht="18" customHeight="1">
      <c r="B193" s="731"/>
      <c r="C193" s="736" t="s">
        <v>1723</v>
      </c>
      <c r="D193" s="737"/>
      <c r="E193" s="738"/>
      <c r="F193" s="739"/>
      <c r="G193" s="740"/>
      <c r="H193" s="740"/>
      <c r="I193" s="740"/>
      <c r="J193" s="756"/>
      <c r="K193" s="756"/>
      <c r="L193" s="740"/>
      <c r="M193" s="740"/>
      <c r="N193" s="740"/>
      <c r="O193" s="757"/>
      <c r="P193" s="758"/>
      <c r="Q193" s="740"/>
      <c r="R193" s="740"/>
      <c r="S193" s="740"/>
      <c r="T193" s="740"/>
      <c r="U193" s="740"/>
      <c r="V193" s="740"/>
      <c r="W193" s="740"/>
      <c r="X193" s="740"/>
      <c r="Y193" s="740"/>
      <c r="Z193" s="757"/>
      <c r="AA193" s="771"/>
      <c r="AB193" s="771"/>
      <c r="AC193" s="771"/>
      <c r="AD193" s="771"/>
      <c r="AE193" s="771"/>
      <c r="AF193" s="771"/>
      <c r="AG193" s="775"/>
      <c r="AH193" s="771"/>
      <c r="AI193" s="771"/>
      <c r="AJ193" s="771"/>
      <c r="AK193" s="771"/>
      <c r="AL193" s="771"/>
      <c r="AM193" s="776"/>
    </row>
    <row r="194" spans="2:39">
      <c r="B194" s="1490" t="s">
        <v>163</v>
      </c>
      <c r="C194" s="748" t="s">
        <v>1792</v>
      </c>
      <c r="D194" s="12" t="s">
        <v>2123</v>
      </c>
      <c r="E194" s="779" t="s">
        <v>2124</v>
      </c>
      <c r="F194" s="749">
        <v>1</v>
      </c>
      <c r="G194" s="3" t="s">
        <v>1041</v>
      </c>
      <c r="H194" s="3"/>
      <c r="I194" s="3">
        <v>463.2</v>
      </c>
      <c r="J194" s="3"/>
      <c r="K194" s="3" t="s">
        <v>2125</v>
      </c>
      <c r="L194" s="761">
        <v>44595</v>
      </c>
      <c r="M194" s="761"/>
      <c r="N194" s="761"/>
      <c r="O194" s="761" t="s">
        <v>62</v>
      </c>
      <c r="P194" s="762" t="s">
        <v>2126</v>
      </c>
      <c r="Q194" s="3"/>
      <c r="R194" s="3"/>
      <c r="S194" s="3" t="s">
        <v>1547</v>
      </c>
      <c r="T194" s="3"/>
      <c r="U194" s="3">
        <v>329.9</v>
      </c>
      <c r="V194" s="4"/>
      <c r="W194" s="759"/>
      <c r="X194" s="4" t="str">
        <f t="shared" si="0"/>
        <v>January</v>
      </c>
      <c r="Y194" s="759">
        <v>44592</v>
      </c>
      <c r="Z194" s="761" t="s">
        <v>62</v>
      </c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2:39">
      <c r="B195" s="1490" t="s">
        <v>163</v>
      </c>
      <c r="C195" s="748" t="s">
        <v>1792</v>
      </c>
      <c r="D195" s="12" t="s">
        <v>2127</v>
      </c>
      <c r="E195" s="779" t="s">
        <v>2128</v>
      </c>
      <c r="F195" s="749">
        <v>2</v>
      </c>
      <c r="G195" s="3" t="s">
        <v>1041</v>
      </c>
      <c r="H195" s="3"/>
      <c r="I195" s="3">
        <v>462.3</v>
      </c>
      <c r="J195" s="3"/>
      <c r="K195" s="3" t="s">
        <v>2125</v>
      </c>
      <c r="L195" s="761">
        <v>44595</v>
      </c>
      <c r="M195" s="761"/>
      <c r="N195" s="761"/>
      <c r="O195" s="761" t="s">
        <v>62</v>
      </c>
      <c r="P195" s="762" t="s">
        <v>2129</v>
      </c>
      <c r="Q195" s="3"/>
      <c r="R195" s="3"/>
      <c r="S195" s="3" t="s">
        <v>1547</v>
      </c>
      <c r="T195" s="3"/>
      <c r="U195" s="3">
        <v>329.9</v>
      </c>
      <c r="V195" s="4"/>
      <c r="W195" s="759"/>
      <c r="X195" s="4" t="str">
        <f t="shared" si="0"/>
        <v>February</v>
      </c>
      <c r="Y195" s="759">
        <v>44595</v>
      </c>
      <c r="Z195" s="761" t="s">
        <v>62</v>
      </c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2:39">
      <c r="B196" s="1490" t="s">
        <v>163</v>
      </c>
      <c r="C196" s="748" t="s">
        <v>1792</v>
      </c>
      <c r="D196" s="12" t="s">
        <v>2130</v>
      </c>
      <c r="E196" s="779" t="s">
        <v>2131</v>
      </c>
      <c r="F196" s="749">
        <v>3</v>
      </c>
      <c r="G196" s="3" t="s">
        <v>1041</v>
      </c>
      <c r="H196" s="3"/>
      <c r="I196" s="3">
        <v>465</v>
      </c>
      <c r="J196" s="3"/>
      <c r="K196" s="3" t="s">
        <v>2125</v>
      </c>
      <c r="L196" s="761">
        <v>44595</v>
      </c>
      <c r="M196" s="761"/>
      <c r="N196" s="761"/>
      <c r="O196" s="761" t="s">
        <v>62</v>
      </c>
      <c r="P196" s="762" t="s">
        <v>2132</v>
      </c>
      <c r="Q196" s="3"/>
      <c r="R196" s="3"/>
      <c r="S196" s="3" t="s">
        <v>1547</v>
      </c>
      <c r="T196" s="3"/>
      <c r="U196" s="3">
        <v>330.3</v>
      </c>
      <c r="V196" s="4"/>
      <c r="W196" s="759"/>
      <c r="X196" s="4" t="str">
        <f t="shared" si="0"/>
        <v>February</v>
      </c>
      <c r="Y196" s="759">
        <v>44595</v>
      </c>
      <c r="Z196" s="761" t="s">
        <v>62</v>
      </c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2:39">
      <c r="B197" s="1490" t="s">
        <v>163</v>
      </c>
      <c r="C197" s="748" t="s">
        <v>1792</v>
      </c>
      <c r="D197" s="12" t="s">
        <v>2133</v>
      </c>
      <c r="E197" s="779" t="s">
        <v>2134</v>
      </c>
      <c r="F197" s="749">
        <v>4</v>
      </c>
      <c r="G197" s="3" t="s">
        <v>1041</v>
      </c>
      <c r="H197" s="3"/>
      <c r="I197" s="3">
        <v>468.5</v>
      </c>
      <c r="J197" s="3"/>
      <c r="K197" s="3" t="s">
        <v>2125</v>
      </c>
      <c r="L197" s="761">
        <v>44595</v>
      </c>
      <c r="M197" s="761"/>
      <c r="N197" s="761"/>
      <c r="O197" s="761" t="s">
        <v>62</v>
      </c>
      <c r="P197" s="762" t="s">
        <v>2135</v>
      </c>
      <c r="Q197" s="3"/>
      <c r="R197" s="3"/>
      <c r="S197" s="3" t="s">
        <v>1547</v>
      </c>
      <c r="T197" s="3"/>
      <c r="U197" s="3">
        <v>330.3</v>
      </c>
      <c r="V197" s="4"/>
      <c r="W197" s="759"/>
      <c r="X197" s="4" t="str">
        <f t="shared" si="0"/>
        <v>February</v>
      </c>
      <c r="Y197" s="759">
        <v>44595</v>
      </c>
      <c r="Z197" s="761" t="s">
        <v>62</v>
      </c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2:39">
      <c r="B198" s="1490" t="s">
        <v>163</v>
      </c>
      <c r="C198" s="748" t="s">
        <v>1792</v>
      </c>
      <c r="D198" s="12" t="s">
        <v>2136</v>
      </c>
      <c r="E198" s="12" t="s">
        <v>2137</v>
      </c>
      <c r="F198" s="749">
        <v>5</v>
      </c>
      <c r="G198" s="3" t="s">
        <v>1041</v>
      </c>
      <c r="H198" s="3"/>
      <c r="I198" s="3">
        <v>460.8</v>
      </c>
      <c r="J198" s="3"/>
      <c r="K198" s="3" t="s">
        <v>2125</v>
      </c>
      <c r="L198" s="761">
        <v>44599</v>
      </c>
      <c r="M198" s="761"/>
      <c r="N198" s="761"/>
      <c r="O198" s="761" t="s">
        <v>62</v>
      </c>
      <c r="P198" s="762" t="s">
        <v>2138</v>
      </c>
      <c r="Q198" s="3"/>
      <c r="R198" s="3"/>
      <c r="S198" s="3" t="s">
        <v>1547</v>
      </c>
      <c r="T198" s="3"/>
      <c r="U198" s="3">
        <v>330.4</v>
      </c>
      <c r="V198" s="4"/>
      <c r="W198" s="759"/>
      <c r="X198" s="4" t="str">
        <f t="shared" si="0"/>
        <v>February</v>
      </c>
      <c r="Y198" s="759">
        <v>44596</v>
      </c>
      <c r="Z198" s="761" t="s">
        <v>62</v>
      </c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2:39">
      <c r="B199" s="1490" t="s">
        <v>163</v>
      </c>
      <c r="C199" s="748" t="s">
        <v>1792</v>
      </c>
      <c r="D199" s="12" t="s">
        <v>2139</v>
      </c>
      <c r="E199" s="12" t="s">
        <v>2140</v>
      </c>
      <c r="F199" s="749">
        <v>6</v>
      </c>
      <c r="G199" s="3" t="s">
        <v>1041</v>
      </c>
      <c r="H199" s="3"/>
      <c r="I199" s="3">
        <v>465</v>
      </c>
      <c r="J199" s="3"/>
      <c r="K199" s="3" t="s">
        <v>2125</v>
      </c>
      <c r="L199" s="761">
        <v>44599</v>
      </c>
      <c r="M199" s="761"/>
      <c r="N199" s="761"/>
      <c r="O199" s="761" t="s">
        <v>62</v>
      </c>
      <c r="P199" s="762" t="s">
        <v>2141</v>
      </c>
      <c r="Q199" s="3"/>
      <c r="R199" s="3"/>
      <c r="S199" s="3" t="s">
        <v>1547</v>
      </c>
      <c r="T199" s="3"/>
      <c r="U199" s="3">
        <v>330.2</v>
      </c>
      <c r="V199" s="4"/>
      <c r="W199" s="759"/>
      <c r="X199" s="4" t="str">
        <f t="shared" si="0"/>
        <v>February</v>
      </c>
      <c r="Y199" s="759">
        <v>44596</v>
      </c>
      <c r="Z199" s="761" t="s">
        <v>62</v>
      </c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2:39">
      <c r="B200" s="1490" t="s">
        <v>163</v>
      </c>
      <c r="C200" s="748" t="s">
        <v>1792</v>
      </c>
      <c r="D200" s="12" t="s">
        <v>2142</v>
      </c>
      <c r="E200" s="12" t="s">
        <v>2143</v>
      </c>
      <c r="F200" s="749">
        <v>7</v>
      </c>
      <c r="G200" s="3" t="s">
        <v>1041</v>
      </c>
      <c r="H200" s="3"/>
      <c r="I200" s="3">
        <v>467.4</v>
      </c>
      <c r="J200" s="3"/>
      <c r="K200" s="3" t="s">
        <v>2125</v>
      </c>
      <c r="L200" s="761">
        <v>44599</v>
      </c>
      <c r="M200" s="761"/>
      <c r="N200" s="761"/>
      <c r="O200" s="761" t="s">
        <v>62</v>
      </c>
      <c r="P200" s="762" t="s">
        <v>2144</v>
      </c>
      <c r="Q200" s="3"/>
      <c r="R200" s="3"/>
      <c r="S200" s="3" t="s">
        <v>1547</v>
      </c>
      <c r="T200" s="3"/>
      <c r="U200" s="3">
        <v>330</v>
      </c>
      <c r="V200" s="4"/>
      <c r="W200" s="759"/>
      <c r="X200" s="4" t="str">
        <f t="shared" si="0"/>
        <v>February</v>
      </c>
      <c r="Y200" s="759">
        <v>44596</v>
      </c>
      <c r="Z200" s="761" t="s">
        <v>62</v>
      </c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2:39">
      <c r="B201" s="1490" t="s">
        <v>163</v>
      </c>
      <c r="C201" s="748" t="s">
        <v>1792</v>
      </c>
      <c r="D201" s="12" t="s">
        <v>2145</v>
      </c>
      <c r="E201" s="12" t="s">
        <v>2146</v>
      </c>
      <c r="F201" s="749">
        <v>8</v>
      </c>
      <c r="G201" s="3" t="s">
        <v>932</v>
      </c>
      <c r="H201" s="3"/>
      <c r="I201" s="3">
        <v>462.3</v>
      </c>
      <c r="J201" s="3"/>
      <c r="K201" s="3" t="s">
        <v>2125</v>
      </c>
      <c r="L201" s="761">
        <v>44601</v>
      </c>
      <c r="M201" s="761"/>
      <c r="N201" s="761"/>
      <c r="O201" s="761" t="s">
        <v>62</v>
      </c>
      <c r="P201" s="762" t="s">
        <v>2147</v>
      </c>
      <c r="Q201" s="3"/>
      <c r="R201" s="3"/>
      <c r="S201" s="3" t="s">
        <v>1547</v>
      </c>
      <c r="T201" s="3"/>
      <c r="U201" s="3">
        <v>329.7</v>
      </c>
      <c r="V201" s="4"/>
      <c r="W201" s="759"/>
      <c r="X201" s="4" t="str">
        <f t="shared" si="0"/>
        <v>February</v>
      </c>
      <c r="Y201" s="759">
        <v>44599</v>
      </c>
      <c r="Z201" s="761" t="s">
        <v>62</v>
      </c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2:39">
      <c r="B202" s="1490" t="s">
        <v>163</v>
      </c>
      <c r="C202" s="748" t="s">
        <v>1792</v>
      </c>
      <c r="D202" s="12" t="s">
        <v>2148</v>
      </c>
      <c r="E202" s="12" t="s">
        <v>2149</v>
      </c>
      <c r="F202" s="749">
        <v>9</v>
      </c>
      <c r="G202" s="3" t="s">
        <v>932</v>
      </c>
      <c r="H202" s="3"/>
      <c r="I202" s="3">
        <v>465</v>
      </c>
      <c r="J202" s="3"/>
      <c r="K202" s="3" t="s">
        <v>2125</v>
      </c>
      <c r="L202" s="761">
        <v>44601</v>
      </c>
      <c r="M202" s="761"/>
      <c r="N202" s="761"/>
      <c r="O202" s="761" t="s">
        <v>62</v>
      </c>
      <c r="P202" s="762" t="s">
        <v>2150</v>
      </c>
      <c r="Q202" s="3"/>
      <c r="R202" s="3"/>
      <c r="S202" s="3" t="s">
        <v>1547</v>
      </c>
      <c r="T202" s="3"/>
      <c r="U202" s="3">
        <v>330</v>
      </c>
      <c r="V202" s="4"/>
      <c r="W202" s="759"/>
      <c r="X202" s="4" t="str">
        <f t="shared" si="0"/>
        <v>February</v>
      </c>
      <c r="Y202" s="759">
        <v>44600</v>
      </c>
      <c r="Z202" s="761" t="s">
        <v>62</v>
      </c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2:39">
      <c r="B203" s="1490" t="s">
        <v>163</v>
      </c>
      <c r="C203" s="748" t="s">
        <v>1792</v>
      </c>
      <c r="D203" s="12" t="s">
        <v>2151</v>
      </c>
      <c r="E203" s="12" t="s">
        <v>2152</v>
      </c>
      <c r="F203" s="749">
        <v>10</v>
      </c>
      <c r="G203" s="3" t="s">
        <v>932</v>
      </c>
      <c r="H203" s="3"/>
      <c r="I203" s="3">
        <v>465.6</v>
      </c>
      <c r="J203" s="3"/>
      <c r="K203" s="3" t="s">
        <v>2125</v>
      </c>
      <c r="L203" s="761">
        <v>44602</v>
      </c>
      <c r="M203" s="761"/>
      <c r="N203" s="761"/>
      <c r="O203" s="761" t="s">
        <v>62</v>
      </c>
      <c r="P203" s="762" t="s">
        <v>2153</v>
      </c>
      <c r="Q203" s="3"/>
      <c r="R203" s="3"/>
      <c r="S203" s="3" t="s">
        <v>1547</v>
      </c>
      <c r="T203" s="3"/>
      <c r="U203" s="3">
        <v>330</v>
      </c>
      <c r="V203" s="4"/>
      <c r="W203" s="759"/>
      <c r="X203" s="4" t="str">
        <f t="shared" si="0"/>
        <v>February</v>
      </c>
      <c r="Y203" s="759">
        <v>44600</v>
      </c>
      <c r="Z203" s="761" t="s">
        <v>62</v>
      </c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2:39" s="705" customFormat="1" ht="18" customHeight="1">
      <c r="B204" s="731"/>
      <c r="C204" s="736" t="s">
        <v>1716</v>
      </c>
      <c r="D204" s="737"/>
      <c r="E204" s="738"/>
      <c r="F204" s="739"/>
      <c r="G204" s="740"/>
      <c r="H204" s="740"/>
      <c r="I204" s="740"/>
      <c r="J204" s="756"/>
      <c r="K204" s="756"/>
      <c r="L204" s="740"/>
      <c r="M204" s="740"/>
      <c r="N204" s="740"/>
      <c r="O204" s="757"/>
      <c r="P204" s="758"/>
      <c r="Q204" s="740"/>
      <c r="R204" s="740"/>
      <c r="S204" s="740"/>
      <c r="T204" s="740"/>
      <c r="U204" s="740"/>
      <c r="V204" s="740"/>
      <c r="W204" s="740"/>
      <c r="X204" s="740"/>
      <c r="Y204" s="740"/>
      <c r="Z204" s="757"/>
      <c r="AA204" s="771"/>
      <c r="AB204" s="771"/>
      <c r="AC204" s="771"/>
      <c r="AD204" s="771"/>
      <c r="AE204" s="771"/>
      <c r="AF204" s="771"/>
      <c r="AG204" s="775"/>
      <c r="AH204" s="771"/>
      <c r="AI204" s="771"/>
      <c r="AJ204" s="771"/>
      <c r="AK204" s="771"/>
      <c r="AL204" s="771"/>
      <c r="AM204" s="776"/>
    </row>
    <row r="205" spans="2:39">
      <c r="B205" s="747" t="s">
        <v>213</v>
      </c>
      <c r="C205" s="748" t="s">
        <v>1792</v>
      </c>
      <c r="D205" s="12" t="s">
        <v>2154</v>
      </c>
      <c r="E205" s="12" t="s">
        <v>2155</v>
      </c>
      <c r="F205" s="749">
        <v>1</v>
      </c>
      <c r="G205" s="3" t="s">
        <v>128</v>
      </c>
      <c r="H205" s="3"/>
      <c r="I205" s="3">
        <v>462.9</v>
      </c>
      <c r="J205" s="3"/>
      <c r="K205" s="3" t="s">
        <v>2125</v>
      </c>
      <c r="L205" s="761">
        <v>44608</v>
      </c>
      <c r="M205" s="761"/>
      <c r="N205" s="761"/>
      <c r="O205" s="761" t="s">
        <v>62</v>
      </c>
      <c r="P205" s="762" t="s">
        <v>2156</v>
      </c>
      <c r="Q205" s="3"/>
      <c r="R205" s="3"/>
      <c r="S205" s="3" t="s">
        <v>1547</v>
      </c>
      <c r="T205" s="3"/>
      <c r="U205" s="3">
        <v>329.9</v>
      </c>
      <c r="V205" s="4"/>
      <c r="W205" s="761"/>
      <c r="X205" s="4" t="str">
        <f t="shared" si="0"/>
        <v>February</v>
      </c>
      <c r="Y205" s="761">
        <v>44608</v>
      </c>
      <c r="Z205" s="761" t="s">
        <v>62</v>
      </c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2:39">
      <c r="B206" s="747" t="s">
        <v>213</v>
      </c>
      <c r="C206" s="748" t="s">
        <v>1792</v>
      </c>
      <c r="D206" s="12" t="s">
        <v>2157</v>
      </c>
      <c r="E206" s="12" t="s">
        <v>2158</v>
      </c>
      <c r="F206" s="749">
        <v>2</v>
      </c>
      <c r="G206" s="3" t="s">
        <v>128</v>
      </c>
      <c r="H206" s="3"/>
      <c r="I206" s="3">
        <v>468.3</v>
      </c>
      <c r="J206" s="3"/>
      <c r="K206" s="3" t="s">
        <v>2125</v>
      </c>
      <c r="L206" s="761">
        <v>44608</v>
      </c>
      <c r="M206" s="761"/>
      <c r="N206" s="761"/>
      <c r="O206" s="761" t="s">
        <v>62</v>
      </c>
      <c r="P206" s="762" t="s">
        <v>2159</v>
      </c>
      <c r="Q206" s="3"/>
      <c r="R206" s="3"/>
      <c r="S206" s="3" t="s">
        <v>1547</v>
      </c>
      <c r="T206" s="3"/>
      <c r="U206" s="3">
        <v>329.9</v>
      </c>
      <c r="V206" s="4"/>
      <c r="W206" s="761"/>
      <c r="X206" s="4" t="str">
        <f t="shared" si="0"/>
        <v>February</v>
      </c>
      <c r="Y206" s="761">
        <v>44608</v>
      </c>
      <c r="Z206" s="761" t="s">
        <v>62</v>
      </c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2:39">
      <c r="B207" s="747" t="s">
        <v>213</v>
      </c>
      <c r="C207" s="748" t="s">
        <v>1792</v>
      </c>
      <c r="D207" s="12" t="s">
        <v>2160</v>
      </c>
      <c r="E207" s="12" t="s">
        <v>2161</v>
      </c>
      <c r="F207" s="749">
        <v>3</v>
      </c>
      <c r="G207" s="3" t="s">
        <v>128</v>
      </c>
      <c r="H207" s="3"/>
      <c r="I207" s="3">
        <v>468.8</v>
      </c>
      <c r="J207" s="3"/>
      <c r="K207" s="3" t="s">
        <v>2125</v>
      </c>
      <c r="L207" s="761">
        <v>44608</v>
      </c>
      <c r="M207" s="761"/>
      <c r="N207" s="761"/>
      <c r="O207" s="761" t="s">
        <v>62</v>
      </c>
      <c r="P207" s="762" t="s">
        <v>2162</v>
      </c>
      <c r="Q207" s="3"/>
      <c r="R207" s="3"/>
      <c r="S207" s="3" t="s">
        <v>1547</v>
      </c>
      <c r="T207" s="3"/>
      <c r="U207" s="3">
        <v>329.6</v>
      </c>
      <c r="V207" s="4"/>
      <c r="W207" s="761"/>
      <c r="X207" s="4" t="str">
        <f t="shared" si="0"/>
        <v>February</v>
      </c>
      <c r="Y207" s="761">
        <v>44609</v>
      </c>
      <c r="Z207" s="761" t="s">
        <v>62</v>
      </c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2:39">
      <c r="B208" s="747" t="s">
        <v>213</v>
      </c>
      <c r="C208" s="748" t="s">
        <v>1792</v>
      </c>
      <c r="D208" s="12" t="s">
        <v>2163</v>
      </c>
      <c r="E208" s="12" t="s">
        <v>2164</v>
      </c>
      <c r="F208" s="749">
        <v>4</v>
      </c>
      <c r="G208" s="3" t="s">
        <v>1041</v>
      </c>
      <c r="H208" s="3"/>
      <c r="I208" s="3">
        <v>463.2</v>
      </c>
      <c r="J208" s="3"/>
      <c r="K208" s="3" t="s">
        <v>2125</v>
      </c>
      <c r="L208" s="761">
        <v>44610</v>
      </c>
      <c r="M208" s="761"/>
      <c r="N208" s="761"/>
      <c r="O208" s="761" t="s">
        <v>62</v>
      </c>
      <c r="P208" s="762" t="s">
        <v>2165</v>
      </c>
      <c r="Q208" s="3"/>
      <c r="R208" s="3"/>
      <c r="S208" s="3" t="s">
        <v>1547</v>
      </c>
      <c r="T208" s="3"/>
      <c r="U208" s="3">
        <v>330</v>
      </c>
      <c r="V208" s="4"/>
      <c r="W208" s="761"/>
      <c r="X208" s="4" t="str">
        <f t="shared" si="0"/>
        <v>February</v>
      </c>
      <c r="Y208" s="761">
        <v>44609</v>
      </c>
      <c r="Z208" s="761" t="s">
        <v>62</v>
      </c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2:39">
      <c r="B209" s="747" t="s">
        <v>213</v>
      </c>
      <c r="C209" s="748" t="s">
        <v>1792</v>
      </c>
      <c r="D209" s="12" t="s">
        <v>2166</v>
      </c>
      <c r="E209" s="12" t="s">
        <v>2167</v>
      </c>
      <c r="F209" s="749">
        <v>5</v>
      </c>
      <c r="G209" s="3" t="s">
        <v>1041</v>
      </c>
      <c r="H209" s="3"/>
      <c r="I209" s="3">
        <v>466.6</v>
      </c>
      <c r="J209" s="3"/>
      <c r="K209" s="3" t="s">
        <v>2125</v>
      </c>
      <c r="L209" s="761">
        <v>44610</v>
      </c>
      <c r="M209" s="761"/>
      <c r="N209" s="761"/>
      <c r="O209" s="761" t="s">
        <v>62</v>
      </c>
      <c r="P209" s="762" t="s">
        <v>2168</v>
      </c>
      <c r="Q209" s="3"/>
      <c r="R209" s="3"/>
      <c r="S209" s="3" t="s">
        <v>1547</v>
      </c>
      <c r="T209" s="3"/>
      <c r="U209" s="3">
        <v>329.9</v>
      </c>
      <c r="V209" s="4"/>
      <c r="W209" s="761"/>
      <c r="X209" s="4" t="str">
        <f t="shared" si="0"/>
        <v>February</v>
      </c>
      <c r="Y209" s="761">
        <v>44609</v>
      </c>
      <c r="Z209" s="761" t="s">
        <v>62</v>
      </c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2:39">
      <c r="B210" s="747" t="s">
        <v>213</v>
      </c>
      <c r="C210" s="748" t="s">
        <v>1792</v>
      </c>
      <c r="D210" s="12" t="s">
        <v>2169</v>
      </c>
      <c r="E210" s="12" t="s">
        <v>2170</v>
      </c>
      <c r="F210" s="749">
        <v>6</v>
      </c>
      <c r="G210" s="3" t="s">
        <v>1041</v>
      </c>
      <c r="H210" s="3"/>
      <c r="I210" s="3">
        <v>462.7</v>
      </c>
      <c r="J210" s="3"/>
      <c r="K210" s="3" t="s">
        <v>2125</v>
      </c>
      <c r="L210" s="761">
        <v>44613</v>
      </c>
      <c r="M210" s="761"/>
      <c r="N210" s="761"/>
      <c r="O210" s="761" t="s">
        <v>62</v>
      </c>
      <c r="P210" s="762" t="s">
        <v>2171</v>
      </c>
      <c r="Q210" s="3"/>
      <c r="R210" s="3"/>
      <c r="S210" s="3" t="s">
        <v>1547</v>
      </c>
      <c r="T210" s="3"/>
      <c r="U210" s="3">
        <v>329.6</v>
      </c>
      <c r="V210" s="4"/>
      <c r="W210" s="761"/>
      <c r="X210" s="4" t="str">
        <f t="shared" si="0"/>
        <v>February</v>
      </c>
      <c r="Y210" s="761">
        <v>44613</v>
      </c>
      <c r="Z210" s="761" t="s">
        <v>62</v>
      </c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2:39">
      <c r="B211" s="747" t="s">
        <v>213</v>
      </c>
      <c r="C211" s="748" t="s">
        <v>1792</v>
      </c>
      <c r="D211" s="12" t="s">
        <v>2172</v>
      </c>
      <c r="E211" s="12" t="s">
        <v>2173</v>
      </c>
      <c r="F211" s="749">
        <v>7</v>
      </c>
      <c r="G211" s="3" t="s">
        <v>1041</v>
      </c>
      <c r="H211" s="3"/>
      <c r="I211" s="3">
        <v>467.1</v>
      </c>
      <c r="J211" s="3"/>
      <c r="K211" s="3" t="s">
        <v>2125</v>
      </c>
      <c r="L211" s="761">
        <v>44614</v>
      </c>
      <c r="M211" s="761"/>
      <c r="N211" s="761"/>
      <c r="O211" s="761" t="s">
        <v>62</v>
      </c>
      <c r="P211" s="762" t="s">
        <v>2174</v>
      </c>
      <c r="Q211" s="3"/>
      <c r="R211" s="3"/>
      <c r="S211" s="3" t="s">
        <v>1547</v>
      </c>
      <c r="T211" s="3"/>
      <c r="U211" s="3">
        <v>330.1</v>
      </c>
      <c r="V211" s="4"/>
      <c r="W211" s="761"/>
      <c r="X211" s="4" t="str">
        <f t="shared" si="0"/>
        <v>February</v>
      </c>
      <c r="Y211" s="761">
        <v>44613</v>
      </c>
      <c r="Z211" s="761" t="s">
        <v>62</v>
      </c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2:39">
      <c r="B212" s="747" t="s">
        <v>213</v>
      </c>
      <c r="C212" s="748" t="s">
        <v>1792</v>
      </c>
      <c r="D212" s="12" t="s">
        <v>2175</v>
      </c>
      <c r="E212" s="12" t="s">
        <v>2176</v>
      </c>
      <c r="F212" s="749">
        <v>8</v>
      </c>
      <c r="G212" s="3" t="s">
        <v>1041</v>
      </c>
      <c r="H212" s="3"/>
      <c r="I212" s="3">
        <v>467.4</v>
      </c>
      <c r="J212" s="3"/>
      <c r="K212" s="3" t="s">
        <v>2125</v>
      </c>
      <c r="L212" s="761">
        <v>44614</v>
      </c>
      <c r="M212" s="761"/>
      <c r="N212" s="761"/>
      <c r="O212" s="761" t="s">
        <v>62</v>
      </c>
      <c r="P212" s="762" t="s">
        <v>2177</v>
      </c>
      <c r="Q212" s="3"/>
      <c r="R212" s="3"/>
      <c r="S212" s="3" t="s">
        <v>1547</v>
      </c>
      <c r="T212" s="3"/>
      <c r="U212" s="3">
        <v>330.1</v>
      </c>
      <c r="V212" s="4"/>
      <c r="W212" s="761"/>
      <c r="X212" s="4" t="str">
        <f t="shared" si="0"/>
        <v>February</v>
      </c>
      <c r="Y212" s="761">
        <v>44613</v>
      </c>
      <c r="Z212" s="761" t="s">
        <v>62</v>
      </c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2:39">
      <c r="B213" s="747" t="s">
        <v>213</v>
      </c>
      <c r="C213" s="748" t="s">
        <v>1792</v>
      </c>
      <c r="D213" s="780" t="s">
        <v>2178</v>
      </c>
      <c r="E213" s="781" t="s">
        <v>2179</v>
      </c>
      <c r="F213" s="749">
        <v>9</v>
      </c>
      <c r="G213" s="3" t="s">
        <v>1041</v>
      </c>
      <c r="H213" s="3"/>
      <c r="I213" s="3">
        <v>462.8</v>
      </c>
      <c r="J213" s="3"/>
      <c r="K213" s="3" t="s">
        <v>2125</v>
      </c>
      <c r="L213" s="761">
        <v>44616</v>
      </c>
      <c r="M213" s="761"/>
      <c r="N213" s="761"/>
      <c r="O213" s="761" t="s">
        <v>62</v>
      </c>
      <c r="P213" s="762"/>
      <c r="Q213" s="3"/>
      <c r="R213" s="3"/>
      <c r="S213" s="3" t="s">
        <v>130</v>
      </c>
      <c r="T213" s="3"/>
      <c r="U213" s="3">
        <v>330</v>
      </c>
      <c r="V213" s="4"/>
      <c r="W213" s="761"/>
      <c r="X213" s="4" t="str">
        <f t="shared" si="0"/>
        <v>February</v>
      </c>
      <c r="Y213" s="761">
        <v>44614</v>
      </c>
      <c r="Z213" s="761" t="s">
        <v>62</v>
      </c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2:39">
      <c r="B214" s="747" t="s">
        <v>213</v>
      </c>
      <c r="C214" s="748" t="s">
        <v>1792</v>
      </c>
      <c r="D214" s="780" t="s">
        <v>2180</v>
      </c>
      <c r="E214" s="781" t="s">
        <v>2181</v>
      </c>
      <c r="F214" s="749">
        <v>10</v>
      </c>
      <c r="G214" s="3" t="s">
        <v>1041</v>
      </c>
      <c r="H214" s="3"/>
      <c r="I214" s="3">
        <v>463.7</v>
      </c>
      <c r="J214" s="3"/>
      <c r="K214" s="3" t="s">
        <v>2125</v>
      </c>
      <c r="L214" s="761">
        <v>44617</v>
      </c>
      <c r="M214" s="761"/>
      <c r="N214" s="761" t="s">
        <v>2182</v>
      </c>
      <c r="O214" s="761" t="s">
        <v>62</v>
      </c>
      <c r="P214" s="762"/>
      <c r="Q214" s="3"/>
      <c r="R214" s="3"/>
      <c r="S214" s="3" t="s">
        <v>1547</v>
      </c>
      <c r="T214" s="3"/>
      <c r="U214" s="3">
        <v>330</v>
      </c>
      <c r="V214" s="4"/>
      <c r="W214" s="761"/>
      <c r="X214" s="4" t="str">
        <f t="shared" si="0"/>
        <v>February</v>
      </c>
      <c r="Y214" s="761">
        <v>44615</v>
      </c>
      <c r="Z214" s="761" t="s">
        <v>62</v>
      </c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2:39">
      <c r="B215" s="747" t="s">
        <v>213</v>
      </c>
      <c r="C215" s="748" t="s">
        <v>1792</v>
      </c>
      <c r="D215" s="780" t="s">
        <v>2183</v>
      </c>
      <c r="E215" s="781" t="s">
        <v>2184</v>
      </c>
      <c r="F215" s="749">
        <v>11</v>
      </c>
      <c r="G215" s="3" t="s">
        <v>1041</v>
      </c>
      <c r="H215" s="3"/>
      <c r="I215" s="3">
        <v>463.6</v>
      </c>
      <c r="J215" s="3"/>
      <c r="K215" s="3" t="s">
        <v>2185</v>
      </c>
      <c r="L215" s="761">
        <v>44621</v>
      </c>
      <c r="M215" s="761"/>
      <c r="N215" s="761"/>
      <c r="O215" s="761" t="s">
        <v>62</v>
      </c>
      <c r="P215" s="762" t="s">
        <v>2186</v>
      </c>
      <c r="Q215" s="3"/>
      <c r="R215" s="3"/>
      <c r="S215" s="3" t="s">
        <v>1547</v>
      </c>
      <c r="T215" s="3"/>
      <c r="U215" s="3">
        <v>330.2</v>
      </c>
      <c r="V215" s="4"/>
      <c r="W215" s="761"/>
      <c r="X215" s="4" t="str">
        <f t="shared" si="0"/>
        <v>February</v>
      </c>
      <c r="Y215" s="761">
        <v>44616</v>
      </c>
      <c r="Z215" s="761" t="s">
        <v>62</v>
      </c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2:39">
      <c r="B216" s="747" t="s">
        <v>213</v>
      </c>
      <c r="C216" s="748" t="s">
        <v>1792</v>
      </c>
      <c r="D216" s="3">
        <v>200097321</v>
      </c>
      <c r="E216" s="1493" t="s">
        <v>2187</v>
      </c>
      <c r="F216" s="749">
        <v>12</v>
      </c>
      <c r="G216" s="3" t="s">
        <v>1041</v>
      </c>
      <c r="H216" s="3"/>
      <c r="I216" s="3">
        <v>464.9</v>
      </c>
      <c r="J216" s="3"/>
      <c r="K216" s="3" t="s">
        <v>2185</v>
      </c>
      <c r="L216" s="761">
        <v>44621</v>
      </c>
      <c r="M216" s="761"/>
      <c r="N216" s="761"/>
      <c r="O216" s="761" t="s">
        <v>62</v>
      </c>
      <c r="P216" s="762"/>
      <c r="Q216" s="3"/>
      <c r="R216" s="3"/>
      <c r="S216" s="3" t="s">
        <v>1547</v>
      </c>
      <c r="T216" s="3"/>
      <c r="U216" s="3">
        <v>330.2</v>
      </c>
      <c r="V216" s="4"/>
      <c r="W216" s="761"/>
      <c r="X216" s="4" t="str">
        <f t="shared" si="0"/>
        <v>February</v>
      </c>
      <c r="Y216" s="761">
        <v>44617</v>
      </c>
      <c r="Z216" s="761" t="s">
        <v>62</v>
      </c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2:39">
      <c r="B217" s="747" t="s">
        <v>213</v>
      </c>
      <c r="C217" s="748" t="s">
        <v>1792</v>
      </c>
      <c r="D217" s="3">
        <v>200097322</v>
      </c>
      <c r="E217" s="1493" t="s">
        <v>2188</v>
      </c>
      <c r="F217" s="749">
        <v>13</v>
      </c>
      <c r="G217" s="3" t="s">
        <v>1041</v>
      </c>
      <c r="H217" s="3"/>
      <c r="I217" s="3">
        <v>465.1</v>
      </c>
      <c r="J217" s="3"/>
      <c r="K217" s="3" t="s">
        <v>2185</v>
      </c>
      <c r="L217" s="761">
        <v>44622</v>
      </c>
      <c r="M217" s="761"/>
      <c r="N217" s="761"/>
      <c r="O217" s="761" t="s">
        <v>62</v>
      </c>
      <c r="P217" s="762"/>
      <c r="Q217" s="3"/>
      <c r="R217" s="3"/>
      <c r="S217" s="3" t="s">
        <v>1547</v>
      </c>
      <c r="T217" s="3"/>
      <c r="U217" s="3">
        <v>330.3</v>
      </c>
      <c r="V217" s="4"/>
      <c r="W217" s="761"/>
      <c r="X217" s="4" t="str">
        <f t="shared" si="0"/>
        <v>February</v>
      </c>
      <c r="Y217" s="761">
        <v>44617</v>
      </c>
      <c r="Z217" s="761" t="s">
        <v>62</v>
      </c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2:39">
      <c r="B218" s="747" t="s">
        <v>213</v>
      </c>
      <c r="C218" s="748" t="s">
        <v>1792</v>
      </c>
      <c r="D218" s="3">
        <v>200097323</v>
      </c>
      <c r="E218" s="1493" t="s">
        <v>2189</v>
      </c>
      <c r="F218" s="749">
        <v>14</v>
      </c>
      <c r="G218" s="3" t="s">
        <v>1041</v>
      </c>
      <c r="H218" s="3"/>
      <c r="I218" s="3">
        <v>464.9</v>
      </c>
      <c r="J218" s="3"/>
      <c r="K218" s="3" t="s">
        <v>2185</v>
      </c>
      <c r="L218" s="761">
        <v>44622</v>
      </c>
      <c r="M218" s="761"/>
      <c r="N218" s="761"/>
      <c r="O218" s="761" t="s">
        <v>62</v>
      </c>
      <c r="P218" s="762"/>
      <c r="Q218" s="3"/>
      <c r="R218" s="3"/>
      <c r="S218" s="3" t="s">
        <v>1547</v>
      </c>
      <c r="T218" s="3"/>
      <c r="U218" s="3">
        <v>329.9</v>
      </c>
      <c r="V218" s="4"/>
      <c r="W218" s="761"/>
      <c r="X218" s="4" t="str">
        <f t="shared" si="0"/>
        <v>March</v>
      </c>
      <c r="Y218" s="761">
        <v>44621</v>
      </c>
      <c r="Z218" s="761" t="s">
        <v>62</v>
      </c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2:39">
      <c r="B219" s="747" t="s">
        <v>213</v>
      </c>
      <c r="C219" s="748" t="s">
        <v>1792</v>
      </c>
      <c r="D219" s="12" t="s">
        <v>2190</v>
      </c>
      <c r="E219" s="1493" t="s">
        <v>2191</v>
      </c>
      <c r="F219" s="749">
        <v>15</v>
      </c>
      <c r="G219" s="3" t="s">
        <v>1041</v>
      </c>
      <c r="H219" s="3"/>
      <c r="I219" s="3">
        <v>463.5</v>
      </c>
      <c r="J219" s="3"/>
      <c r="K219" s="3" t="s">
        <v>2185</v>
      </c>
      <c r="L219" s="761">
        <v>44624</v>
      </c>
      <c r="M219" s="761"/>
      <c r="N219" s="761"/>
      <c r="O219" s="761" t="s">
        <v>62</v>
      </c>
      <c r="P219" s="762"/>
      <c r="Q219" s="3"/>
      <c r="R219" s="3"/>
      <c r="S219" s="3" t="s">
        <v>1547</v>
      </c>
      <c r="T219" s="3"/>
      <c r="U219" s="3">
        <v>329.3</v>
      </c>
      <c r="V219" s="4"/>
      <c r="W219" s="761"/>
      <c r="X219" s="4" t="str">
        <f t="shared" si="0"/>
        <v>March</v>
      </c>
      <c r="Y219" s="761">
        <v>44621</v>
      </c>
      <c r="Z219" s="761" t="s">
        <v>62</v>
      </c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2:39">
      <c r="B220" s="747" t="s">
        <v>213</v>
      </c>
      <c r="C220" s="748" t="s">
        <v>1792</v>
      </c>
      <c r="D220" s="12" t="s">
        <v>2192</v>
      </c>
      <c r="E220" s="1493" t="s">
        <v>2193</v>
      </c>
      <c r="F220" s="749">
        <v>16</v>
      </c>
      <c r="G220" s="3" t="s">
        <v>1041</v>
      </c>
      <c r="H220" s="3"/>
      <c r="I220" s="3">
        <v>466.2</v>
      </c>
      <c r="J220" s="3"/>
      <c r="K220" s="3" t="s">
        <v>2185</v>
      </c>
      <c r="L220" s="761">
        <v>44624</v>
      </c>
      <c r="M220" s="761"/>
      <c r="N220" s="761"/>
      <c r="O220" s="761" t="s">
        <v>62</v>
      </c>
      <c r="P220" s="762"/>
      <c r="Q220" s="3"/>
      <c r="R220" s="3"/>
      <c r="S220" s="3" t="s">
        <v>1547</v>
      </c>
      <c r="T220" s="3"/>
      <c r="U220" s="3">
        <v>330.1</v>
      </c>
      <c r="V220" s="4"/>
      <c r="W220" s="761"/>
      <c r="X220" s="4" t="str">
        <f t="shared" si="0"/>
        <v>March</v>
      </c>
      <c r="Y220" s="761">
        <v>44621</v>
      </c>
      <c r="Z220" s="761" t="s">
        <v>62</v>
      </c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2:39">
      <c r="B221" s="747" t="s">
        <v>213</v>
      </c>
      <c r="C221" s="748" t="s">
        <v>1792</v>
      </c>
      <c r="D221" s="12" t="s">
        <v>2194</v>
      </c>
      <c r="E221" s="1493" t="s">
        <v>2195</v>
      </c>
      <c r="F221" s="749">
        <v>17</v>
      </c>
      <c r="G221" s="3" t="s">
        <v>1041</v>
      </c>
      <c r="H221" s="3"/>
      <c r="I221" s="3">
        <v>464.9</v>
      </c>
      <c r="J221" s="3"/>
      <c r="K221" s="3" t="s">
        <v>2185</v>
      </c>
      <c r="L221" s="761">
        <v>44627</v>
      </c>
      <c r="M221" s="761"/>
      <c r="N221" s="761"/>
      <c r="O221" s="761" t="s">
        <v>62</v>
      </c>
      <c r="P221" s="762"/>
      <c r="Q221" s="3"/>
      <c r="R221" s="3"/>
      <c r="S221" s="3" t="s">
        <v>1547</v>
      </c>
      <c r="T221" s="3"/>
      <c r="U221" s="3">
        <v>330.4</v>
      </c>
      <c r="V221" s="4"/>
      <c r="W221" s="761"/>
      <c r="X221" s="4" t="str">
        <f t="shared" si="0"/>
        <v>March</v>
      </c>
      <c r="Y221" s="761">
        <v>44627</v>
      </c>
      <c r="Z221" s="761" t="s">
        <v>62</v>
      </c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2:39">
      <c r="B222" s="747" t="s">
        <v>213</v>
      </c>
      <c r="C222" s="748" t="s">
        <v>1792</v>
      </c>
      <c r="D222" s="12" t="s">
        <v>2196</v>
      </c>
      <c r="E222" s="1493" t="s">
        <v>2197</v>
      </c>
      <c r="F222" s="749">
        <v>18</v>
      </c>
      <c r="G222" s="3" t="s">
        <v>1041</v>
      </c>
      <c r="H222" s="3"/>
      <c r="I222" s="3">
        <v>466.7</v>
      </c>
      <c r="J222" s="3"/>
      <c r="K222" s="3" t="s">
        <v>2185</v>
      </c>
      <c r="L222" s="761">
        <v>44627</v>
      </c>
      <c r="M222" s="761"/>
      <c r="N222" s="761"/>
      <c r="O222" s="761" t="s">
        <v>62</v>
      </c>
      <c r="P222" s="762"/>
      <c r="Q222" s="3"/>
      <c r="R222" s="3"/>
      <c r="S222" s="3" t="s">
        <v>1547</v>
      </c>
      <c r="T222" s="3"/>
      <c r="U222" s="3">
        <v>330.3</v>
      </c>
      <c r="V222" s="4"/>
      <c r="W222" s="761"/>
      <c r="X222" s="4" t="str">
        <f t="shared" si="0"/>
        <v>March</v>
      </c>
      <c r="Y222" s="761">
        <v>44627</v>
      </c>
      <c r="Z222" s="761" t="s">
        <v>62</v>
      </c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2:39">
      <c r="B223" s="747" t="s">
        <v>213</v>
      </c>
      <c r="C223" s="748" t="s">
        <v>1792</v>
      </c>
      <c r="D223" s="12" t="s">
        <v>2198</v>
      </c>
      <c r="E223" s="1493" t="s">
        <v>2199</v>
      </c>
      <c r="F223" s="749">
        <v>19</v>
      </c>
      <c r="G223" s="3" t="s">
        <v>1041</v>
      </c>
      <c r="H223" s="3"/>
      <c r="I223" s="3">
        <v>466</v>
      </c>
      <c r="J223" s="3"/>
      <c r="K223" s="3" t="s">
        <v>2185</v>
      </c>
      <c r="L223" s="761">
        <v>44628</v>
      </c>
      <c r="M223" s="761"/>
      <c r="N223" s="761"/>
      <c r="O223" s="761" t="s">
        <v>62</v>
      </c>
      <c r="P223" s="762"/>
      <c r="Q223" s="3"/>
      <c r="R223" s="3"/>
      <c r="S223" s="3" t="s">
        <v>1547</v>
      </c>
      <c r="T223" s="3"/>
      <c r="U223" s="3">
        <v>330.3</v>
      </c>
      <c r="V223" s="4"/>
      <c r="W223" s="761"/>
      <c r="X223" s="4" t="str">
        <f t="shared" si="0"/>
        <v>March</v>
      </c>
      <c r="Y223" s="761">
        <v>44627</v>
      </c>
      <c r="Z223" s="761" t="s">
        <v>62</v>
      </c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2:39">
      <c r="B224" s="747" t="s">
        <v>213</v>
      </c>
      <c r="C224" s="748" t="s">
        <v>1792</v>
      </c>
      <c r="D224" s="12" t="s">
        <v>2200</v>
      </c>
      <c r="E224" s="1493" t="s">
        <v>2201</v>
      </c>
      <c r="F224" s="749">
        <v>20</v>
      </c>
      <c r="G224" s="3" t="s">
        <v>1041</v>
      </c>
      <c r="H224" s="3"/>
      <c r="I224" s="3">
        <v>463</v>
      </c>
      <c r="J224" s="3"/>
      <c r="K224" s="3" t="s">
        <v>2185</v>
      </c>
      <c r="L224" s="761">
        <v>44629</v>
      </c>
      <c r="M224" s="761"/>
      <c r="N224" s="761"/>
      <c r="O224" s="761" t="s">
        <v>62</v>
      </c>
      <c r="P224" s="762"/>
      <c r="Q224" s="3"/>
      <c r="R224" s="3"/>
      <c r="S224" s="3" t="s">
        <v>1547</v>
      </c>
      <c r="T224" s="3"/>
      <c r="U224" s="3">
        <v>330.3</v>
      </c>
      <c r="V224" s="4"/>
      <c r="W224" s="761"/>
      <c r="X224" s="4" t="str">
        <f t="shared" si="0"/>
        <v>March</v>
      </c>
      <c r="Y224" s="761">
        <v>44627</v>
      </c>
      <c r="Z224" s="761" t="s">
        <v>62</v>
      </c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2:39">
      <c r="B225" s="747" t="s">
        <v>213</v>
      </c>
      <c r="C225" s="748" t="s">
        <v>1792</v>
      </c>
      <c r="D225" s="12" t="s">
        <v>2202</v>
      </c>
      <c r="E225" s="12" t="s">
        <v>2203</v>
      </c>
      <c r="F225" s="749">
        <v>21</v>
      </c>
      <c r="G225" s="3" t="s">
        <v>1041</v>
      </c>
      <c r="H225" s="3"/>
      <c r="I225" s="3">
        <v>466.2</v>
      </c>
      <c r="J225" s="3"/>
      <c r="K225" s="3" t="s">
        <v>2185</v>
      </c>
      <c r="L225" s="761">
        <v>44629</v>
      </c>
      <c r="M225" s="761"/>
      <c r="N225" s="761"/>
      <c r="O225" s="761" t="s">
        <v>62</v>
      </c>
      <c r="P225" s="762"/>
      <c r="Q225" s="3"/>
      <c r="R225" s="3"/>
      <c r="S225" s="3" t="s">
        <v>1547</v>
      </c>
      <c r="T225" s="3"/>
      <c r="U225" s="3">
        <v>330.2</v>
      </c>
      <c r="V225" s="4"/>
      <c r="W225" s="761"/>
      <c r="X225" s="4" t="str">
        <f t="shared" si="0"/>
        <v>March</v>
      </c>
      <c r="Y225" s="761">
        <v>44628</v>
      </c>
      <c r="Z225" s="761" t="s">
        <v>62</v>
      </c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2:39">
      <c r="B226" s="747" t="s">
        <v>213</v>
      </c>
      <c r="C226" s="748" t="s">
        <v>1792</v>
      </c>
      <c r="D226" s="12" t="s">
        <v>2204</v>
      </c>
      <c r="E226" s="12" t="s">
        <v>2205</v>
      </c>
      <c r="F226" s="749">
        <v>22</v>
      </c>
      <c r="G226" s="3" t="s">
        <v>1041</v>
      </c>
      <c r="H226" s="3"/>
      <c r="I226" s="3">
        <v>468.1</v>
      </c>
      <c r="J226" s="3"/>
      <c r="K226" s="3" t="s">
        <v>2185</v>
      </c>
      <c r="L226" s="761">
        <v>44629</v>
      </c>
      <c r="M226" s="761"/>
      <c r="N226" s="761"/>
      <c r="O226" s="761" t="s">
        <v>62</v>
      </c>
      <c r="P226" s="762"/>
      <c r="Q226" s="3"/>
      <c r="R226" s="3"/>
      <c r="S226" s="3" t="s">
        <v>1547</v>
      </c>
      <c r="T226" s="3"/>
      <c r="U226" s="3">
        <v>330.4</v>
      </c>
      <c r="V226" s="4"/>
      <c r="W226" s="761"/>
      <c r="X226" s="4" t="str">
        <f t="shared" si="0"/>
        <v>March</v>
      </c>
      <c r="Y226" s="761">
        <v>44628</v>
      </c>
      <c r="Z226" s="761" t="s">
        <v>62</v>
      </c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2:39">
      <c r="B227" s="747" t="s">
        <v>213</v>
      </c>
      <c r="C227" s="748" t="s">
        <v>1792</v>
      </c>
      <c r="D227" s="12" t="s">
        <v>2206</v>
      </c>
      <c r="E227" s="12" t="s">
        <v>2207</v>
      </c>
      <c r="F227" s="749">
        <v>23</v>
      </c>
      <c r="G227" s="3" t="s">
        <v>1041</v>
      </c>
      <c r="H227" s="3"/>
      <c r="I227" s="3">
        <v>464.9</v>
      </c>
      <c r="J227" s="3"/>
      <c r="K227" s="3" t="s">
        <v>2185</v>
      </c>
      <c r="L227" s="761">
        <v>44630</v>
      </c>
      <c r="M227" s="761"/>
      <c r="N227" s="761"/>
      <c r="O227" s="761" t="s">
        <v>62</v>
      </c>
      <c r="P227" s="762" t="s">
        <v>2208</v>
      </c>
      <c r="Q227" s="3"/>
      <c r="R227" s="3"/>
      <c r="S227" s="3" t="s">
        <v>1547</v>
      </c>
      <c r="T227" s="3"/>
      <c r="U227" s="3">
        <v>330.2</v>
      </c>
      <c r="V227" s="4"/>
      <c r="W227" s="761"/>
      <c r="X227" s="4" t="str">
        <f t="shared" si="0"/>
        <v>March</v>
      </c>
      <c r="Y227" s="761">
        <v>44628</v>
      </c>
      <c r="Z227" s="761" t="s">
        <v>62</v>
      </c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2:39">
      <c r="B228" s="747" t="s">
        <v>213</v>
      </c>
      <c r="C228" s="748" t="s">
        <v>1792</v>
      </c>
      <c r="D228" s="12" t="s">
        <v>2209</v>
      </c>
      <c r="E228" s="12" t="s">
        <v>2210</v>
      </c>
      <c r="F228" s="749">
        <v>24</v>
      </c>
      <c r="G228" s="3" t="s">
        <v>1041</v>
      </c>
      <c r="H228" s="3"/>
      <c r="I228" s="3">
        <v>467.9</v>
      </c>
      <c r="J228" s="3"/>
      <c r="K228" s="3" t="s">
        <v>2185</v>
      </c>
      <c r="L228" s="761">
        <v>44630</v>
      </c>
      <c r="M228" s="761"/>
      <c r="N228" s="761"/>
      <c r="O228" s="761" t="s">
        <v>62</v>
      </c>
      <c r="P228" s="762"/>
      <c r="Q228" s="3"/>
      <c r="R228" s="3"/>
      <c r="S228" s="3" t="s">
        <v>1547</v>
      </c>
      <c r="T228" s="3"/>
      <c r="U228" s="3">
        <v>330</v>
      </c>
      <c r="V228" s="4"/>
      <c r="W228" s="761"/>
      <c r="X228" s="4" t="str">
        <f t="shared" si="0"/>
        <v>March</v>
      </c>
      <c r="Y228" s="761">
        <v>44628</v>
      </c>
      <c r="Z228" s="761" t="s">
        <v>62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2:39">
      <c r="B229" s="747" t="s">
        <v>213</v>
      </c>
      <c r="C229" s="748" t="s">
        <v>1792</v>
      </c>
      <c r="D229" s="12" t="s">
        <v>2211</v>
      </c>
      <c r="E229" s="12" t="s">
        <v>2212</v>
      </c>
      <c r="F229" s="749">
        <v>25</v>
      </c>
      <c r="G229" s="3" t="s">
        <v>1041</v>
      </c>
      <c r="H229" s="3"/>
      <c r="I229" s="3">
        <v>462.6</v>
      </c>
      <c r="J229" s="3"/>
      <c r="K229" s="3" t="s">
        <v>2185</v>
      </c>
      <c r="L229" s="761">
        <v>44634</v>
      </c>
      <c r="M229" s="761"/>
      <c r="N229" s="761"/>
      <c r="O229" s="761" t="s">
        <v>62</v>
      </c>
      <c r="P229" s="762" t="s">
        <v>2213</v>
      </c>
      <c r="Q229" s="3"/>
      <c r="R229" s="3"/>
      <c r="S229" s="3" t="s">
        <v>1547</v>
      </c>
      <c r="T229" s="3"/>
      <c r="U229" s="3">
        <v>330.5</v>
      </c>
      <c r="V229" s="4"/>
      <c r="W229" s="761"/>
      <c r="X229" s="4" t="str">
        <f t="shared" si="0"/>
        <v>March</v>
      </c>
      <c r="Y229" s="761">
        <v>44631</v>
      </c>
      <c r="Z229" s="761" t="s">
        <v>62</v>
      </c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2:39">
      <c r="B230" s="747" t="s">
        <v>213</v>
      </c>
      <c r="C230" s="748" t="s">
        <v>1792</v>
      </c>
      <c r="D230" s="12" t="s">
        <v>2214</v>
      </c>
      <c r="E230" s="12" t="s">
        <v>2215</v>
      </c>
      <c r="F230" s="749">
        <v>26</v>
      </c>
      <c r="G230" s="3" t="s">
        <v>1041</v>
      </c>
      <c r="H230" s="3"/>
      <c r="I230" s="3">
        <v>466.4</v>
      </c>
      <c r="J230" s="3"/>
      <c r="K230" s="3" t="s">
        <v>2185</v>
      </c>
      <c r="L230" s="761">
        <v>44634</v>
      </c>
      <c r="M230" s="761"/>
      <c r="N230" s="761"/>
      <c r="O230" s="761" t="s">
        <v>62</v>
      </c>
      <c r="P230" s="762" t="s">
        <v>2216</v>
      </c>
      <c r="Q230" s="3"/>
      <c r="R230" s="3"/>
      <c r="S230" s="3" t="s">
        <v>1547</v>
      </c>
      <c r="T230" s="3"/>
      <c r="U230" s="3">
        <v>330.2</v>
      </c>
      <c r="V230" s="4"/>
      <c r="W230" s="761"/>
      <c r="X230" s="4" t="str">
        <f t="shared" ref="X230:X293" si="1">TEXT(Y230,"mmmm")</f>
        <v>March</v>
      </c>
      <c r="Y230" s="761">
        <v>44631</v>
      </c>
      <c r="Z230" s="761" t="s">
        <v>62</v>
      </c>
      <c r="AA230" s="4" t="s">
        <v>2217</v>
      </c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2:39">
      <c r="B231" s="747" t="s">
        <v>213</v>
      </c>
      <c r="C231" s="748" t="s">
        <v>1792</v>
      </c>
      <c r="D231" s="12" t="s">
        <v>2202</v>
      </c>
      <c r="E231" s="12" t="s">
        <v>2218</v>
      </c>
      <c r="F231" s="749">
        <v>27</v>
      </c>
      <c r="G231" s="3" t="s">
        <v>1041</v>
      </c>
      <c r="H231" s="3"/>
      <c r="I231" s="3">
        <v>468.8</v>
      </c>
      <c r="J231" s="3"/>
      <c r="K231" s="3" t="s">
        <v>2185</v>
      </c>
      <c r="L231" s="761">
        <v>44634</v>
      </c>
      <c r="M231" s="761"/>
      <c r="N231" s="761"/>
      <c r="O231" s="761" t="s">
        <v>62</v>
      </c>
      <c r="P231" s="762" t="s">
        <v>2219</v>
      </c>
      <c r="Q231" s="3"/>
      <c r="R231" s="3"/>
      <c r="S231" s="3" t="s">
        <v>1547</v>
      </c>
      <c r="T231" s="3"/>
      <c r="U231" s="3">
        <v>329.8</v>
      </c>
      <c r="V231" s="4"/>
      <c r="W231" s="761"/>
      <c r="X231" s="4" t="str">
        <f t="shared" si="1"/>
        <v>March</v>
      </c>
      <c r="Y231" s="761">
        <v>44634</v>
      </c>
      <c r="Z231" s="761" t="s">
        <v>62</v>
      </c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2:39">
      <c r="B232" s="747" t="s">
        <v>213</v>
      </c>
      <c r="C232" s="748" t="s">
        <v>1792</v>
      </c>
      <c r="D232" s="12" t="s">
        <v>2204</v>
      </c>
      <c r="E232" s="12" t="s">
        <v>2220</v>
      </c>
      <c r="F232" s="749">
        <v>28</v>
      </c>
      <c r="G232" s="3" t="s">
        <v>1041</v>
      </c>
      <c r="H232" s="3"/>
      <c r="I232" s="3">
        <v>465.5</v>
      </c>
      <c r="J232" s="3"/>
      <c r="K232" s="3" t="s">
        <v>2185</v>
      </c>
      <c r="L232" s="761">
        <v>44635</v>
      </c>
      <c r="M232" s="761"/>
      <c r="N232" s="761"/>
      <c r="O232" s="761" t="s">
        <v>62</v>
      </c>
      <c r="P232" s="762" t="s">
        <v>2221</v>
      </c>
      <c r="Q232" s="3"/>
      <c r="R232" s="3"/>
      <c r="S232" s="3" t="s">
        <v>1547</v>
      </c>
      <c r="T232" s="3"/>
      <c r="U232" s="3">
        <v>329.8</v>
      </c>
      <c r="V232" s="4"/>
      <c r="W232" s="761"/>
      <c r="X232" s="4" t="str">
        <f t="shared" si="1"/>
        <v>March</v>
      </c>
      <c r="Y232" s="761">
        <v>44634</v>
      </c>
      <c r="Z232" s="761" t="s">
        <v>62</v>
      </c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2:39">
      <c r="B233" s="747" t="s">
        <v>213</v>
      </c>
      <c r="C233" s="748" t="s">
        <v>1792</v>
      </c>
      <c r="D233" s="12" t="s">
        <v>2206</v>
      </c>
      <c r="E233" s="12" t="s">
        <v>2222</v>
      </c>
      <c r="F233" s="749">
        <v>29</v>
      </c>
      <c r="G233" s="3" t="s">
        <v>128</v>
      </c>
      <c r="H233" s="3"/>
      <c r="I233" s="3">
        <v>471</v>
      </c>
      <c r="J233" s="3"/>
      <c r="K233" s="3" t="s">
        <v>2185</v>
      </c>
      <c r="L233" s="761">
        <v>44636</v>
      </c>
      <c r="M233" s="761"/>
      <c r="N233" s="761"/>
      <c r="O233" s="761" t="s">
        <v>62</v>
      </c>
      <c r="P233" s="762" t="s">
        <v>2223</v>
      </c>
      <c r="Q233" s="3"/>
      <c r="R233" s="3"/>
      <c r="S233" s="3" t="s">
        <v>1547</v>
      </c>
      <c r="T233" s="3"/>
      <c r="U233" s="3">
        <v>329.7</v>
      </c>
      <c r="V233" s="4"/>
      <c r="W233" s="761"/>
      <c r="X233" s="4" t="str">
        <f t="shared" si="1"/>
        <v>March</v>
      </c>
      <c r="Y233" s="761">
        <v>44634</v>
      </c>
      <c r="Z233" s="761" t="s">
        <v>62</v>
      </c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2:39">
      <c r="B234" s="747" t="s">
        <v>213</v>
      </c>
      <c r="C234" s="748" t="s">
        <v>1792</v>
      </c>
      <c r="D234" s="12" t="s">
        <v>2209</v>
      </c>
      <c r="E234" s="12" t="s">
        <v>2224</v>
      </c>
      <c r="F234" s="749">
        <v>30</v>
      </c>
      <c r="G234" s="3" t="s">
        <v>1041</v>
      </c>
      <c r="H234" s="3"/>
      <c r="I234" s="3">
        <v>465.2</v>
      </c>
      <c r="J234" s="3"/>
      <c r="K234" s="3" t="s">
        <v>2185</v>
      </c>
      <c r="L234" s="761">
        <v>44636</v>
      </c>
      <c r="M234" s="761"/>
      <c r="N234" s="761"/>
      <c r="O234" s="761" t="s">
        <v>62</v>
      </c>
      <c r="P234" s="762" t="s">
        <v>2225</v>
      </c>
      <c r="Q234" s="3"/>
      <c r="R234" s="3"/>
      <c r="S234" s="3" t="s">
        <v>1547</v>
      </c>
      <c r="T234" s="3"/>
      <c r="U234" s="3">
        <v>329.9</v>
      </c>
      <c r="V234" s="4"/>
      <c r="W234" s="761"/>
      <c r="X234" s="4" t="str">
        <f t="shared" si="1"/>
        <v>March</v>
      </c>
      <c r="Y234" s="761">
        <v>44634</v>
      </c>
      <c r="Z234" s="761" t="s">
        <v>62</v>
      </c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2:39" s="705" customFormat="1" ht="18" customHeight="1">
      <c r="B235" s="731"/>
      <c r="C235" s="736" t="s">
        <v>2226</v>
      </c>
      <c r="D235" s="737"/>
      <c r="E235" s="738"/>
      <c r="F235" s="739"/>
      <c r="G235" s="740"/>
      <c r="H235" s="740"/>
      <c r="I235" s="740"/>
      <c r="J235" s="756"/>
      <c r="K235" s="756"/>
      <c r="L235" s="740"/>
      <c r="M235" s="740"/>
      <c r="N235" s="740"/>
      <c r="O235" s="757"/>
      <c r="P235" s="758"/>
      <c r="Q235" s="740"/>
      <c r="R235" s="740"/>
      <c r="S235" s="740"/>
      <c r="T235" s="740"/>
      <c r="U235" s="740"/>
      <c r="V235" s="740"/>
      <c r="W235" s="740"/>
      <c r="X235" s="740"/>
      <c r="Y235" s="740"/>
      <c r="Z235" s="757"/>
      <c r="AA235" s="771"/>
      <c r="AB235" s="771"/>
      <c r="AC235" s="771"/>
      <c r="AD235" s="771"/>
      <c r="AE235" s="771"/>
      <c r="AF235" s="771"/>
      <c r="AG235" s="775"/>
      <c r="AH235" s="771"/>
      <c r="AI235" s="771"/>
      <c r="AJ235" s="771"/>
      <c r="AK235" s="771"/>
      <c r="AL235" s="771"/>
      <c r="AM235" s="776"/>
    </row>
    <row r="236" spans="2:39">
      <c r="B236" s="747" t="s">
        <v>277</v>
      </c>
      <c r="C236" s="748" t="s">
        <v>1792</v>
      </c>
      <c r="D236" s="12" t="s">
        <v>2209</v>
      </c>
      <c r="E236" s="12" t="s">
        <v>2227</v>
      </c>
      <c r="F236" s="749">
        <v>1</v>
      </c>
      <c r="G236" s="3" t="s">
        <v>1041</v>
      </c>
      <c r="H236" s="3"/>
      <c r="I236" s="3">
        <v>469.6</v>
      </c>
      <c r="J236" s="3"/>
      <c r="K236" s="3" t="s">
        <v>2185</v>
      </c>
      <c r="L236" s="761">
        <v>44636</v>
      </c>
      <c r="M236" s="761"/>
      <c r="N236" s="761"/>
      <c r="O236" s="761" t="s">
        <v>62</v>
      </c>
      <c r="P236" s="762" t="s">
        <v>2228</v>
      </c>
      <c r="Q236" s="3"/>
      <c r="R236" s="3"/>
      <c r="S236" s="3" t="s">
        <v>1547</v>
      </c>
      <c r="T236" s="3"/>
      <c r="U236" s="3">
        <v>329.9</v>
      </c>
      <c r="V236" s="4"/>
      <c r="W236" s="761"/>
      <c r="X236" s="4" t="str">
        <f t="shared" si="1"/>
        <v>March</v>
      </c>
      <c r="Y236" s="761">
        <v>44636</v>
      </c>
      <c r="Z236" s="761" t="s">
        <v>62</v>
      </c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2:39">
      <c r="B237" s="747" t="s">
        <v>277</v>
      </c>
      <c r="C237" s="748" t="s">
        <v>1792</v>
      </c>
      <c r="D237" s="12" t="s">
        <v>2229</v>
      </c>
      <c r="E237" s="12" t="s">
        <v>2230</v>
      </c>
      <c r="F237" s="749">
        <v>2</v>
      </c>
      <c r="G237" s="3" t="s">
        <v>1041</v>
      </c>
      <c r="H237" s="3"/>
      <c r="I237" s="3">
        <v>461.2</v>
      </c>
      <c r="J237" s="3"/>
      <c r="K237" s="3" t="s">
        <v>2185</v>
      </c>
      <c r="L237" s="761">
        <v>44636</v>
      </c>
      <c r="M237" s="761"/>
      <c r="N237" s="761"/>
      <c r="O237" s="761" t="s">
        <v>62</v>
      </c>
      <c r="P237" s="762" t="s">
        <v>2231</v>
      </c>
      <c r="Q237" s="3"/>
      <c r="R237" s="3"/>
      <c r="S237" s="3" t="s">
        <v>130</v>
      </c>
      <c r="T237" s="3"/>
      <c r="U237" s="3">
        <v>330</v>
      </c>
      <c r="V237" s="4"/>
      <c r="W237" s="761"/>
      <c r="X237" s="4" t="str">
        <f t="shared" si="1"/>
        <v>March</v>
      </c>
      <c r="Y237" s="761">
        <v>44636</v>
      </c>
      <c r="Z237" s="761" t="s">
        <v>62</v>
      </c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2:39">
      <c r="B238" s="747" t="s">
        <v>277</v>
      </c>
      <c r="C238" s="748" t="s">
        <v>1792</v>
      </c>
      <c r="D238" s="12" t="s">
        <v>2232</v>
      </c>
      <c r="E238" s="12" t="s">
        <v>2233</v>
      </c>
      <c r="F238" s="749">
        <v>3</v>
      </c>
      <c r="G238" s="3" t="s">
        <v>1041</v>
      </c>
      <c r="H238" s="3"/>
      <c r="I238" s="3">
        <f>156.2+154.3+156.5</f>
        <v>467</v>
      </c>
      <c r="J238" s="3"/>
      <c r="K238" s="3" t="s">
        <v>2185</v>
      </c>
      <c r="L238" s="761">
        <v>44637</v>
      </c>
      <c r="M238" s="761"/>
      <c r="N238" s="761"/>
      <c r="O238" s="761" t="s">
        <v>62</v>
      </c>
      <c r="P238" s="762"/>
      <c r="Q238" s="3"/>
      <c r="R238" s="3"/>
      <c r="S238" s="3" t="s">
        <v>130</v>
      </c>
      <c r="T238" s="3"/>
      <c r="U238" s="3">
        <v>329.7</v>
      </c>
      <c r="V238" s="4"/>
      <c r="W238" s="761"/>
      <c r="X238" s="4" t="str">
        <f t="shared" si="1"/>
        <v>March</v>
      </c>
      <c r="Y238" s="761">
        <v>44636</v>
      </c>
      <c r="Z238" s="761" t="s">
        <v>62</v>
      </c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2:39">
      <c r="B239" s="747" t="s">
        <v>277</v>
      </c>
      <c r="C239" s="748" t="s">
        <v>1792</v>
      </c>
      <c r="D239" s="12" t="s">
        <v>2234</v>
      </c>
      <c r="E239" s="12" t="s">
        <v>2235</v>
      </c>
      <c r="F239" s="749">
        <v>4</v>
      </c>
      <c r="G239" s="3" t="s">
        <v>2236</v>
      </c>
      <c r="H239" s="3"/>
      <c r="I239" s="3">
        <f>155.6+156+156.6</f>
        <v>468.20000000000005</v>
      </c>
      <c r="J239" s="3"/>
      <c r="K239" s="3" t="s">
        <v>2185</v>
      </c>
      <c r="L239" s="761">
        <v>44637</v>
      </c>
      <c r="M239" s="761"/>
      <c r="N239" s="761"/>
      <c r="O239" s="761" t="s">
        <v>62</v>
      </c>
      <c r="P239" s="762"/>
      <c r="Q239" s="3"/>
      <c r="R239" s="3"/>
      <c r="S239" s="3" t="s">
        <v>1547</v>
      </c>
      <c r="T239" s="3"/>
      <c r="U239" s="3">
        <v>329.8</v>
      </c>
      <c r="V239" s="4"/>
      <c r="W239" s="761"/>
      <c r="X239" s="4" t="str">
        <f t="shared" si="1"/>
        <v>March</v>
      </c>
      <c r="Y239" s="761">
        <v>44637</v>
      </c>
      <c r="Z239" s="761" t="s">
        <v>62</v>
      </c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2:39">
      <c r="B240" s="747" t="s">
        <v>277</v>
      </c>
      <c r="C240" s="748" t="s">
        <v>1792</v>
      </c>
      <c r="D240" s="12" t="s">
        <v>2237</v>
      </c>
      <c r="E240" s="12" t="s">
        <v>2238</v>
      </c>
      <c r="F240" s="749">
        <v>5</v>
      </c>
      <c r="G240" s="3" t="s">
        <v>1041</v>
      </c>
      <c r="H240" s="3"/>
      <c r="I240" s="3">
        <v>463.7</v>
      </c>
      <c r="J240" s="3"/>
      <c r="K240" s="3" t="s">
        <v>2185</v>
      </c>
      <c r="L240" s="761">
        <v>44644</v>
      </c>
      <c r="M240" s="761"/>
      <c r="N240" s="761"/>
      <c r="O240" s="761" t="s">
        <v>62</v>
      </c>
      <c r="P240" s="762" t="s">
        <v>2239</v>
      </c>
      <c r="Q240" s="3"/>
      <c r="R240" s="3"/>
      <c r="S240" s="3" t="s">
        <v>1547</v>
      </c>
      <c r="T240" s="3"/>
      <c r="U240" s="3">
        <v>329.7</v>
      </c>
      <c r="V240" s="4"/>
      <c r="W240" s="761"/>
      <c r="X240" s="4" t="str">
        <f t="shared" si="1"/>
        <v>March</v>
      </c>
      <c r="Y240" s="761">
        <v>44644</v>
      </c>
      <c r="Z240" s="761" t="s">
        <v>62</v>
      </c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2:39">
      <c r="B241" s="747" t="s">
        <v>277</v>
      </c>
      <c r="C241" s="748" t="s">
        <v>1792</v>
      </c>
      <c r="D241" s="12" t="s">
        <v>2240</v>
      </c>
      <c r="E241" s="12" t="s">
        <v>2241</v>
      </c>
      <c r="F241" s="749">
        <v>6</v>
      </c>
      <c r="G241" s="3" t="s">
        <v>1041</v>
      </c>
      <c r="H241" s="3"/>
      <c r="I241" s="3">
        <v>466.1</v>
      </c>
      <c r="J241" s="3"/>
      <c r="K241" s="3" t="s">
        <v>2185</v>
      </c>
      <c r="L241" s="761">
        <v>44644</v>
      </c>
      <c r="M241" s="761"/>
      <c r="N241" s="761"/>
      <c r="O241" s="761" t="s">
        <v>62</v>
      </c>
      <c r="P241" s="762" t="s">
        <v>2242</v>
      </c>
      <c r="Q241" s="3"/>
      <c r="R241" s="3"/>
      <c r="S241" s="3" t="s">
        <v>1547</v>
      </c>
      <c r="T241" s="3"/>
      <c r="U241" s="3">
        <v>329.7</v>
      </c>
      <c r="V241" s="4"/>
      <c r="W241" s="761"/>
      <c r="X241" s="4" t="str">
        <f t="shared" si="1"/>
        <v>March</v>
      </c>
      <c r="Y241" s="761">
        <v>44644</v>
      </c>
      <c r="Z241" s="761" t="s">
        <v>62</v>
      </c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2:39">
      <c r="B242" s="747" t="s">
        <v>277</v>
      </c>
      <c r="C242" s="748" t="s">
        <v>1792</v>
      </c>
      <c r="D242" s="12" t="s">
        <v>2243</v>
      </c>
      <c r="E242" s="12" t="s">
        <v>2244</v>
      </c>
      <c r="F242" s="749">
        <v>7</v>
      </c>
      <c r="G242" s="3" t="s">
        <v>1041</v>
      </c>
      <c r="H242" s="3"/>
      <c r="I242" s="3">
        <v>466.2</v>
      </c>
      <c r="J242" s="3"/>
      <c r="K242" s="3" t="s">
        <v>2185</v>
      </c>
      <c r="L242" s="761">
        <v>44648</v>
      </c>
      <c r="M242" s="761"/>
      <c r="N242" s="761"/>
      <c r="O242" s="761" t="s">
        <v>62</v>
      </c>
      <c r="P242" s="762" t="s">
        <v>2245</v>
      </c>
      <c r="Q242" s="3"/>
      <c r="R242" s="3"/>
      <c r="S242" s="3" t="s">
        <v>1547</v>
      </c>
      <c r="T242" s="3"/>
      <c r="U242" s="3">
        <v>329.6</v>
      </c>
      <c r="V242" s="4"/>
      <c r="W242" s="761"/>
      <c r="X242" s="4" t="str">
        <f t="shared" si="1"/>
        <v>March</v>
      </c>
      <c r="Y242" s="761">
        <v>44644</v>
      </c>
      <c r="Z242" s="761" t="s">
        <v>62</v>
      </c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2:39">
      <c r="B243" s="747" t="s">
        <v>277</v>
      </c>
      <c r="C243" s="748" t="s">
        <v>1792</v>
      </c>
      <c r="D243" s="12" t="s">
        <v>2246</v>
      </c>
      <c r="E243" s="12" t="s">
        <v>2247</v>
      </c>
      <c r="F243" s="749">
        <v>8</v>
      </c>
      <c r="G243" s="3" t="s">
        <v>1041</v>
      </c>
      <c r="H243" s="3"/>
      <c r="I243" s="3">
        <v>469.1</v>
      </c>
      <c r="J243" s="3"/>
      <c r="K243" s="3" t="s">
        <v>2185</v>
      </c>
      <c r="L243" s="761">
        <v>44648</v>
      </c>
      <c r="M243" s="761"/>
      <c r="N243" s="761"/>
      <c r="O243" s="761" t="s">
        <v>62</v>
      </c>
      <c r="P243" s="762" t="s">
        <v>2248</v>
      </c>
      <c r="Q243" s="3"/>
      <c r="R243" s="3"/>
      <c r="S243" s="3" t="s">
        <v>1547</v>
      </c>
      <c r="T243" s="3"/>
      <c r="U243" s="3">
        <v>329.9</v>
      </c>
      <c r="V243" s="4"/>
      <c r="W243" s="761"/>
      <c r="X243" s="4" t="str">
        <f t="shared" si="1"/>
        <v>March</v>
      </c>
      <c r="Y243" s="761">
        <v>44645</v>
      </c>
      <c r="Z243" s="761" t="s">
        <v>62</v>
      </c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2:39">
      <c r="B244" s="747" t="s">
        <v>277</v>
      </c>
      <c r="C244" s="748" t="s">
        <v>1792</v>
      </c>
      <c r="D244" s="12" t="s">
        <v>2249</v>
      </c>
      <c r="E244" s="12" t="s">
        <v>2250</v>
      </c>
      <c r="F244" s="749">
        <v>9</v>
      </c>
      <c r="G244" s="3" t="s">
        <v>1041</v>
      </c>
      <c r="H244" s="3"/>
      <c r="I244" s="3">
        <v>462.7</v>
      </c>
      <c r="J244" s="3"/>
      <c r="K244" s="3" t="s">
        <v>2185</v>
      </c>
      <c r="L244" s="761">
        <v>44649</v>
      </c>
      <c r="M244" s="761"/>
      <c r="N244" s="761"/>
      <c r="O244" s="761" t="s">
        <v>62</v>
      </c>
      <c r="P244" s="762" t="s">
        <v>2251</v>
      </c>
      <c r="Q244" s="3"/>
      <c r="R244" s="3"/>
      <c r="S244" s="3" t="s">
        <v>1547</v>
      </c>
      <c r="T244" s="3"/>
      <c r="U244" s="3">
        <v>329.6</v>
      </c>
      <c r="V244" s="4"/>
      <c r="W244" s="761"/>
      <c r="X244" s="4" t="str">
        <f t="shared" si="1"/>
        <v>March</v>
      </c>
      <c r="Y244" s="761">
        <v>44648</v>
      </c>
      <c r="Z244" s="761" t="s">
        <v>62</v>
      </c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2:39">
      <c r="B245" s="747" t="s">
        <v>277</v>
      </c>
      <c r="C245" s="748" t="s">
        <v>1792</v>
      </c>
      <c r="D245" s="12" t="s">
        <v>2252</v>
      </c>
      <c r="E245" s="12" t="s">
        <v>2253</v>
      </c>
      <c r="F245" s="749">
        <v>10</v>
      </c>
      <c r="G245" s="3" t="s">
        <v>1041</v>
      </c>
      <c r="H245" s="3"/>
      <c r="I245" s="3">
        <v>466.1</v>
      </c>
      <c r="J245" s="3"/>
      <c r="K245" s="3" t="s">
        <v>2185</v>
      </c>
      <c r="L245" s="761">
        <v>44650</v>
      </c>
      <c r="M245" s="761"/>
      <c r="N245" s="761"/>
      <c r="O245" s="761" t="s">
        <v>62</v>
      </c>
      <c r="P245" s="762" t="s">
        <v>2254</v>
      </c>
      <c r="Q245" s="3"/>
      <c r="R245" s="3"/>
      <c r="S245" s="3" t="s">
        <v>1547</v>
      </c>
      <c r="T245" s="3"/>
      <c r="U245" s="3">
        <v>329.9</v>
      </c>
      <c r="V245" s="4"/>
      <c r="W245" s="761"/>
      <c r="X245" s="4" t="str">
        <f t="shared" si="1"/>
        <v>March</v>
      </c>
      <c r="Y245" s="761">
        <v>44648</v>
      </c>
      <c r="Z245" s="761" t="s">
        <v>62</v>
      </c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2:39">
      <c r="B246" s="747" t="s">
        <v>277</v>
      </c>
      <c r="C246" s="748" t="s">
        <v>1792</v>
      </c>
      <c r="D246" s="12" t="s">
        <v>2255</v>
      </c>
      <c r="E246" s="12" t="s">
        <v>2256</v>
      </c>
      <c r="F246" s="749">
        <v>11</v>
      </c>
      <c r="G246" s="3" t="s">
        <v>1041</v>
      </c>
      <c r="H246" s="3"/>
      <c r="I246" s="3">
        <v>470.1</v>
      </c>
      <c r="J246" s="3"/>
      <c r="K246" s="3" t="s">
        <v>2185</v>
      </c>
      <c r="L246" s="761">
        <v>44650</v>
      </c>
      <c r="M246" s="761"/>
      <c r="N246" s="761"/>
      <c r="O246" s="761" t="s">
        <v>62</v>
      </c>
      <c r="P246" s="762" t="s">
        <v>2257</v>
      </c>
      <c r="Q246" s="3"/>
      <c r="R246" s="3"/>
      <c r="S246" s="3" t="s">
        <v>1547</v>
      </c>
      <c r="T246" s="3"/>
      <c r="U246" s="3">
        <v>329.6</v>
      </c>
      <c r="V246" s="4"/>
      <c r="W246" s="761"/>
      <c r="X246" s="4" t="str">
        <f t="shared" si="1"/>
        <v>March</v>
      </c>
      <c r="Y246" s="761">
        <v>44649</v>
      </c>
      <c r="Z246" s="761" t="s">
        <v>62</v>
      </c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2:39">
      <c r="B247" s="747" t="s">
        <v>277</v>
      </c>
      <c r="C247" s="748" t="s">
        <v>1792</v>
      </c>
      <c r="D247" s="12" t="s">
        <v>2258</v>
      </c>
      <c r="E247" s="12" t="s">
        <v>2259</v>
      </c>
      <c r="F247" s="749">
        <v>12</v>
      </c>
      <c r="G247" s="3" t="s">
        <v>1041</v>
      </c>
      <c r="H247" s="3"/>
      <c r="I247" s="3">
        <v>468</v>
      </c>
      <c r="J247" s="3"/>
      <c r="K247" s="3" t="s">
        <v>2185</v>
      </c>
      <c r="L247" s="761">
        <v>44650</v>
      </c>
      <c r="M247" s="761"/>
      <c r="N247" s="761"/>
      <c r="O247" s="761" t="s">
        <v>62</v>
      </c>
      <c r="P247" s="762" t="s">
        <v>2260</v>
      </c>
      <c r="Q247" s="3"/>
      <c r="R247" s="3"/>
      <c r="S247" s="3" t="s">
        <v>1547</v>
      </c>
      <c r="T247" s="3"/>
      <c r="U247" s="3">
        <v>330</v>
      </c>
      <c r="V247" s="4"/>
      <c r="W247" s="761"/>
      <c r="X247" s="4" t="str">
        <f t="shared" si="1"/>
        <v>March</v>
      </c>
      <c r="Y247" s="761">
        <v>44649</v>
      </c>
      <c r="Z247" s="761" t="s">
        <v>62</v>
      </c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2:39">
      <c r="B248" s="747" t="s">
        <v>277</v>
      </c>
      <c r="C248" s="748" t="s">
        <v>1792</v>
      </c>
      <c r="D248" s="12" t="s">
        <v>2261</v>
      </c>
      <c r="E248" s="12" t="s">
        <v>2262</v>
      </c>
      <c r="F248" s="749">
        <v>13</v>
      </c>
      <c r="G248" s="3" t="s">
        <v>1041</v>
      </c>
      <c r="H248" s="3"/>
      <c r="I248" s="3">
        <v>463</v>
      </c>
      <c r="J248" s="3"/>
      <c r="K248" s="3" t="s">
        <v>2185</v>
      </c>
      <c r="L248" s="761">
        <v>44651</v>
      </c>
      <c r="M248" s="761"/>
      <c r="N248" s="761"/>
      <c r="O248" s="761" t="s">
        <v>62</v>
      </c>
      <c r="P248" s="762" t="s">
        <v>2263</v>
      </c>
      <c r="Q248" s="3"/>
      <c r="R248" s="3"/>
      <c r="S248" s="3" t="s">
        <v>1547</v>
      </c>
      <c r="T248" s="3"/>
      <c r="U248" s="3">
        <v>329.9</v>
      </c>
      <c r="V248" s="4"/>
      <c r="W248" s="761"/>
      <c r="X248" s="4" t="str">
        <f t="shared" si="1"/>
        <v>March</v>
      </c>
      <c r="Y248" s="761">
        <v>44649</v>
      </c>
      <c r="Z248" s="761" t="s">
        <v>62</v>
      </c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2:39">
      <c r="B249" s="747" t="s">
        <v>277</v>
      </c>
      <c r="C249" s="748" t="s">
        <v>1792</v>
      </c>
      <c r="D249" s="12" t="s">
        <v>2264</v>
      </c>
      <c r="E249" s="12" t="s">
        <v>2265</v>
      </c>
      <c r="F249" s="749">
        <v>14</v>
      </c>
      <c r="G249" s="3" t="s">
        <v>1041</v>
      </c>
      <c r="H249" s="3"/>
      <c r="I249" s="3">
        <v>464.8</v>
      </c>
      <c r="J249" s="3"/>
      <c r="K249" s="3" t="s">
        <v>2185</v>
      </c>
      <c r="L249" s="761">
        <v>44651</v>
      </c>
      <c r="M249" s="761"/>
      <c r="N249" s="761"/>
      <c r="O249" s="761" t="s">
        <v>62</v>
      </c>
      <c r="P249" s="762" t="s">
        <v>2266</v>
      </c>
      <c r="Q249" s="3"/>
      <c r="R249" s="3"/>
      <c r="S249" s="3" t="s">
        <v>1547</v>
      </c>
      <c r="T249" s="3"/>
      <c r="U249" s="3">
        <v>330</v>
      </c>
      <c r="V249" s="4"/>
      <c r="W249" s="761"/>
      <c r="X249" s="4" t="str">
        <f t="shared" si="1"/>
        <v>March</v>
      </c>
      <c r="Y249" s="761">
        <v>44650</v>
      </c>
      <c r="Z249" s="761" t="s">
        <v>62</v>
      </c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2:39">
      <c r="B250" s="747" t="s">
        <v>277</v>
      </c>
      <c r="C250" s="748" t="s">
        <v>1792</v>
      </c>
      <c r="D250" s="12" t="s">
        <v>2267</v>
      </c>
      <c r="E250" s="12" t="s">
        <v>2268</v>
      </c>
      <c r="F250" s="749">
        <v>15</v>
      </c>
      <c r="G250" s="3" t="s">
        <v>1041</v>
      </c>
      <c r="H250" s="3"/>
      <c r="I250" s="3">
        <v>465.3</v>
      </c>
      <c r="J250" s="3"/>
      <c r="K250" s="3" t="s">
        <v>2185</v>
      </c>
      <c r="L250" s="761">
        <v>44651</v>
      </c>
      <c r="M250" s="761"/>
      <c r="N250" s="761"/>
      <c r="O250" s="761" t="s">
        <v>62</v>
      </c>
      <c r="P250" s="762" t="s">
        <v>2269</v>
      </c>
      <c r="Q250" s="3"/>
      <c r="R250" s="3"/>
      <c r="S250" s="3" t="s">
        <v>1547</v>
      </c>
      <c r="T250" s="3"/>
      <c r="U250" s="3">
        <v>330.3</v>
      </c>
      <c r="V250" s="4"/>
      <c r="W250" s="761"/>
      <c r="X250" s="4" t="str">
        <f t="shared" si="1"/>
        <v>March</v>
      </c>
      <c r="Y250" s="761">
        <v>44650</v>
      </c>
      <c r="Z250" s="761" t="s">
        <v>62</v>
      </c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2:39">
      <c r="B251" s="747" t="s">
        <v>277</v>
      </c>
      <c r="C251" s="748" t="s">
        <v>1792</v>
      </c>
      <c r="D251" s="12" t="s">
        <v>2270</v>
      </c>
      <c r="E251" s="12" t="s">
        <v>2271</v>
      </c>
      <c r="F251" s="749">
        <v>16</v>
      </c>
      <c r="G251" s="3" t="s">
        <v>1041</v>
      </c>
      <c r="H251" s="3"/>
      <c r="I251" s="3">
        <v>467.1</v>
      </c>
      <c r="J251" s="3"/>
      <c r="K251" s="3" t="s">
        <v>2272</v>
      </c>
      <c r="L251" s="761">
        <v>44656</v>
      </c>
      <c r="M251" s="761"/>
      <c r="N251" s="761"/>
      <c r="O251" s="761" t="s">
        <v>62</v>
      </c>
      <c r="P251" s="762" t="s">
        <v>2273</v>
      </c>
      <c r="Q251" s="3"/>
      <c r="R251" s="3"/>
      <c r="S251" s="3" t="s">
        <v>1547</v>
      </c>
      <c r="T251" s="3"/>
      <c r="U251" s="3">
        <v>330.2</v>
      </c>
      <c r="V251" s="4"/>
      <c r="W251" s="761"/>
      <c r="X251" s="4" t="str">
        <f t="shared" si="1"/>
        <v>March</v>
      </c>
      <c r="Y251" s="761">
        <v>44650</v>
      </c>
      <c r="Z251" s="761" t="s">
        <v>62</v>
      </c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2:39">
      <c r="B252" s="747" t="s">
        <v>277</v>
      </c>
      <c r="C252" s="748" t="s">
        <v>1792</v>
      </c>
      <c r="D252" s="12" t="s">
        <v>2274</v>
      </c>
      <c r="E252" s="12" t="s">
        <v>2275</v>
      </c>
      <c r="F252" s="749">
        <v>17</v>
      </c>
      <c r="G252" s="3" t="s">
        <v>1041</v>
      </c>
      <c r="H252" s="3"/>
      <c r="I252" s="3">
        <v>466.4</v>
      </c>
      <c r="J252" s="3"/>
      <c r="K252" s="3" t="s">
        <v>2272</v>
      </c>
      <c r="L252" s="761">
        <v>44656</v>
      </c>
      <c r="M252" s="761"/>
      <c r="N252" s="761"/>
      <c r="O252" s="761" t="s">
        <v>62</v>
      </c>
      <c r="P252" s="762" t="s">
        <v>2276</v>
      </c>
      <c r="Q252" s="3"/>
      <c r="R252" s="3"/>
      <c r="S252" s="3" t="s">
        <v>1547</v>
      </c>
      <c r="T252" s="3"/>
      <c r="U252" s="3">
        <v>329.7</v>
      </c>
      <c r="V252" s="4"/>
      <c r="W252" s="761"/>
      <c r="X252" s="4" t="str">
        <f t="shared" si="1"/>
        <v>April</v>
      </c>
      <c r="Y252" s="761">
        <v>44656</v>
      </c>
      <c r="Z252" s="761" t="s">
        <v>62</v>
      </c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spans="2:39">
      <c r="B253" s="747" t="s">
        <v>277</v>
      </c>
      <c r="C253" s="748" t="s">
        <v>1792</v>
      </c>
      <c r="D253" s="10" t="s">
        <v>2277</v>
      </c>
      <c r="E253" s="10" t="s">
        <v>2278</v>
      </c>
      <c r="F253" s="749">
        <v>18</v>
      </c>
      <c r="G253" s="3" t="s">
        <v>1041</v>
      </c>
      <c r="H253" s="3"/>
      <c r="I253" s="3">
        <v>462.6</v>
      </c>
      <c r="J253" s="3"/>
      <c r="K253" s="3" t="s">
        <v>2272</v>
      </c>
      <c r="L253" s="761">
        <v>44658</v>
      </c>
      <c r="M253" s="761"/>
      <c r="N253" s="761"/>
      <c r="O253" s="761" t="s">
        <v>62</v>
      </c>
      <c r="P253" s="762" t="s">
        <v>2279</v>
      </c>
      <c r="Q253" s="3"/>
      <c r="R253" s="3"/>
      <c r="S253" s="3" t="s">
        <v>1547</v>
      </c>
      <c r="T253" s="3"/>
      <c r="U253" s="3">
        <v>330</v>
      </c>
      <c r="V253" s="4"/>
      <c r="W253" s="761"/>
      <c r="X253" s="4" t="str">
        <f t="shared" si="1"/>
        <v>April</v>
      </c>
      <c r="Y253" s="761">
        <v>44656</v>
      </c>
      <c r="Z253" s="761" t="s">
        <v>62</v>
      </c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2:39">
      <c r="B254" s="747" t="s">
        <v>277</v>
      </c>
      <c r="C254" s="748" t="s">
        <v>1792</v>
      </c>
      <c r="D254" s="10" t="s">
        <v>2280</v>
      </c>
      <c r="E254" s="10" t="s">
        <v>2281</v>
      </c>
      <c r="F254" s="749">
        <v>19</v>
      </c>
      <c r="G254" s="3" t="s">
        <v>1041</v>
      </c>
      <c r="H254" s="3"/>
      <c r="I254" s="3">
        <v>472.1</v>
      </c>
      <c r="J254" s="3"/>
      <c r="K254" s="3" t="s">
        <v>2272</v>
      </c>
      <c r="L254" s="761">
        <v>44658</v>
      </c>
      <c r="M254" s="761"/>
      <c r="N254" s="761"/>
      <c r="O254" s="761" t="s">
        <v>62</v>
      </c>
      <c r="P254" s="762" t="s">
        <v>2282</v>
      </c>
      <c r="Q254" s="3"/>
      <c r="R254" s="3"/>
      <c r="S254" s="3" t="s">
        <v>1547</v>
      </c>
      <c r="T254" s="3"/>
      <c r="U254" s="3">
        <v>330.4</v>
      </c>
      <c r="V254" s="4"/>
      <c r="W254" s="761"/>
      <c r="X254" s="4" t="str">
        <f t="shared" si="1"/>
        <v>April</v>
      </c>
      <c r="Y254" s="761">
        <v>44658</v>
      </c>
      <c r="Z254" s="761" t="s">
        <v>62</v>
      </c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spans="2:39">
      <c r="B255" s="747" t="s">
        <v>277</v>
      </c>
      <c r="C255" s="748" t="s">
        <v>1792</v>
      </c>
      <c r="D255" s="10" t="s">
        <v>2283</v>
      </c>
      <c r="E255" s="10" t="s">
        <v>2284</v>
      </c>
      <c r="F255" s="749">
        <v>20</v>
      </c>
      <c r="G255" s="3" t="s">
        <v>1041</v>
      </c>
      <c r="H255" s="3"/>
      <c r="I255" s="3">
        <v>464.7</v>
      </c>
      <c r="J255" s="3"/>
      <c r="K255" s="3" t="s">
        <v>2272</v>
      </c>
      <c r="L255" s="761">
        <v>44659</v>
      </c>
      <c r="M255" s="761"/>
      <c r="N255" s="761"/>
      <c r="O255" s="761" t="s">
        <v>62</v>
      </c>
      <c r="P255" s="762" t="s">
        <v>2285</v>
      </c>
      <c r="Q255" s="3"/>
      <c r="R255" s="3"/>
      <c r="S255" s="3" t="s">
        <v>1547</v>
      </c>
      <c r="T255" s="3"/>
      <c r="U255" s="3">
        <v>329.7</v>
      </c>
      <c r="V255" s="4"/>
      <c r="W255" s="761"/>
      <c r="X255" s="4" t="str">
        <f t="shared" si="1"/>
        <v>April</v>
      </c>
      <c r="Y255" s="761">
        <v>44658</v>
      </c>
      <c r="Z255" s="761" t="s">
        <v>62</v>
      </c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2:39" s="705" customFormat="1" ht="18" customHeight="1">
      <c r="B256" s="731"/>
      <c r="C256" s="736" t="s">
        <v>1758</v>
      </c>
      <c r="D256" s="737"/>
      <c r="E256" s="738"/>
      <c r="F256" s="739"/>
      <c r="G256" s="740"/>
      <c r="H256" s="740"/>
      <c r="I256" s="740"/>
      <c r="J256" s="756"/>
      <c r="K256" s="756"/>
      <c r="L256" s="740"/>
      <c r="M256" s="740"/>
      <c r="N256" s="740"/>
      <c r="O256" s="757"/>
      <c r="P256" s="758"/>
      <c r="Q256" s="740"/>
      <c r="R256" s="740"/>
      <c r="S256" s="740"/>
      <c r="T256" s="740"/>
      <c r="U256" s="740"/>
      <c r="V256" s="740"/>
      <c r="W256" s="740"/>
      <c r="X256" s="740"/>
      <c r="Y256" s="740"/>
      <c r="Z256" s="757"/>
      <c r="AA256" s="771"/>
      <c r="AB256" s="771"/>
      <c r="AC256" s="771"/>
      <c r="AD256" s="771"/>
      <c r="AE256" s="771"/>
      <c r="AF256" s="771"/>
      <c r="AG256" s="775"/>
      <c r="AH256" s="771"/>
      <c r="AI256" s="771"/>
      <c r="AJ256" s="771"/>
      <c r="AK256" s="771"/>
      <c r="AL256" s="771"/>
      <c r="AM256" s="776"/>
    </row>
    <row r="257" spans="2:39">
      <c r="B257" s="747">
        <v>5</v>
      </c>
      <c r="C257" s="748" t="s">
        <v>1792</v>
      </c>
      <c r="D257" s="12" t="s">
        <v>2286</v>
      </c>
      <c r="E257" s="12" t="s">
        <v>2287</v>
      </c>
      <c r="F257" s="749">
        <v>1</v>
      </c>
      <c r="G257" s="3" t="s">
        <v>1041</v>
      </c>
      <c r="H257" s="3"/>
      <c r="I257" s="3">
        <v>466.4</v>
      </c>
      <c r="J257" s="3"/>
      <c r="K257" s="3" t="s">
        <v>2272</v>
      </c>
      <c r="L257" s="761">
        <v>44664</v>
      </c>
      <c r="M257" s="761"/>
      <c r="N257" s="761"/>
      <c r="O257" s="761" t="s">
        <v>62</v>
      </c>
      <c r="P257" s="762" t="s">
        <v>2288</v>
      </c>
      <c r="Q257" s="3"/>
      <c r="R257" s="3"/>
      <c r="S257" s="3" t="s">
        <v>1547</v>
      </c>
      <c r="T257" s="3"/>
      <c r="U257" s="3">
        <v>329.6</v>
      </c>
      <c r="V257" s="4"/>
      <c r="W257" s="761"/>
      <c r="X257" s="4" t="str">
        <f t="shared" si="1"/>
        <v>April</v>
      </c>
      <c r="Y257" s="761">
        <v>44665</v>
      </c>
      <c r="Z257" s="761" t="s">
        <v>62</v>
      </c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spans="2:39">
      <c r="B258" s="747">
        <v>5</v>
      </c>
      <c r="C258" s="748" t="s">
        <v>1792</v>
      </c>
      <c r="D258" s="12" t="s">
        <v>2289</v>
      </c>
      <c r="E258" s="12" t="s">
        <v>2290</v>
      </c>
      <c r="F258" s="749">
        <v>2</v>
      </c>
      <c r="G258" s="3" t="s">
        <v>1041</v>
      </c>
      <c r="H258" s="3"/>
      <c r="I258" s="3">
        <v>469.3</v>
      </c>
      <c r="J258" s="3"/>
      <c r="K258" s="3" t="s">
        <v>2272</v>
      </c>
      <c r="L258" s="761">
        <v>44665</v>
      </c>
      <c r="M258" s="761"/>
      <c r="N258" s="761"/>
      <c r="O258" s="761" t="s">
        <v>62</v>
      </c>
      <c r="P258" s="762" t="s">
        <v>2291</v>
      </c>
      <c r="Q258" s="3"/>
      <c r="R258" s="3"/>
      <c r="S258" s="3" t="s">
        <v>1547</v>
      </c>
      <c r="T258" s="3"/>
      <c r="U258" s="3">
        <v>329.3</v>
      </c>
      <c r="V258" s="4"/>
      <c r="W258" s="761"/>
      <c r="X258" s="4" t="str">
        <f t="shared" si="1"/>
        <v>April</v>
      </c>
      <c r="Y258" s="761">
        <v>44665</v>
      </c>
      <c r="Z258" s="761" t="s">
        <v>62</v>
      </c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spans="2:39">
      <c r="B259" s="747">
        <v>5</v>
      </c>
      <c r="C259" s="748" t="s">
        <v>1792</v>
      </c>
      <c r="D259" s="12" t="s">
        <v>2292</v>
      </c>
      <c r="E259" s="12" t="s">
        <v>2293</v>
      </c>
      <c r="F259" s="749">
        <v>3</v>
      </c>
      <c r="G259" s="3" t="s">
        <v>1041</v>
      </c>
      <c r="H259" s="3"/>
      <c r="I259" s="3">
        <v>467.5</v>
      </c>
      <c r="J259" s="3"/>
      <c r="K259" s="3" t="s">
        <v>2272</v>
      </c>
      <c r="L259" s="761">
        <v>44665</v>
      </c>
      <c r="M259" s="761"/>
      <c r="N259" s="761"/>
      <c r="O259" s="761" t="s">
        <v>62</v>
      </c>
      <c r="P259" s="762" t="s">
        <v>2294</v>
      </c>
      <c r="Q259" s="3"/>
      <c r="R259" s="3"/>
      <c r="S259" s="3" t="s">
        <v>1547</v>
      </c>
      <c r="T259" s="3"/>
      <c r="U259" s="2">
        <v>329.8</v>
      </c>
      <c r="V259" s="4"/>
      <c r="W259" s="761"/>
      <c r="X259" s="4" t="str">
        <f t="shared" si="1"/>
        <v>April</v>
      </c>
      <c r="Y259" s="761">
        <v>44665</v>
      </c>
      <c r="Z259" s="761" t="s">
        <v>62</v>
      </c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spans="2:39">
      <c r="B260" s="747">
        <v>5</v>
      </c>
      <c r="C260" s="748" t="s">
        <v>1792</v>
      </c>
      <c r="D260" s="12" t="s">
        <v>2295</v>
      </c>
      <c r="E260" s="12" t="s">
        <v>2296</v>
      </c>
      <c r="F260" s="749">
        <v>4</v>
      </c>
      <c r="G260" s="3" t="s">
        <v>932</v>
      </c>
      <c r="H260" s="3"/>
      <c r="I260" s="3">
        <v>462.7</v>
      </c>
      <c r="J260" s="3"/>
      <c r="K260" s="3" t="s">
        <v>2272</v>
      </c>
      <c r="L260" s="761">
        <v>44669</v>
      </c>
      <c r="M260" s="761"/>
      <c r="N260" s="761"/>
      <c r="O260" s="761" t="s">
        <v>62</v>
      </c>
      <c r="P260" s="762" t="s">
        <v>2297</v>
      </c>
      <c r="Q260" s="3"/>
      <c r="R260" s="3"/>
      <c r="S260" s="3" t="s">
        <v>1547</v>
      </c>
      <c r="T260" s="3"/>
      <c r="U260" s="3">
        <v>329.2</v>
      </c>
      <c r="V260" s="4"/>
      <c r="W260" s="761"/>
      <c r="X260" s="4" t="str">
        <f t="shared" si="1"/>
        <v>April</v>
      </c>
      <c r="Y260" s="761">
        <v>44665</v>
      </c>
      <c r="Z260" s="761" t="s">
        <v>62</v>
      </c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spans="2:39">
      <c r="B261" s="747">
        <v>5</v>
      </c>
      <c r="C261" s="748" t="s">
        <v>1792</v>
      </c>
      <c r="D261" s="12" t="s">
        <v>2298</v>
      </c>
      <c r="E261" s="12" t="s">
        <v>2299</v>
      </c>
      <c r="F261" s="749">
        <v>5</v>
      </c>
      <c r="G261" s="3" t="s">
        <v>1041</v>
      </c>
      <c r="H261" s="3"/>
      <c r="I261" s="3">
        <v>465.2</v>
      </c>
      <c r="J261" s="3"/>
      <c r="K261" s="3" t="s">
        <v>2272</v>
      </c>
      <c r="L261" s="761">
        <v>44670</v>
      </c>
      <c r="M261" s="761"/>
      <c r="N261" s="761"/>
      <c r="O261" s="761" t="s">
        <v>62</v>
      </c>
      <c r="P261" s="762" t="s">
        <v>2300</v>
      </c>
      <c r="Q261" s="3"/>
      <c r="R261" s="3"/>
      <c r="S261" s="3" t="s">
        <v>1547</v>
      </c>
      <c r="T261" s="3"/>
      <c r="U261" s="3">
        <v>330.3</v>
      </c>
      <c r="V261" s="4"/>
      <c r="W261" s="761"/>
      <c r="X261" s="4" t="str">
        <f t="shared" si="1"/>
        <v>April</v>
      </c>
      <c r="Y261" s="761">
        <v>44670</v>
      </c>
      <c r="Z261" s="761" t="s">
        <v>62</v>
      </c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spans="2:39">
      <c r="B262" s="747">
        <v>5</v>
      </c>
      <c r="C262" s="748" t="s">
        <v>1792</v>
      </c>
      <c r="D262" s="12" t="s">
        <v>2301</v>
      </c>
      <c r="E262" s="12" t="s">
        <v>2302</v>
      </c>
      <c r="F262" s="749">
        <v>6</v>
      </c>
      <c r="G262" s="3" t="s">
        <v>1041</v>
      </c>
      <c r="H262" s="3"/>
      <c r="I262" s="3">
        <v>467.3</v>
      </c>
      <c r="J262" s="3"/>
      <c r="K262" s="3" t="s">
        <v>2272</v>
      </c>
      <c r="L262" s="761">
        <v>44670</v>
      </c>
      <c r="M262" s="761"/>
      <c r="N262" s="761"/>
      <c r="O262" s="761" t="s">
        <v>62</v>
      </c>
      <c r="P262" s="762" t="s">
        <v>2303</v>
      </c>
      <c r="Q262" s="3"/>
      <c r="R262" s="3"/>
      <c r="S262" s="3" t="s">
        <v>1547</v>
      </c>
      <c r="T262" s="3"/>
      <c r="U262" s="3">
        <v>329</v>
      </c>
      <c r="V262" s="4"/>
      <c r="W262" s="761"/>
      <c r="X262" s="4" t="str">
        <f t="shared" si="1"/>
        <v>April</v>
      </c>
      <c r="Y262" s="761">
        <v>44670</v>
      </c>
      <c r="Z262" s="761" t="s">
        <v>62</v>
      </c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spans="2:39">
      <c r="B263" s="747">
        <v>5</v>
      </c>
      <c r="C263" s="748" t="s">
        <v>1792</v>
      </c>
      <c r="D263" s="12" t="s">
        <v>2304</v>
      </c>
      <c r="E263" s="12" t="s">
        <v>2305</v>
      </c>
      <c r="F263" s="749">
        <v>7</v>
      </c>
      <c r="G263" s="3" t="s">
        <v>1041</v>
      </c>
      <c r="H263" s="3"/>
      <c r="I263" s="3">
        <v>458.2</v>
      </c>
      <c r="J263" s="3"/>
      <c r="K263" s="3" t="s">
        <v>2272</v>
      </c>
      <c r="L263" s="761">
        <v>44671</v>
      </c>
      <c r="M263" s="761"/>
      <c r="N263" s="761"/>
      <c r="O263" s="761" t="s">
        <v>62</v>
      </c>
      <c r="P263" s="762" t="s">
        <v>2306</v>
      </c>
      <c r="Q263" s="3"/>
      <c r="R263" s="3"/>
      <c r="S263" s="3" t="s">
        <v>1547</v>
      </c>
      <c r="T263" s="3"/>
      <c r="U263" s="3">
        <v>329.5</v>
      </c>
      <c r="V263" s="4"/>
      <c r="W263" s="761"/>
      <c r="X263" s="4" t="str">
        <f t="shared" si="1"/>
        <v>April</v>
      </c>
      <c r="Y263" s="761">
        <v>44671</v>
      </c>
      <c r="Z263" s="761" t="s">
        <v>62</v>
      </c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spans="2:39">
      <c r="B264" s="747">
        <v>5</v>
      </c>
      <c r="C264" s="748" t="s">
        <v>1792</v>
      </c>
      <c r="D264" s="12" t="s">
        <v>2307</v>
      </c>
      <c r="E264" s="12" t="s">
        <v>2308</v>
      </c>
      <c r="F264" s="749">
        <v>8</v>
      </c>
      <c r="G264" s="3" t="s">
        <v>1041</v>
      </c>
      <c r="H264" s="3"/>
      <c r="I264" s="3">
        <v>468</v>
      </c>
      <c r="J264" s="3"/>
      <c r="K264" s="3" t="s">
        <v>2272</v>
      </c>
      <c r="L264" s="761">
        <v>44671</v>
      </c>
      <c r="M264" s="761"/>
      <c r="N264" s="761"/>
      <c r="O264" s="761" t="s">
        <v>62</v>
      </c>
      <c r="P264" s="762" t="s">
        <v>2309</v>
      </c>
      <c r="Q264" s="3"/>
      <c r="R264" s="3"/>
      <c r="S264" s="3" t="s">
        <v>1547</v>
      </c>
      <c r="T264" s="3"/>
      <c r="U264" s="3">
        <v>330</v>
      </c>
      <c r="V264" s="4"/>
      <c r="W264" s="761"/>
      <c r="X264" s="4" t="str">
        <f t="shared" si="1"/>
        <v>April</v>
      </c>
      <c r="Y264" s="761">
        <v>44671</v>
      </c>
      <c r="Z264" s="761" t="s">
        <v>62</v>
      </c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spans="2:39">
      <c r="B265" s="747">
        <v>5</v>
      </c>
      <c r="C265" s="748" t="s">
        <v>1792</v>
      </c>
      <c r="D265" s="12" t="s">
        <v>2310</v>
      </c>
      <c r="E265" s="12" t="s">
        <v>2311</v>
      </c>
      <c r="F265" s="749">
        <v>9</v>
      </c>
      <c r="G265" s="3" t="s">
        <v>1041</v>
      </c>
      <c r="H265" s="3"/>
      <c r="I265" s="3">
        <v>469</v>
      </c>
      <c r="J265" s="3"/>
      <c r="K265" s="3" t="s">
        <v>2272</v>
      </c>
      <c r="L265" s="761">
        <v>44672</v>
      </c>
      <c r="M265" s="761"/>
      <c r="N265" s="761"/>
      <c r="O265" s="761" t="s">
        <v>62</v>
      </c>
      <c r="P265" s="762" t="s">
        <v>2312</v>
      </c>
      <c r="Q265" s="3"/>
      <c r="R265" s="3"/>
      <c r="S265" s="3" t="s">
        <v>1547</v>
      </c>
      <c r="T265" s="3"/>
      <c r="U265" s="3">
        <v>329.9</v>
      </c>
      <c r="V265" s="4"/>
      <c r="W265" s="761"/>
      <c r="X265" s="4" t="str">
        <f t="shared" si="1"/>
        <v>April</v>
      </c>
      <c r="Y265" s="761">
        <v>44671</v>
      </c>
      <c r="Z265" s="761" t="s">
        <v>62</v>
      </c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spans="2:39">
      <c r="B266" s="747">
        <v>5</v>
      </c>
      <c r="C266" s="748" t="s">
        <v>1792</v>
      </c>
      <c r="D266" s="12" t="s">
        <v>2313</v>
      </c>
      <c r="E266" s="12" t="s">
        <v>2314</v>
      </c>
      <c r="F266" s="749">
        <v>10</v>
      </c>
      <c r="G266" s="3" t="s">
        <v>1041</v>
      </c>
      <c r="H266" s="3"/>
      <c r="I266" s="3">
        <v>467.6</v>
      </c>
      <c r="J266" s="3"/>
      <c r="K266" s="3" t="s">
        <v>2272</v>
      </c>
      <c r="L266" s="761">
        <v>44672</v>
      </c>
      <c r="M266" s="761"/>
      <c r="N266" s="761"/>
      <c r="O266" s="761" t="s">
        <v>62</v>
      </c>
      <c r="P266" s="762" t="s">
        <v>2315</v>
      </c>
      <c r="Q266" s="3"/>
      <c r="R266" s="3"/>
      <c r="S266" s="3" t="s">
        <v>1547</v>
      </c>
      <c r="T266" s="3"/>
      <c r="U266" s="3">
        <v>329.9</v>
      </c>
      <c r="V266" s="4"/>
      <c r="W266" s="761"/>
      <c r="X266" s="4" t="str">
        <f t="shared" si="1"/>
        <v>April</v>
      </c>
      <c r="Y266" s="761">
        <v>44672</v>
      </c>
      <c r="Z266" s="761" t="s">
        <v>62</v>
      </c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spans="2:39">
      <c r="B267" s="747">
        <v>5</v>
      </c>
      <c r="C267" s="748" t="s">
        <v>1792</v>
      </c>
      <c r="D267" s="12" t="s">
        <v>2316</v>
      </c>
      <c r="E267" s="12" t="s">
        <v>2317</v>
      </c>
      <c r="F267" s="749">
        <v>11</v>
      </c>
      <c r="G267" s="3" t="s">
        <v>1041</v>
      </c>
      <c r="H267" s="3"/>
      <c r="I267" s="3">
        <v>466.6</v>
      </c>
      <c r="J267" s="3"/>
      <c r="K267" s="3" t="s">
        <v>2272</v>
      </c>
      <c r="L267" s="761">
        <v>44673</v>
      </c>
      <c r="M267" s="761"/>
      <c r="N267" s="761"/>
      <c r="O267" s="761" t="s">
        <v>62</v>
      </c>
      <c r="P267" s="762" t="s">
        <v>2318</v>
      </c>
      <c r="Q267" s="3"/>
      <c r="R267" s="3"/>
      <c r="S267" s="3" t="s">
        <v>1547</v>
      </c>
      <c r="T267" s="3"/>
      <c r="U267" s="3">
        <v>329.9</v>
      </c>
      <c r="V267" s="4"/>
      <c r="W267" s="761"/>
      <c r="X267" s="4" t="str">
        <f t="shared" si="1"/>
        <v>April</v>
      </c>
      <c r="Y267" s="761">
        <v>44672</v>
      </c>
      <c r="Z267" s="761" t="s">
        <v>62</v>
      </c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spans="2:39">
      <c r="B268" s="747">
        <v>5</v>
      </c>
      <c r="C268" s="748" t="s">
        <v>1792</v>
      </c>
      <c r="D268" s="12" t="s">
        <v>2319</v>
      </c>
      <c r="E268" s="12" t="s">
        <v>2320</v>
      </c>
      <c r="F268" s="749">
        <v>12</v>
      </c>
      <c r="G268" s="3" t="s">
        <v>1041</v>
      </c>
      <c r="H268" s="3"/>
      <c r="I268" s="3">
        <v>461.2</v>
      </c>
      <c r="J268" s="3"/>
      <c r="K268" s="3" t="s">
        <v>2272</v>
      </c>
      <c r="L268" s="761">
        <v>44679</v>
      </c>
      <c r="M268" s="761"/>
      <c r="N268" s="761"/>
      <c r="O268" s="761" t="s">
        <v>62</v>
      </c>
      <c r="P268" s="762" t="s">
        <v>2321</v>
      </c>
      <c r="Q268" s="3"/>
      <c r="R268" s="3"/>
      <c r="S268" s="3" t="s">
        <v>1547</v>
      </c>
      <c r="T268" s="3"/>
      <c r="U268" s="3">
        <v>330.6</v>
      </c>
      <c r="V268" s="4"/>
      <c r="W268" s="761"/>
      <c r="X268" s="4" t="str">
        <f t="shared" si="1"/>
        <v>April</v>
      </c>
      <c r="Y268" s="761">
        <v>44680</v>
      </c>
      <c r="Z268" s="761" t="s">
        <v>62</v>
      </c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spans="2:39">
      <c r="B269" s="747">
        <v>5</v>
      </c>
      <c r="C269" s="748" t="s">
        <v>1792</v>
      </c>
      <c r="D269" s="12" t="s">
        <v>2322</v>
      </c>
      <c r="E269" s="12" t="s">
        <v>2323</v>
      </c>
      <c r="F269" s="749">
        <v>13</v>
      </c>
      <c r="G269" s="3" t="s">
        <v>1041</v>
      </c>
      <c r="H269" s="3"/>
      <c r="I269" s="3">
        <v>468</v>
      </c>
      <c r="J269" s="3"/>
      <c r="K269" s="3" t="s">
        <v>2272</v>
      </c>
      <c r="L269" s="761">
        <v>44680</v>
      </c>
      <c r="M269" s="761"/>
      <c r="N269" s="761"/>
      <c r="O269" s="761" t="s">
        <v>62</v>
      </c>
      <c r="P269" s="762" t="s">
        <v>2324</v>
      </c>
      <c r="Q269" s="3"/>
      <c r="R269" s="3"/>
      <c r="S269" s="3" t="s">
        <v>1547</v>
      </c>
      <c r="T269" s="3"/>
      <c r="U269" s="3">
        <v>330.2</v>
      </c>
      <c r="V269" s="4"/>
      <c r="W269" s="761"/>
      <c r="X269" s="4" t="str">
        <f t="shared" si="1"/>
        <v>April</v>
      </c>
      <c r="Y269" s="761">
        <v>44680</v>
      </c>
      <c r="Z269" s="761" t="s">
        <v>62</v>
      </c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spans="2:39">
      <c r="B270" s="747">
        <v>5</v>
      </c>
      <c r="C270" s="748" t="s">
        <v>1792</v>
      </c>
      <c r="D270" s="12" t="s">
        <v>2325</v>
      </c>
      <c r="E270" s="12" t="s">
        <v>2326</v>
      </c>
      <c r="F270" s="749">
        <v>14</v>
      </c>
      <c r="G270" s="3" t="s">
        <v>1041</v>
      </c>
      <c r="H270" s="3"/>
      <c r="I270" s="3">
        <v>459.5</v>
      </c>
      <c r="J270" s="3"/>
      <c r="K270" s="3" t="s">
        <v>2327</v>
      </c>
      <c r="L270" s="761">
        <v>44691</v>
      </c>
      <c r="M270" s="761"/>
      <c r="N270" s="761"/>
      <c r="O270" s="761" t="s">
        <v>62</v>
      </c>
      <c r="P270" s="762" t="s">
        <v>2328</v>
      </c>
      <c r="Q270" s="3"/>
      <c r="R270" s="3"/>
      <c r="S270" s="3" t="s">
        <v>2329</v>
      </c>
      <c r="T270" s="3"/>
      <c r="U270" s="3">
        <v>329.9</v>
      </c>
      <c r="V270" s="4"/>
      <c r="W270" s="761"/>
      <c r="X270" s="4" t="str">
        <f t="shared" si="1"/>
        <v>May</v>
      </c>
      <c r="Y270" s="761">
        <v>44690</v>
      </c>
      <c r="Z270" s="761" t="s">
        <v>62</v>
      </c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spans="2:39">
      <c r="B271" s="747">
        <v>5</v>
      </c>
      <c r="C271" s="748" t="s">
        <v>1792</v>
      </c>
      <c r="D271" s="12" t="s">
        <v>2330</v>
      </c>
      <c r="E271" s="12" t="s">
        <v>2331</v>
      </c>
      <c r="F271" s="749">
        <v>15</v>
      </c>
      <c r="G271" s="3" t="s">
        <v>1041</v>
      </c>
      <c r="H271" s="3"/>
      <c r="I271" s="3">
        <v>463</v>
      </c>
      <c r="J271" s="3"/>
      <c r="K271" s="3" t="s">
        <v>2327</v>
      </c>
      <c r="L271" s="761">
        <v>44692</v>
      </c>
      <c r="M271" s="761"/>
      <c r="N271" s="761"/>
      <c r="O271" s="761" t="s">
        <v>62</v>
      </c>
      <c r="P271" s="762" t="s">
        <v>2332</v>
      </c>
      <c r="Q271" s="3"/>
      <c r="R271" s="3"/>
      <c r="S271" s="3" t="s">
        <v>1547</v>
      </c>
      <c r="T271" s="3"/>
      <c r="U271" s="3">
        <v>330</v>
      </c>
      <c r="V271" s="4"/>
      <c r="W271" s="761"/>
      <c r="X271" s="4" t="str">
        <f t="shared" si="1"/>
        <v>May</v>
      </c>
      <c r="Y271" s="761">
        <v>44691</v>
      </c>
      <c r="Z271" s="761" t="s">
        <v>62</v>
      </c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spans="2:39">
      <c r="B272" s="747">
        <v>5</v>
      </c>
      <c r="C272" s="748" t="s">
        <v>1792</v>
      </c>
      <c r="D272" s="12" t="s">
        <v>2333</v>
      </c>
      <c r="E272" s="12" t="s">
        <v>2334</v>
      </c>
      <c r="F272" s="749">
        <v>16</v>
      </c>
      <c r="G272" s="3" t="s">
        <v>932</v>
      </c>
      <c r="H272" s="3"/>
      <c r="I272" s="3">
        <v>470.3</v>
      </c>
      <c r="J272" s="3"/>
      <c r="K272" s="3" t="s">
        <v>2327</v>
      </c>
      <c r="L272" s="761">
        <v>44692</v>
      </c>
      <c r="M272" s="761"/>
      <c r="N272" s="761"/>
      <c r="O272" s="761" t="s">
        <v>62</v>
      </c>
      <c r="P272" s="762" t="s">
        <v>2335</v>
      </c>
      <c r="Q272" s="3"/>
      <c r="R272" s="3"/>
      <c r="S272" s="3" t="s">
        <v>2336</v>
      </c>
      <c r="T272" s="3"/>
      <c r="U272" s="3">
        <v>330.6</v>
      </c>
      <c r="V272" s="4"/>
      <c r="W272" s="761"/>
      <c r="X272" s="4" t="str">
        <f t="shared" si="1"/>
        <v>May</v>
      </c>
      <c r="Y272" s="761">
        <v>44693</v>
      </c>
      <c r="Z272" s="761" t="s">
        <v>62</v>
      </c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spans="2:39">
      <c r="B273" s="747">
        <v>5</v>
      </c>
      <c r="C273" s="748" t="s">
        <v>1792</v>
      </c>
      <c r="D273" s="12" t="s">
        <v>2337</v>
      </c>
      <c r="E273" s="12" t="s">
        <v>2338</v>
      </c>
      <c r="F273" s="749">
        <v>17</v>
      </c>
      <c r="G273" s="3" t="s">
        <v>1041</v>
      </c>
      <c r="H273" s="3"/>
      <c r="I273" s="3">
        <v>461.8</v>
      </c>
      <c r="J273" s="3"/>
      <c r="K273" s="3" t="s">
        <v>2327</v>
      </c>
      <c r="L273" s="761">
        <v>44693</v>
      </c>
      <c r="M273" s="761"/>
      <c r="N273" s="761"/>
      <c r="O273" s="761" t="s">
        <v>62</v>
      </c>
      <c r="P273" s="762" t="s">
        <v>2339</v>
      </c>
      <c r="Q273" s="3"/>
      <c r="R273" s="3"/>
      <c r="S273" s="3" t="s">
        <v>2336</v>
      </c>
      <c r="T273" s="3"/>
      <c r="U273" s="3">
        <v>330.2</v>
      </c>
      <c r="V273" s="4"/>
      <c r="W273" s="761"/>
      <c r="X273" s="4" t="str">
        <f t="shared" si="1"/>
        <v>May</v>
      </c>
      <c r="Y273" s="761">
        <v>44693</v>
      </c>
      <c r="Z273" s="761" t="s">
        <v>62</v>
      </c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spans="2:39">
      <c r="B274" s="747">
        <v>5</v>
      </c>
      <c r="C274" s="748" t="s">
        <v>1792</v>
      </c>
      <c r="D274" s="12" t="s">
        <v>2340</v>
      </c>
      <c r="E274" s="12" t="s">
        <v>2341</v>
      </c>
      <c r="F274" s="749">
        <v>18</v>
      </c>
      <c r="G274" s="3" t="s">
        <v>1041</v>
      </c>
      <c r="H274" s="3"/>
      <c r="I274" s="3">
        <v>466.5</v>
      </c>
      <c r="J274" s="3"/>
      <c r="K274" s="3" t="s">
        <v>2327</v>
      </c>
      <c r="L274" s="761">
        <v>44693</v>
      </c>
      <c r="M274" s="761"/>
      <c r="N274" s="761"/>
      <c r="O274" s="761" t="s">
        <v>62</v>
      </c>
      <c r="P274" s="762" t="s">
        <v>2342</v>
      </c>
      <c r="Q274" s="3"/>
      <c r="R274" s="3"/>
      <c r="S274" s="3" t="s">
        <v>2336</v>
      </c>
      <c r="T274" s="3"/>
      <c r="U274" s="3">
        <v>330.1</v>
      </c>
      <c r="V274" s="4"/>
      <c r="W274" s="761"/>
      <c r="X274" s="4" t="str">
        <f t="shared" si="1"/>
        <v>May</v>
      </c>
      <c r="Y274" s="761">
        <v>44693</v>
      </c>
      <c r="Z274" s="761" t="s">
        <v>62</v>
      </c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spans="2:39">
      <c r="B275" s="747">
        <v>5</v>
      </c>
      <c r="C275" s="748" t="s">
        <v>1792</v>
      </c>
      <c r="D275" s="12" t="s">
        <v>2343</v>
      </c>
      <c r="E275" s="12" t="s">
        <v>2344</v>
      </c>
      <c r="F275" s="749">
        <v>19</v>
      </c>
      <c r="G275" s="3" t="s">
        <v>1041</v>
      </c>
      <c r="H275" s="3"/>
      <c r="I275" s="3">
        <v>466.9</v>
      </c>
      <c r="J275" s="3"/>
      <c r="K275" s="3" t="s">
        <v>2327</v>
      </c>
      <c r="L275" s="761">
        <v>44693</v>
      </c>
      <c r="M275" s="761"/>
      <c r="N275" s="761"/>
      <c r="O275" s="761" t="s">
        <v>62</v>
      </c>
      <c r="P275" s="762" t="s">
        <v>2345</v>
      </c>
      <c r="Q275" s="3"/>
      <c r="R275" s="3"/>
      <c r="S275" s="3" t="s">
        <v>2336</v>
      </c>
      <c r="T275" s="3"/>
      <c r="U275" s="3">
        <v>330.6</v>
      </c>
      <c r="V275" s="4"/>
      <c r="W275" s="761"/>
      <c r="X275" s="4" t="str">
        <f t="shared" si="1"/>
        <v>May</v>
      </c>
      <c r="Y275" s="761">
        <v>44693</v>
      </c>
      <c r="Z275" s="761" t="s">
        <v>62</v>
      </c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spans="2:39">
      <c r="B276" s="747">
        <v>5</v>
      </c>
      <c r="C276" s="748" t="s">
        <v>1792</v>
      </c>
      <c r="D276" s="12" t="s">
        <v>2346</v>
      </c>
      <c r="E276" s="12" t="s">
        <v>2347</v>
      </c>
      <c r="F276" s="749">
        <v>20</v>
      </c>
      <c r="G276" s="3" t="s">
        <v>1041</v>
      </c>
      <c r="H276" s="3"/>
      <c r="I276" s="3">
        <v>474</v>
      </c>
      <c r="J276" s="3"/>
      <c r="K276" s="3" t="s">
        <v>2327</v>
      </c>
      <c r="L276" s="761">
        <v>44694</v>
      </c>
      <c r="M276" s="761"/>
      <c r="N276" s="761"/>
      <c r="O276" s="761" t="s">
        <v>62</v>
      </c>
      <c r="P276" s="762" t="s">
        <v>2348</v>
      </c>
      <c r="Q276" s="3"/>
      <c r="R276" s="3"/>
      <c r="S276" s="3" t="s">
        <v>2336</v>
      </c>
      <c r="T276" s="3"/>
      <c r="U276" s="3">
        <v>329.6</v>
      </c>
      <c r="V276" s="4"/>
      <c r="W276" s="761"/>
      <c r="X276" s="4" t="str">
        <f t="shared" si="1"/>
        <v>May</v>
      </c>
      <c r="Y276" s="761">
        <v>44693</v>
      </c>
      <c r="Z276" s="761" t="s">
        <v>62</v>
      </c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spans="2:39">
      <c r="B277" s="747">
        <v>5</v>
      </c>
      <c r="C277" s="748" t="s">
        <v>1792</v>
      </c>
      <c r="D277" s="12" t="s">
        <v>2349</v>
      </c>
      <c r="E277" s="12" t="s">
        <v>2350</v>
      </c>
      <c r="F277" s="749">
        <v>21</v>
      </c>
      <c r="G277" s="3" t="s">
        <v>1041</v>
      </c>
      <c r="H277" s="3"/>
      <c r="I277" s="3">
        <v>462.5</v>
      </c>
      <c r="J277" s="3"/>
      <c r="K277" s="3" t="s">
        <v>2327</v>
      </c>
      <c r="L277" s="761">
        <v>44694</v>
      </c>
      <c r="M277" s="761"/>
      <c r="N277" s="761"/>
      <c r="O277" s="761" t="s">
        <v>62</v>
      </c>
      <c r="P277" s="762" t="s">
        <v>2351</v>
      </c>
      <c r="Q277" s="3"/>
      <c r="R277" s="3"/>
      <c r="S277" s="3" t="s">
        <v>2336</v>
      </c>
      <c r="T277" s="3"/>
      <c r="U277" s="3">
        <v>330</v>
      </c>
      <c r="V277" s="4"/>
      <c r="W277" s="761"/>
      <c r="X277" s="4" t="str">
        <f t="shared" si="1"/>
        <v>May</v>
      </c>
      <c r="Y277" s="761">
        <v>44694</v>
      </c>
      <c r="Z277" s="761" t="s">
        <v>62</v>
      </c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spans="2:39">
      <c r="B278" s="747">
        <v>5</v>
      </c>
      <c r="C278" s="748" t="s">
        <v>1792</v>
      </c>
      <c r="D278" s="12" t="s">
        <v>2352</v>
      </c>
      <c r="E278" s="12" t="s">
        <v>2353</v>
      </c>
      <c r="F278" s="749">
        <v>22</v>
      </c>
      <c r="G278" s="3" t="s">
        <v>128</v>
      </c>
      <c r="H278" s="3"/>
      <c r="I278" s="3">
        <v>465.4</v>
      </c>
      <c r="J278" s="3"/>
      <c r="K278" s="3" t="s">
        <v>2327</v>
      </c>
      <c r="L278" s="761">
        <v>44698</v>
      </c>
      <c r="M278" s="761"/>
      <c r="N278" s="761"/>
      <c r="O278" s="761" t="s">
        <v>62</v>
      </c>
      <c r="P278" s="762" t="s">
        <v>2354</v>
      </c>
      <c r="Q278" s="3"/>
      <c r="R278" s="3"/>
      <c r="S278" s="3" t="s">
        <v>2336</v>
      </c>
      <c r="T278" s="3"/>
      <c r="U278" s="3">
        <v>329.9</v>
      </c>
      <c r="V278" s="4"/>
      <c r="W278" s="761"/>
      <c r="X278" s="4" t="str">
        <f t="shared" si="1"/>
        <v>May</v>
      </c>
      <c r="Y278" s="761">
        <v>44694</v>
      </c>
      <c r="Z278" s="761" t="s">
        <v>62</v>
      </c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spans="2:39">
      <c r="B279" s="747">
        <v>5</v>
      </c>
      <c r="C279" s="748" t="s">
        <v>1792</v>
      </c>
      <c r="D279" s="12" t="s">
        <v>2355</v>
      </c>
      <c r="E279" s="12" t="s">
        <v>2356</v>
      </c>
      <c r="F279" s="749">
        <v>23</v>
      </c>
      <c r="G279" s="3" t="s">
        <v>1041</v>
      </c>
      <c r="H279" s="3"/>
      <c r="I279" s="3">
        <v>465.1</v>
      </c>
      <c r="J279" s="3"/>
      <c r="K279" s="3" t="s">
        <v>2327</v>
      </c>
      <c r="L279" s="761">
        <v>44698</v>
      </c>
      <c r="M279" s="761"/>
      <c r="N279" s="761"/>
      <c r="O279" s="761" t="s">
        <v>62</v>
      </c>
      <c r="P279" s="762" t="s">
        <v>2357</v>
      </c>
      <c r="Q279" s="3"/>
      <c r="R279" s="3"/>
      <c r="S279" s="3" t="s">
        <v>2336</v>
      </c>
      <c r="T279" s="3"/>
      <c r="U279" s="3">
        <v>330.2</v>
      </c>
      <c r="V279" s="4"/>
      <c r="W279" s="761"/>
      <c r="X279" s="4" t="str">
        <f t="shared" si="1"/>
        <v>May</v>
      </c>
      <c r="Y279" s="761">
        <v>44694</v>
      </c>
      <c r="Z279" s="761" t="s">
        <v>62</v>
      </c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spans="2:39">
      <c r="B280" s="747">
        <v>5</v>
      </c>
      <c r="C280" s="748" t="s">
        <v>1792</v>
      </c>
      <c r="D280" s="12" t="s">
        <v>2358</v>
      </c>
      <c r="E280" s="12" t="s">
        <v>2359</v>
      </c>
      <c r="F280" s="749">
        <v>24</v>
      </c>
      <c r="G280" s="3" t="s">
        <v>1041</v>
      </c>
      <c r="H280" s="3"/>
      <c r="I280" s="3">
        <v>465.3</v>
      </c>
      <c r="J280" s="3"/>
      <c r="K280" s="3" t="s">
        <v>2327</v>
      </c>
      <c r="L280" s="761">
        <v>44698</v>
      </c>
      <c r="M280" s="761"/>
      <c r="N280" s="761"/>
      <c r="O280" s="761" t="s">
        <v>62</v>
      </c>
      <c r="P280" s="762" t="s">
        <v>2360</v>
      </c>
      <c r="Q280" s="3"/>
      <c r="R280" s="3"/>
      <c r="S280" s="3" t="s">
        <v>2336</v>
      </c>
      <c r="T280" s="3"/>
      <c r="U280" s="3">
        <v>330.1</v>
      </c>
      <c r="V280" s="4"/>
      <c r="W280" s="761"/>
      <c r="X280" s="4" t="str">
        <f t="shared" si="1"/>
        <v>May</v>
      </c>
      <c r="Y280" s="761">
        <v>44698</v>
      </c>
      <c r="Z280" s="761" t="s">
        <v>62</v>
      </c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spans="2:39">
      <c r="B281" s="747">
        <v>5</v>
      </c>
      <c r="C281" s="748" t="s">
        <v>1792</v>
      </c>
      <c r="D281" s="12" t="s">
        <v>2361</v>
      </c>
      <c r="E281" s="12" t="s">
        <v>2362</v>
      </c>
      <c r="F281" s="749">
        <v>25</v>
      </c>
      <c r="G281" s="3" t="s">
        <v>1041</v>
      </c>
      <c r="H281" s="3"/>
      <c r="I281" s="3">
        <v>466.6</v>
      </c>
      <c r="J281" s="3"/>
      <c r="K281" s="3" t="s">
        <v>2327</v>
      </c>
      <c r="L281" s="761">
        <v>44698</v>
      </c>
      <c r="M281" s="761"/>
      <c r="N281" s="761"/>
      <c r="O281" s="761" t="s">
        <v>62</v>
      </c>
      <c r="P281" s="762" t="s">
        <v>2363</v>
      </c>
      <c r="Q281" s="3"/>
      <c r="R281" s="3"/>
      <c r="S281" s="3" t="s">
        <v>2336</v>
      </c>
      <c r="T281" s="3"/>
      <c r="U281" s="3">
        <v>330.4</v>
      </c>
      <c r="V281" s="4"/>
      <c r="W281" s="761"/>
      <c r="X281" s="4" t="str">
        <f t="shared" si="1"/>
        <v>May</v>
      </c>
      <c r="Y281" s="761">
        <v>44698</v>
      </c>
      <c r="Z281" s="761" t="s">
        <v>62</v>
      </c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spans="2:39" s="705" customFormat="1" ht="18" customHeight="1">
      <c r="B282" s="731"/>
      <c r="C282" s="736" t="s">
        <v>1759</v>
      </c>
      <c r="D282" s="737"/>
      <c r="E282" s="738"/>
      <c r="F282" s="739"/>
      <c r="G282" s="740"/>
      <c r="H282" s="740"/>
      <c r="I282" s="740"/>
      <c r="J282" s="756"/>
      <c r="K282" s="756"/>
      <c r="L282" s="740"/>
      <c r="M282" s="740"/>
      <c r="N282" s="740"/>
      <c r="O282" s="757"/>
      <c r="P282" s="758"/>
      <c r="Q282" s="740"/>
      <c r="R282" s="740"/>
      <c r="S282" s="740"/>
      <c r="T282" s="740"/>
      <c r="U282" s="740"/>
      <c r="V282" s="740"/>
      <c r="W282" s="740"/>
      <c r="X282" s="740"/>
      <c r="Y282" s="740"/>
      <c r="Z282" s="757"/>
      <c r="AA282" s="771"/>
      <c r="AB282" s="771"/>
      <c r="AC282" s="771"/>
      <c r="AD282" s="771"/>
      <c r="AE282" s="771"/>
      <c r="AF282" s="771"/>
      <c r="AG282" s="775"/>
      <c r="AH282" s="771"/>
      <c r="AI282" s="771"/>
      <c r="AJ282" s="771"/>
      <c r="AK282" s="771"/>
      <c r="AL282" s="771"/>
      <c r="AM282" s="776"/>
    </row>
    <row r="283" spans="2:39">
      <c r="B283" s="747">
        <v>6</v>
      </c>
      <c r="C283" s="748" t="s">
        <v>1792</v>
      </c>
      <c r="D283" s="780" t="s">
        <v>2364</v>
      </c>
      <c r="E283" s="781" t="s">
        <v>2365</v>
      </c>
      <c r="F283" s="749">
        <v>1</v>
      </c>
      <c r="G283" s="3" t="s">
        <v>1041</v>
      </c>
      <c r="H283" s="783"/>
      <c r="I283" s="3">
        <v>463.9</v>
      </c>
      <c r="J283" s="3"/>
      <c r="K283" s="3" t="s">
        <v>2327</v>
      </c>
      <c r="L283" s="761">
        <v>44700</v>
      </c>
      <c r="M283" s="761"/>
      <c r="N283" s="761"/>
      <c r="O283" s="761" t="s">
        <v>62</v>
      </c>
      <c r="P283" s="762" t="s">
        <v>2366</v>
      </c>
      <c r="Q283" s="3"/>
      <c r="R283" s="3"/>
      <c r="S283" s="3" t="s">
        <v>2336</v>
      </c>
      <c r="T283" s="3"/>
      <c r="U283" s="3">
        <v>330.4</v>
      </c>
      <c r="V283" s="4"/>
      <c r="W283" s="761"/>
      <c r="X283" s="4" t="str">
        <f t="shared" si="1"/>
        <v>May</v>
      </c>
      <c r="Y283" s="761">
        <v>44699</v>
      </c>
      <c r="Z283" s="761" t="s">
        <v>62</v>
      </c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spans="2:39">
      <c r="B284" s="747">
        <v>6</v>
      </c>
      <c r="C284" s="748" t="s">
        <v>1792</v>
      </c>
      <c r="D284" s="780" t="s">
        <v>2367</v>
      </c>
      <c r="E284" s="781" t="s">
        <v>2368</v>
      </c>
      <c r="F284" s="749">
        <v>2</v>
      </c>
      <c r="G284" s="3" t="s">
        <v>1041</v>
      </c>
      <c r="H284" s="783"/>
      <c r="I284" s="3">
        <v>468.6</v>
      </c>
      <c r="J284" s="3"/>
      <c r="K284" s="3" t="s">
        <v>2327</v>
      </c>
      <c r="L284" s="761">
        <v>44700</v>
      </c>
      <c r="M284" s="761"/>
      <c r="N284" s="761"/>
      <c r="O284" s="761" t="s">
        <v>62</v>
      </c>
      <c r="P284" s="762" t="s">
        <v>2369</v>
      </c>
      <c r="Q284" s="3"/>
      <c r="R284" s="3"/>
      <c r="S284" s="3" t="s">
        <v>2336</v>
      </c>
      <c r="T284" s="3"/>
      <c r="U284" s="3">
        <v>330.5</v>
      </c>
      <c r="V284" s="4"/>
      <c r="W284" s="761"/>
      <c r="X284" s="4" t="str">
        <f t="shared" si="1"/>
        <v>May</v>
      </c>
      <c r="Y284" s="761">
        <v>44699</v>
      </c>
      <c r="Z284" s="761" t="s">
        <v>62</v>
      </c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spans="2:39">
      <c r="B285" s="747">
        <v>6</v>
      </c>
      <c r="C285" s="748" t="s">
        <v>1792</v>
      </c>
      <c r="D285" s="780" t="s">
        <v>2370</v>
      </c>
      <c r="E285" s="781" t="s">
        <v>2371</v>
      </c>
      <c r="F285" s="749">
        <v>3</v>
      </c>
      <c r="G285" s="3" t="s">
        <v>1041</v>
      </c>
      <c r="H285" s="783"/>
      <c r="I285" s="3">
        <v>466.8</v>
      </c>
      <c r="J285" s="3"/>
      <c r="K285" s="3" t="s">
        <v>2327</v>
      </c>
      <c r="L285" s="761">
        <v>44700</v>
      </c>
      <c r="M285" s="761"/>
      <c r="N285" s="761"/>
      <c r="O285" s="761" t="s">
        <v>62</v>
      </c>
      <c r="P285" s="762" t="s">
        <v>2372</v>
      </c>
      <c r="Q285" s="3"/>
      <c r="R285" s="3"/>
      <c r="S285" s="3" t="s">
        <v>2336</v>
      </c>
      <c r="T285" s="3"/>
      <c r="U285" s="3">
        <v>330.1</v>
      </c>
      <c r="V285" s="4"/>
      <c r="W285" s="761"/>
      <c r="X285" s="4" t="str">
        <f t="shared" si="1"/>
        <v>May</v>
      </c>
      <c r="Y285" s="761">
        <v>44699</v>
      </c>
      <c r="Z285" s="761" t="s">
        <v>62</v>
      </c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spans="2:39">
      <c r="B286" s="747">
        <v>6</v>
      </c>
      <c r="C286" s="748" t="s">
        <v>1792</v>
      </c>
      <c r="D286" s="780" t="s">
        <v>2373</v>
      </c>
      <c r="E286" s="781" t="s">
        <v>2374</v>
      </c>
      <c r="F286" s="749">
        <v>4</v>
      </c>
      <c r="G286" s="3" t="s">
        <v>1041</v>
      </c>
      <c r="H286" s="783"/>
      <c r="I286" s="3">
        <v>466.6</v>
      </c>
      <c r="J286" s="3"/>
      <c r="K286" s="3" t="s">
        <v>2327</v>
      </c>
      <c r="L286" s="761">
        <v>44700</v>
      </c>
      <c r="M286" s="761"/>
      <c r="N286" s="761"/>
      <c r="O286" s="761" t="s">
        <v>62</v>
      </c>
      <c r="P286" s="762" t="s">
        <v>2375</v>
      </c>
      <c r="Q286" s="3"/>
      <c r="R286" s="3"/>
      <c r="S286" s="3" t="s">
        <v>2336</v>
      </c>
      <c r="T286" s="3"/>
      <c r="U286" s="3">
        <v>330.5</v>
      </c>
      <c r="V286" s="4"/>
      <c r="W286" s="761"/>
      <c r="X286" s="4" t="str">
        <f t="shared" si="1"/>
        <v>May</v>
      </c>
      <c r="Y286" s="761">
        <v>44700</v>
      </c>
      <c r="Z286" s="761" t="s">
        <v>62</v>
      </c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spans="2:39">
      <c r="B287" s="747">
        <v>6</v>
      </c>
      <c r="C287" s="748" t="s">
        <v>1792</v>
      </c>
      <c r="D287" s="780" t="s">
        <v>2376</v>
      </c>
      <c r="E287" s="781" t="s">
        <v>2377</v>
      </c>
      <c r="F287" s="749">
        <v>5</v>
      </c>
      <c r="G287" s="3" t="s">
        <v>1041</v>
      </c>
      <c r="H287" s="783"/>
      <c r="I287" s="3">
        <v>462</v>
      </c>
      <c r="J287" s="3"/>
      <c r="K287" s="3" t="s">
        <v>2327</v>
      </c>
      <c r="L287" s="761">
        <v>44701</v>
      </c>
      <c r="M287" s="761"/>
      <c r="N287" s="761"/>
      <c r="O287" s="761" t="s">
        <v>62</v>
      </c>
      <c r="P287" s="762" t="s">
        <v>2378</v>
      </c>
      <c r="Q287" s="3"/>
      <c r="R287" s="3"/>
      <c r="S287" s="3" t="s">
        <v>2336</v>
      </c>
      <c r="T287" s="3"/>
      <c r="U287" s="3">
        <v>330.4</v>
      </c>
      <c r="V287" s="4"/>
      <c r="W287" s="761"/>
      <c r="X287" s="4" t="str">
        <f t="shared" si="1"/>
        <v>May</v>
      </c>
      <c r="Y287" s="761">
        <v>44700</v>
      </c>
      <c r="Z287" s="761" t="s">
        <v>62</v>
      </c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spans="2:39">
      <c r="B288" s="747">
        <v>6</v>
      </c>
      <c r="C288" s="748" t="s">
        <v>1792</v>
      </c>
      <c r="D288" s="780" t="s">
        <v>2379</v>
      </c>
      <c r="E288" s="781" t="s">
        <v>2380</v>
      </c>
      <c r="F288" s="749">
        <v>6</v>
      </c>
      <c r="G288" s="3" t="s">
        <v>1041</v>
      </c>
      <c r="H288" s="783"/>
      <c r="I288" s="3">
        <v>466.8</v>
      </c>
      <c r="J288" s="3"/>
      <c r="K288" s="3" t="s">
        <v>2327</v>
      </c>
      <c r="L288" s="761">
        <v>44701</v>
      </c>
      <c r="M288" s="761"/>
      <c r="N288" s="761"/>
      <c r="O288" s="761" t="s">
        <v>62</v>
      </c>
      <c r="P288" s="762" t="s">
        <v>2381</v>
      </c>
      <c r="Q288" s="3"/>
      <c r="R288" s="3"/>
      <c r="S288" s="3" t="s">
        <v>2336</v>
      </c>
      <c r="T288" s="3"/>
      <c r="U288" s="3">
        <v>330.4</v>
      </c>
      <c r="V288" s="4"/>
      <c r="W288" s="761"/>
      <c r="X288" s="4" t="str">
        <f t="shared" si="1"/>
        <v>May</v>
      </c>
      <c r="Y288" s="761">
        <v>44700</v>
      </c>
      <c r="Z288" s="761" t="s">
        <v>62</v>
      </c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spans="2:39">
      <c r="B289" s="747">
        <v>6</v>
      </c>
      <c r="C289" s="748" t="s">
        <v>1792</v>
      </c>
      <c r="D289" s="780" t="s">
        <v>2382</v>
      </c>
      <c r="E289" s="781" t="s">
        <v>2383</v>
      </c>
      <c r="F289" s="749">
        <v>7</v>
      </c>
      <c r="G289" s="3" t="s">
        <v>1041</v>
      </c>
      <c r="H289" s="783"/>
      <c r="I289" s="3">
        <v>465.6</v>
      </c>
      <c r="J289" s="3"/>
      <c r="K289" s="3" t="s">
        <v>2327</v>
      </c>
      <c r="L289" s="761">
        <v>44701</v>
      </c>
      <c r="M289" s="761"/>
      <c r="N289" s="761"/>
      <c r="O289" s="761" t="s">
        <v>62</v>
      </c>
      <c r="P289" s="762" t="s">
        <v>2384</v>
      </c>
      <c r="Q289" s="3"/>
      <c r="R289" s="3"/>
      <c r="S289" s="3" t="s">
        <v>2336</v>
      </c>
      <c r="T289" s="3"/>
      <c r="U289" s="3">
        <v>330.5</v>
      </c>
      <c r="V289" s="4"/>
      <c r="W289" s="761"/>
      <c r="X289" s="4" t="str">
        <f t="shared" si="1"/>
        <v>May</v>
      </c>
      <c r="Y289" s="761">
        <v>44701</v>
      </c>
      <c r="Z289" s="761" t="s">
        <v>62</v>
      </c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spans="2:39">
      <c r="B290" s="747">
        <v>6</v>
      </c>
      <c r="C290" s="748" t="s">
        <v>1792</v>
      </c>
      <c r="D290" s="780" t="s">
        <v>2385</v>
      </c>
      <c r="E290" s="781" t="s">
        <v>2386</v>
      </c>
      <c r="F290" s="749">
        <v>8</v>
      </c>
      <c r="G290" s="3" t="s">
        <v>1041</v>
      </c>
      <c r="H290" s="783"/>
      <c r="I290" s="3">
        <v>462.5</v>
      </c>
      <c r="J290" s="3"/>
      <c r="K290" s="3" t="s">
        <v>2327</v>
      </c>
      <c r="L290" s="761">
        <v>44702</v>
      </c>
      <c r="M290" s="761"/>
      <c r="N290" s="761"/>
      <c r="O290" s="761" t="s">
        <v>62</v>
      </c>
      <c r="P290" s="762" t="s">
        <v>2387</v>
      </c>
      <c r="Q290" s="3"/>
      <c r="R290" s="3"/>
      <c r="S290" s="3" t="s">
        <v>2336</v>
      </c>
      <c r="T290" s="3"/>
      <c r="U290" s="3">
        <v>330.5</v>
      </c>
      <c r="V290" s="4"/>
      <c r="W290" s="761"/>
      <c r="X290" s="4" t="str">
        <f t="shared" si="1"/>
        <v>May</v>
      </c>
      <c r="Y290" s="761">
        <v>44701</v>
      </c>
      <c r="Z290" s="761" t="s">
        <v>62</v>
      </c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spans="2:39">
      <c r="B291" s="747">
        <v>6</v>
      </c>
      <c r="C291" s="748" t="s">
        <v>1792</v>
      </c>
      <c r="D291" s="780" t="s">
        <v>2388</v>
      </c>
      <c r="E291" s="781" t="s">
        <v>2389</v>
      </c>
      <c r="F291" s="749">
        <v>9</v>
      </c>
      <c r="G291" s="3" t="s">
        <v>1041</v>
      </c>
      <c r="H291" s="783"/>
      <c r="I291" s="3">
        <v>464.3</v>
      </c>
      <c r="J291" s="3"/>
      <c r="K291" s="3" t="s">
        <v>2327</v>
      </c>
      <c r="L291" s="761">
        <v>44702</v>
      </c>
      <c r="M291" s="761"/>
      <c r="N291" s="761"/>
      <c r="O291" s="761" t="s">
        <v>62</v>
      </c>
      <c r="P291" s="762" t="s">
        <v>2390</v>
      </c>
      <c r="Q291" s="3"/>
      <c r="R291" s="3"/>
      <c r="S291" s="3" t="s">
        <v>2336</v>
      </c>
      <c r="T291" s="3"/>
      <c r="U291" s="3">
        <v>330.3</v>
      </c>
      <c r="V291" s="4"/>
      <c r="W291" s="761"/>
      <c r="X291" s="4" t="str">
        <f t="shared" si="1"/>
        <v>May</v>
      </c>
      <c r="Y291" s="761">
        <v>44702</v>
      </c>
      <c r="Z291" s="761" t="s">
        <v>62</v>
      </c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spans="2:39">
      <c r="B292" s="747">
        <v>6</v>
      </c>
      <c r="C292" s="748" t="s">
        <v>1792</v>
      </c>
      <c r="D292" s="780" t="s">
        <v>2391</v>
      </c>
      <c r="E292" s="781" t="s">
        <v>2392</v>
      </c>
      <c r="F292" s="749">
        <v>10</v>
      </c>
      <c r="G292" s="3" t="s">
        <v>1041</v>
      </c>
      <c r="H292" s="783"/>
      <c r="I292" s="3">
        <v>466.1</v>
      </c>
      <c r="J292" s="3"/>
      <c r="K292" s="3" t="s">
        <v>2327</v>
      </c>
      <c r="L292" s="761">
        <v>44702</v>
      </c>
      <c r="M292" s="761"/>
      <c r="N292" s="761"/>
      <c r="O292" s="761" t="s">
        <v>62</v>
      </c>
      <c r="P292" s="762" t="s">
        <v>2393</v>
      </c>
      <c r="Q292" s="3"/>
      <c r="R292" s="3"/>
      <c r="S292" s="3" t="s">
        <v>2336</v>
      </c>
      <c r="T292" s="3"/>
      <c r="U292" s="3">
        <v>330.4</v>
      </c>
      <c r="V292" s="4"/>
      <c r="W292" s="761"/>
      <c r="X292" s="4" t="str">
        <f t="shared" si="1"/>
        <v>May</v>
      </c>
      <c r="Y292" s="761">
        <v>44702</v>
      </c>
      <c r="Z292" s="761" t="s">
        <v>62</v>
      </c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spans="2:39">
      <c r="B293" s="747">
        <v>6</v>
      </c>
      <c r="C293" s="748" t="s">
        <v>1792</v>
      </c>
      <c r="D293" s="781" t="s">
        <v>2394</v>
      </c>
      <c r="E293" s="780" t="s">
        <v>2395</v>
      </c>
      <c r="F293" s="749">
        <v>11</v>
      </c>
      <c r="G293" s="3" t="s">
        <v>1041</v>
      </c>
      <c r="H293" s="3"/>
      <c r="I293" s="3">
        <v>459</v>
      </c>
      <c r="J293" s="783"/>
      <c r="K293" s="3" t="s">
        <v>2327</v>
      </c>
      <c r="L293" s="761">
        <v>44704</v>
      </c>
      <c r="M293" s="761"/>
      <c r="N293" s="761"/>
      <c r="O293" s="761" t="s">
        <v>62</v>
      </c>
      <c r="P293" s="762" t="s">
        <v>2396</v>
      </c>
      <c r="Q293" s="3"/>
      <c r="R293" s="3"/>
      <c r="S293" s="3" t="s">
        <v>2336</v>
      </c>
      <c r="T293" s="3"/>
      <c r="U293" s="3">
        <v>330.4</v>
      </c>
      <c r="V293" s="4"/>
      <c r="W293" s="761"/>
      <c r="X293" s="4" t="str">
        <f t="shared" si="1"/>
        <v>May</v>
      </c>
      <c r="Y293" s="761">
        <v>44702</v>
      </c>
      <c r="Z293" s="761" t="s">
        <v>62</v>
      </c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spans="2:39">
      <c r="B294" s="747">
        <v>6</v>
      </c>
      <c r="C294" s="748" t="s">
        <v>1792</v>
      </c>
      <c r="D294" s="781" t="s">
        <v>2397</v>
      </c>
      <c r="E294" s="780" t="s">
        <v>2398</v>
      </c>
      <c r="F294" s="749">
        <v>12</v>
      </c>
      <c r="G294" s="3" t="s">
        <v>1041</v>
      </c>
      <c r="H294" s="3"/>
      <c r="I294" s="3">
        <v>462.2</v>
      </c>
      <c r="J294" s="783"/>
      <c r="K294" s="3" t="s">
        <v>2327</v>
      </c>
      <c r="L294" s="761">
        <v>44704</v>
      </c>
      <c r="M294" s="761"/>
      <c r="N294" s="761"/>
      <c r="O294" s="761" t="s">
        <v>62</v>
      </c>
      <c r="P294" s="762" t="s">
        <v>2399</v>
      </c>
      <c r="Q294" s="3"/>
      <c r="R294" s="3"/>
      <c r="S294" s="3" t="s">
        <v>2336</v>
      </c>
      <c r="T294" s="3"/>
      <c r="U294" s="3">
        <v>330.6</v>
      </c>
      <c r="V294" s="4"/>
      <c r="W294" s="761"/>
      <c r="X294" s="4" t="str">
        <f t="shared" ref="X294:X359" si="2">TEXT(Y294,"mmmm")</f>
        <v>May</v>
      </c>
      <c r="Y294" s="761">
        <v>44702</v>
      </c>
      <c r="Z294" s="761" t="s">
        <v>62</v>
      </c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spans="2:39">
      <c r="B295" s="747">
        <v>6</v>
      </c>
      <c r="C295" s="748" t="s">
        <v>1792</v>
      </c>
      <c r="D295" s="781" t="s">
        <v>2400</v>
      </c>
      <c r="E295" s="780" t="s">
        <v>2401</v>
      </c>
      <c r="F295" s="749">
        <v>13</v>
      </c>
      <c r="G295" s="3" t="s">
        <v>1041</v>
      </c>
      <c r="H295" s="3"/>
      <c r="I295" s="3">
        <v>461.6</v>
      </c>
      <c r="J295" s="783"/>
      <c r="K295" s="3" t="s">
        <v>2327</v>
      </c>
      <c r="L295" s="761">
        <v>44705</v>
      </c>
      <c r="M295" s="761"/>
      <c r="N295" s="761"/>
      <c r="O295" s="761" t="s">
        <v>62</v>
      </c>
      <c r="P295" s="762" t="s">
        <v>2402</v>
      </c>
      <c r="Q295" s="3"/>
      <c r="R295" s="3"/>
      <c r="S295" s="3" t="s">
        <v>2336</v>
      </c>
      <c r="T295" s="3"/>
      <c r="U295" s="3">
        <v>329.7</v>
      </c>
      <c r="V295" s="4"/>
      <c r="W295" s="761"/>
      <c r="X295" s="4" t="str">
        <f t="shared" si="2"/>
        <v>May</v>
      </c>
      <c r="Y295" s="761">
        <v>44705</v>
      </c>
      <c r="Z295" s="761" t="s">
        <v>62</v>
      </c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spans="2:39">
      <c r="B296" s="747">
        <v>6</v>
      </c>
      <c r="C296" s="748" t="s">
        <v>1792</v>
      </c>
      <c r="D296" s="781" t="s">
        <v>2403</v>
      </c>
      <c r="E296" s="780" t="s">
        <v>2404</v>
      </c>
      <c r="F296" s="749">
        <v>14</v>
      </c>
      <c r="G296" s="3" t="s">
        <v>1041</v>
      </c>
      <c r="H296" s="3"/>
      <c r="I296" s="3">
        <v>461.7</v>
      </c>
      <c r="J296" s="783"/>
      <c r="K296" s="3" t="s">
        <v>2327</v>
      </c>
      <c r="L296" s="761">
        <v>44705</v>
      </c>
      <c r="M296" s="761"/>
      <c r="N296" s="761"/>
      <c r="O296" s="761" t="s">
        <v>62</v>
      </c>
      <c r="P296" s="762" t="s">
        <v>2405</v>
      </c>
      <c r="Q296" s="3"/>
      <c r="R296" s="3"/>
      <c r="S296" s="3" t="s">
        <v>2336</v>
      </c>
      <c r="T296" s="3"/>
      <c r="U296" s="3">
        <v>329.7</v>
      </c>
      <c r="V296" s="4"/>
      <c r="W296" s="761"/>
      <c r="X296" s="4" t="str">
        <f t="shared" si="2"/>
        <v>May</v>
      </c>
      <c r="Y296" s="761">
        <v>44705</v>
      </c>
      <c r="Z296" s="761" t="s">
        <v>62</v>
      </c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spans="2:39">
      <c r="B297" s="747">
        <v>6</v>
      </c>
      <c r="C297" s="748" t="s">
        <v>1792</v>
      </c>
      <c r="D297" s="781" t="s">
        <v>2406</v>
      </c>
      <c r="E297" s="780" t="s">
        <v>2407</v>
      </c>
      <c r="F297" s="749">
        <v>15</v>
      </c>
      <c r="G297" s="3" t="s">
        <v>1041</v>
      </c>
      <c r="H297" s="3"/>
      <c r="I297" s="3">
        <v>465.4</v>
      </c>
      <c r="J297" s="783"/>
      <c r="K297" s="3" t="s">
        <v>2327</v>
      </c>
      <c r="L297" s="761">
        <v>44705</v>
      </c>
      <c r="M297" s="761"/>
      <c r="N297" s="761"/>
      <c r="O297" s="761" t="s">
        <v>62</v>
      </c>
      <c r="P297" s="762" t="s">
        <v>2408</v>
      </c>
      <c r="Q297" s="3"/>
      <c r="R297" s="3"/>
      <c r="S297" s="3" t="s">
        <v>2336</v>
      </c>
      <c r="T297" s="3"/>
      <c r="U297" s="3">
        <v>329.5</v>
      </c>
      <c r="V297" s="4"/>
      <c r="W297" s="761"/>
      <c r="X297" s="4" t="str">
        <f t="shared" si="2"/>
        <v>May</v>
      </c>
      <c r="Y297" s="761">
        <v>44705</v>
      </c>
      <c r="Z297" s="761" t="s">
        <v>62</v>
      </c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spans="2:39">
      <c r="B298" s="747">
        <v>6</v>
      </c>
      <c r="C298" s="748" t="s">
        <v>1792</v>
      </c>
      <c r="D298" s="781" t="s">
        <v>2409</v>
      </c>
      <c r="E298" s="780" t="s">
        <v>2410</v>
      </c>
      <c r="F298" s="749">
        <v>16</v>
      </c>
      <c r="G298" s="3" t="s">
        <v>1041</v>
      </c>
      <c r="H298" s="3"/>
      <c r="I298" s="3">
        <f>152.3+157.1+153.2</f>
        <v>462.59999999999997</v>
      </c>
      <c r="J298" s="783"/>
      <c r="K298" s="3" t="s">
        <v>2411</v>
      </c>
      <c r="L298" s="761">
        <v>44715</v>
      </c>
      <c r="M298" s="761"/>
      <c r="N298" s="761"/>
      <c r="O298" s="761" t="s">
        <v>62</v>
      </c>
      <c r="P298" s="762" t="s">
        <v>2412</v>
      </c>
      <c r="Q298" s="3"/>
      <c r="R298" s="3"/>
      <c r="S298" s="3" t="s">
        <v>2336</v>
      </c>
      <c r="T298" s="3"/>
      <c r="U298" s="3">
        <v>329.6</v>
      </c>
      <c r="V298" s="4"/>
      <c r="W298" s="761"/>
      <c r="X298" s="4" t="str">
        <f t="shared" si="2"/>
        <v>June</v>
      </c>
      <c r="Y298" s="761">
        <v>44715</v>
      </c>
      <c r="Z298" s="761" t="s">
        <v>62</v>
      </c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spans="2:39">
      <c r="B299" s="747">
        <v>6</v>
      </c>
      <c r="C299" s="748" t="s">
        <v>1792</v>
      </c>
      <c r="D299" s="781" t="s">
        <v>2413</v>
      </c>
      <c r="E299" s="780" t="s">
        <v>2414</v>
      </c>
      <c r="F299" s="749">
        <v>17</v>
      </c>
      <c r="G299" s="3" t="s">
        <v>1041</v>
      </c>
      <c r="H299" s="3"/>
      <c r="I299" s="3">
        <f>149.6+154.3+158.1</f>
        <v>462</v>
      </c>
      <c r="J299" s="783"/>
      <c r="K299" s="3" t="s">
        <v>2411</v>
      </c>
      <c r="L299" s="761">
        <v>44715</v>
      </c>
      <c r="M299" s="761"/>
      <c r="N299" s="761"/>
      <c r="O299" s="761" t="s">
        <v>62</v>
      </c>
      <c r="P299" s="762" t="s">
        <v>2415</v>
      </c>
      <c r="Q299" s="3"/>
      <c r="R299" s="3"/>
      <c r="S299" s="3" t="s">
        <v>2336</v>
      </c>
      <c r="T299" s="3"/>
      <c r="U299" s="3">
        <v>330</v>
      </c>
      <c r="V299" s="4"/>
      <c r="W299" s="761"/>
      <c r="X299" s="4" t="str">
        <f t="shared" si="2"/>
        <v>June</v>
      </c>
      <c r="Y299" s="761">
        <v>44715</v>
      </c>
      <c r="Z299" s="761" t="s">
        <v>62</v>
      </c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spans="2:39">
      <c r="B300" s="747">
        <v>6</v>
      </c>
      <c r="C300" s="748" t="s">
        <v>1792</v>
      </c>
      <c r="D300" s="781" t="s">
        <v>2416</v>
      </c>
      <c r="E300" s="780" t="s">
        <v>2417</v>
      </c>
      <c r="F300" s="749">
        <v>18</v>
      </c>
      <c r="G300" s="3" t="s">
        <v>1041</v>
      </c>
      <c r="H300" s="3"/>
      <c r="I300" s="3">
        <f>154.2+151.7+160.3</f>
        <v>466.2</v>
      </c>
      <c r="J300" s="783"/>
      <c r="K300" s="3" t="s">
        <v>2411</v>
      </c>
      <c r="L300" s="761">
        <v>44715</v>
      </c>
      <c r="M300" s="761"/>
      <c r="N300" s="761"/>
      <c r="O300" s="761" t="s">
        <v>62</v>
      </c>
      <c r="P300" s="762" t="s">
        <v>2418</v>
      </c>
      <c r="Q300" s="3"/>
      <c r="R300" s="3"/>
      <c r="S300" s="3" t="s">
        <v>2336</v>
      </c>
      <c r="T300" s="3"/>
      <c r="U300" s="3">
        <v>329.6</v>
      </c>
      <c r="V300" s="4"/>
      <c r="W300" s="761"/>
      <c r="X300" s="4" t="str">
        <f t="shared" si="2"/>
        <v>June</v>
      </c>
      <c r="Y300" s="761">
        <v>44718</v>
      </c>
      <c r="Z300" s="761" t="s">
        <v>62</v>
      </c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spans="2:39">
      <c r="B301" s="747">
        <v>6</v>
      </c>
      <c r="C301" s="748" t="s">
        <v>1792</v>
      </c>
      <c r="D301" s="781" t="s">
        <v>2419</v>
      </c>
      <c r="E301" s="780" t="s">
        <v>2420</v>
      </c>
      <c r="F301" s="749">
        <v>19</v>
      </c>
      <c r="G301" s="3" t="s">
        <v>1041</v>
      </c>
      <c r="H301" s="3"/>
      <c r="I301" s="3">
        <v>464.4</v>
      </c>
      <c r="J301" s="783"/>
      <c r="K301" s="3" t="s">
        <v>2411</v>
      </c>
      <c r="L301" s="761">
        <v>44718</v>
      </c>
      <c r="M301" s="761"/>
      <c r="N301" s="761"/>
      <c r="O301" s="761" t="s">
        <v>62</v>
      </c>
      <c r="P301" s="762" t="s">
        <v>2421</v>
      </c>
      <c r="Q301" s="3"/>
      <c r="R301" s="3"/>
      <c r="S301" s="3" t="s">
        <v>2336</v>
      </c>
      <c r="T301" s="3"/>
      <c r="U301" s="3">
        <v>330.2</v>
      </c>
      <c r="V301" s="4"/>
      <c r="W301" s="761"/>
      <c r="X301" s="4" t="str">
        <f t="shared" si="2"/>
        <v>June</v>
      </c>
      <c r="Y301" s="761">
        <v>44719</v>
      </c>
      <c r="Z301" s="761" t="s">
        <v>62</v>
      </c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spans="2:39">
      <c r="B302" s="747">
        <v>6</v>
      </c>
      <c r="C302" s="748" t="s">
        <v>1792</v>
      </c>
      <c r="D302" s="781" t="s">
        <v>2422</v>
      </c>
      <c r="E302" s="780" t="s">
        <v>2423</v>
      </c>
      <c r="F302" s="749">
        <v>20</v>
      </c>
      <c r="G302" s="3" t="s">
        <v>1041</v>
      </c>
      <c r="H302" s="3"/>
      <c r="I302" s="3">
        <v>467.5</v>
      </c>
      <c r="J302" s="783"/>
      <c r="K302" s="3" t="s">
        <v>2411</v>
      </c>
      <c r="L302" s="761">
        <v>44719</v>
      </c>
      <c r="M302" s="761"/>
      <c r="N302" s="761"/>
      <c r="O302" s="761" t="s">
        <v>62</v>
      </c>
      <c r="P302" s="762" t="s">
        <v>2424</v>
      </c>
      <c r="Q302" s="3"/>
      <c r="R302" s="3"/>
      <c r="S302" s="3" t="s">
        <v>2336</v>
      </c>
      <c r="T302" s="3"/>
      <c r="U302" s="3">
        <v>330.2</v>
      </c>
      <c r="V302" s="4"/>
      <c r="W302" s="761"/>
      <c r="X302" s="4" t="str">
        <f t="shared" si="2"/>
        <v>June</v>
      </c>
      <c r="Y302" s="761">
        <v>44719</v>
      </c>
      <c r="Z302" s="761" t="s">
        <v>62</v>
      </c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spans="2:39">
      <c r="B303" s="747">
        <v>6</v>
      </c>
      <c r="C303" s="748" t="s">
        <v>1792</v>
      </c>
      <c r="D303" s="781" t="s">
        <v>2425</v>
      </c>
      <c r="E303" s="780" t="s">
        <v>2426</v>
      </c>
      <c r="F303" s="749">
        <v>21</v>
      </c>
      <c r="G303" s="3" t="s">
        <v>1041</v>
      </c>
      <c r="H303" s="3"/>
      <c r="I303" s="3">
        <v>468.5</v>
      </c>
      <c r="J303" s="783"/>
      <c r="K303" s="3" t="s">
        <v>2411</v>
      </c>
      <c r="L303" s="761">
        <v>44719</v>
      </c>
      <c r="M303" s="761"/>
      <c r="N303" s="761"/>
      <c r="O303" s="761" t="s">
        <v>62</v>
      </c>
      <c r="P303" s="762" t="s">
        <v>2427</v>
      </c>
      <c r="Q303" s="3"/>
      <c r="R303" s="3"/>
      <c r="S303" s="3" t="s">
        <v>2336</v>
      </c>
      <c r="T303" s="3"/>
      <c r="U303" s="3">
        <v>330.3</v>
      </c>
      <c r="V303" s="4"/>
      <c r="W303" s="761"/>
      <c r="X303" s="4" t="str">
        <f t="shared" si="2"/>
        <v>June</v>
      </c>
      <c r="Y303" s="761">
        <v>44719</v>
      </c>
      <c r="Z303" s="761" t="s">
        <v>62</v>
      </c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spans="2:39">
      <c r="B304" s="747">
        <v>6</v>
      </c>
      <c r="C304" s="748" t="s">
        <v>1792</v>
      </c>
      <c r="D304" s="781" t="s">
        <v>2428</v>
      </c>
      <c r="E304" s="780" t="s">
        <v>2429</v>
      </c>
      <c r="F304" s="749">
        <v>22</v>
      </c>
      <c r="G304" s="3" t="s">
        <v>1041</v>
      </c>
      <c r="H304" s="3"/>
      <c r="I304" s="3">
        <v>464.7</v>
      </c>
      <c r="J304" s="783"/>
      <c r="K304" s="3" t="s">
        <v>2411</v>
      </c>
      <c r="L304" s="761">
        <v>44719</v>
      </c>
      <c r="M304" s="761"/>
      <c r="N304" s="761"/>
      <c r="O304" s="761" t="s">
        <v>62</v>
      </c>
      <c r="P304" s="762" t="s">
        <v>2430</v>
      </c>
      <c r="Q304" s="3"/>
      <c r="R304" s="3"/>
      <c r="S304" s="3" t="s">
        <v>2336</v>
      </c>
      <c r="T304" s="3"/>
      <c r="U304" s="3">
        <v>329.9</v>
      </c>
      <c r="V304" s="4"/>
      <c r="W304" s="761"/>
      <c r="X304" s="4" t="str">
        <f t="shared" si="2"/>
        <v>June</v>
      </c>
      <c r="Y304" s="761">
        <v>44719</v>
      </c>
      <c r="Z304" s="761" t="s">
        <v>62</v>
      </c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spans="2:39">
      <c r="B305" s="747">
        <v>6</v>
      </c>
      <c r="C305" s="748" t="s">
        <v>1792</v>
      </c>
      <c r="D305" s="781" t="s">
        <v>2431</v>
      </c>
      <c r="E305" s="780" t="s">
        <v>2432</v>
      </c>
      <c r="F305" s="749">
        <v>23</v>
      </c>
      <c r="G305" s="3" t="s">
        <v>932</v>
      </c>
      <c r="H305" s="3"/>
      <c r="I305" s="3">
        <v>461.2</v>
      </c>
      <c r="J305" s="783"/>
      <c r="K305" s="3" t="s">
        <v>2411</v>
      </c>
      <c r="L305" s="761">
        <v>44721</v>
      </c>
      <c r="M305" s="761"/>
      <c r="N305" s="761"/>
      <c r="O305" s="761" t="s">
        <v>62</v>
      </c>
      <c r="P305" s="762" t="s">
        <v>2433</v>
      </c>
      <c r="Q305" s="3"/>
      <c r="R305" s="3"/>
      <c r="S305" s="3" t="s">
        <v>2336</v>
      </c>
      <c r="T305" s="3"/>
      <c r="U305" s="3">
        <v>329.5</v>
      </c>
      <c r="V305" s="4"/>
      <c r="W305" s="761"/>
      <c r="X305" s="4" t="str">
        <f t="shared" si="2"/>
        <v>June</v>
      </c>
      <c r="Y305" s="761">
        <v>44720</v>
      </c>
      <c r="Z305" s="761" t="s">
        <v>62</v>
      </c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spans="2:39">
      <c r="B306" s="747">
        <v>6</v>
      </c>
      <c r="C306" s="748" t="s">
        <v>1792</v>
      </c>
      <c r="D306" s="781" t="s">
        <v>2434</v>
      </c>
      <c r="E306" s="780" t="s">
        <v>2435</v>
      </c>
      <c r="F306" s="749">
        <v>24</v>
      </c>
      <c r="G306" s="3" t="s">
        <v>1041</v>
      </c>
      <c r="H306" s="3"/>
      <c r="I306" s="3">
        <v>468.2</v>
      </c>
      <c r="J306" s="783"/>
      <c r="K306" s="3" t="s">
        <v>2411</v>
      </c>
      <c r="L306" s="761">
        <v>44721</v>
      </c>
      <c r="M306" s="761"/>
      <c r="N306" s="761"/>
      <c r="O306" s="761" t="s">
        <v>62</v>
      </c>
      <c r="P306" s="762" t="s">
        <v>2436</v>
      </c>
      <c r="Q306" s="3"/>
      <c r="R306" s="3"/>
      <c r="S306" s="3" t="s">
        <v>2336</v>
      </c>
      <c r="T306" s="3"/>
      <c r="U306" s="3">
        <v>329.9</v>
      </c>
      <c r="V306" s="4"/>
      <c r="W306" s="761"/>
      <c r="X306" s="4" t="str">
        <f t="shared" si="2"/>
        <v>June</v>
      </c>
      <c r="Y306" s="761">
        <v>44720</v>
      </c>
      <c r="Z306" s="761" t="s">
        <v>62</v>
      </c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spans="2:39">
      <c r="B307" s="747">
        <v>6</v>
      </c>
      <c r="C307" s="748" t="s">
        <v>1792</v>
      </c>
      <c r="D307" s="781" t="s">
        <v>2437</v>
      </c>
      <c r="E307" s="780" t="s">
        <v>2438</v>
      </c>
      <c r="F307" s="749">
        <v>25</v>
      </c>
      <c r="G307" s="3" t="s">
        <v>1041</v>
      </c>
      <c r="H307" s="3"/>
      <c r="I307" s="3">
        <v>467.7</v>
      </c>
      <c r="J307" s="783"/>
      <c r="K307" s="3" t="s">
        <v>2411</v>
      </c>
      <c r="L307" s="761">
        <v>44721</v>
      </c>
      <c r="M307" s="761"/>
      <c r="N307" s="761"/>
      <c r="O307" s="761" t="s">
        <v>62</v>
      </c>
      <c r="P307" s="762" t="s">
        <v>2439</v>
      </c>
      <c r="Q307" s="3"/>
      <c r="R307" s="3"/>
      <c r="S307" s="3" t="s">
        <v>2336</v>
      </c>
      <c r="T307" s="3"/>
      <c r="U307" s="3">
        <v>329.7</v>
      </c>
      <c r="V307" s="4"/>
      <c r="W307" s="761"/>
      <c r="X307" s="4" t="str">
        <f t="shared" si="2"/>
        <v>June</v>
      </c>
      <c r="Y307" s="761">
        <v>44721</v>
      </c>
      <c r="Z307" s="761" t="s">
        <v>62</v>
      </c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spans="2:39">
      <c r="B308" s="747">
        <v>6</v>
      </c>
      <c r="C308" s="748" t="s">
        <v>1792</v>
      </c>
      <c r="D308" s="781" t="s">
        <v>2440</v>
      </c>
      <c r="E308" s="780" t="s">
        <v>2441</v>
      </c>
      <c r="F308" s="749">
        <v>26</v>
      </c>
      <c r="G308" s="3" t="s">
        <v>1041</v>
      </c>
      <c r="H308" s="3"/>
      <c r="I308" s="3">
        <v>462.5</v>
      </c>
      <c r="J308" s="783"/>
      <c r="K308" s="3" t="s">
        <v>2411</v>
      </c>
      <c r="L308" s="761">
        <v>44722</v>
      </c>
      <c r="M308" s="761"/>
      <c r="N308" s="761"/>
      <c r="O308" s="761" t="s">
        <v>62</v>
      </c>
      <c r="P308" s="762" t="s">
        <v>2442</v>
      </c>
      <c r="Q308" s="3"/>
      <c r="R308" s="3"/>
      <c r="S308" s="3" t="s">
        <v>2336</v>
      </c>
      <c r="T308" s="3"/>
      <c r="U308" s="3">
        <v>330.1</v>
      </c>
      <c r="V308" s="4"/>
      <c r="W308" s="761"/>
      <c r="X308" s="4" t="str">
        <f t="shared" si="2"/>
        <v>June</v>
      </c>
      <c r="Y308" s="761">
        <v>44721</v>
      </c>
      <c r="Z308" s="761" t="s">
        <v>62</v>
      </c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spans="2:39">
      <c r="B309" s="747">
        <v>6</v>
      </c>
      <c r="C309" s="748" t="s">
        <v>1792</v>
      </c>
      <c r="D309" s="781" t="s">
        <v>2443</v>
      </c>
      <c r="E309" s="780" t="s">
        <v>2444</v>
      </c>
      <c r="F309" s="749">
        <v>27</v>
      </c>
      <c r="G309" s="3" t="s">
        <v>1041</v>
      </c>
      <c r="H309" s="3"/>
      <c r="I309" s="3">
        <v>464.7</v>
      </c>
      <c r="J309" s="783"/>
      <c r="K309" s="3" t="s">
        <v>2411</v>
      </c>
      <c r="L309" s="761">
        <v>44722</v>
      </c>
      <c r="M309" s="761"/>
      <c r="N309" s="761"/>
      <c r="O309" s="761" t="s">
        <v>62</v>
      </c>
      <c r="P309" s="762" t="s">
        <v>2445</v>
      </c>
      <c r="Q309" s="3"/>
      <c r="R309" s="3"/>
      <c r="S309" s="3" t="s">
        <v>2336</v>
      </c>
      <c r="T309" s="3"/>
      <c r="U309" s="3" t="s">
        <v>2446</v>
      </c>
      <c r="V309" s="4"/>
      <c r="W309" s="761"/>
      <c r="X309" s="4" t="str">
        <f t="shared" si="2"/>
        <v>June</v>
      </c>
      <c r="Y309" s="761">
        <v>44722</v>
      </c>
      <c r="Z309" s="761" t="s">
        <v>62</v>
      </c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spans="2:39">
      <c r="B310" s="747">
        <v>6</v>
      </c>
      <c r="C310" s="748" t="s">
        <v>1792</v>
      </c>
      <c r="D310" s="781" t="s">
        <v>2447</v>
      </c>
      <c r="E310" s="780" t="s">
        <v>2448</v>
      </c>
      <c r="F310" s="749">
        <v>28</v>
      </c>
      <c r="G310" s="3" t="s">
        <v>1041</v>
      </c>
      <c r="H310" s="3"/>
      <c r="I310" s="3">
        <v>467.8</v>
      </c>
      <c r="J310" s="783"/>
      <c r="K310" s="3" t="s">
        <v>2411</v>
      </c>
      <c r="L310" s="761">
        <v>44722</v>
      </c>
      <c r="M310" s="761"/>
      <c r="N310" s="761"/>
      <c r="O310" s="761" t="s">
        <v>62</v>
      </c>
      <c r="P310" s="762" t="s">
        <v>2449</v>
      </c>
      <c r="Q310" s="3"/>
      <c r="R310" s="3"/>
      <c r="S310" s="3" t="s">
        <v>2336</v>
      </c>
      <c r="T310" s="3"/>
      <c r="U310" s="3">
        <v>330.22</v>
      </c>
      <c r="V310" s="4"/>
      <c r="W310" s="761"/>
      <c r="X310" s="4" t="str">
        <f t="shared" si="2"/>
        <v>June</v>
      </c>
      <c r="Y310" s="761">
        <v>44722</v>
      </c>
      <c r="Z310" s="761" t="s">
        <v>62</v>
      </c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spans="2:39">
      <c r="B311" s="747">
        <v>6</v>
      </c>
      <c r="C311" s="748" t="s">
        <v>1792</v>
      </c>
      <c r="D311" s="781" t="s">
        <v>2450</v>
      </c>
      <c r="E311" s="780" t="s">
        <v>2451</v>
      </c>
      <c r="F311" s="749">
        <v>29</v>
      </c>
      <c r="G311" s="3" t="s">
        <v>1041</v>
      </c>
      <c r="H311" s="3"/>
      <c r="I311" s="3">
        <v>462.4</v>
      </c>
      <c r="J311" s="783"/>
      <c r="K311" s="3" t="s">
        <v>2411</v>
      </c>
      <c r="L311" s="761">
        <v>44725</v>
      </c>
      <c r="M311" s="761"/>
      <c r="N311" s="761"/>
      <c r="O311" s="761" t="s">
        <v>62</v>
      </c>
      <c r="P311" s="762" t="s">
        <v>2452</v>
      </c>
      <c r="Q311" s="3"/>
      <c r="R311" s="3"/>
      <c r="S311" s="3" t="s">
        <v>2336</v>
      </c>
      <c r="T311" s="3"/>
      <c r="U311" s="3">
        <v>330</v>
      </c>
      <c r="V311" s="4"/>
      <c r="W311" s="761"/>
      <c r="X311" s="4" t="str">
        <f t="shared" si="2"/>
        <v>June</v>
      </c>
      <c r="Y311" s="761">
        <v>44722</v>
      </c>
      <c r="Z311" s="761" t="s">
        <v>62</v>
      </c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spans="2:39">
      <c r="B312" s="747">
        <v>6</v>
      </c>
      <c r="C312" s="748" t="s">
        <v>1792</v>
      </c>
      <c r="D312" s="781" t="s">
        <v>2453</v>
      </c>
      <c r="E312" s="780" t="s">
        <v>2454</v>
      </c>
      <c r="F312" s="749">
        <v>30</v>
      </c>
      <c r="G312" s="3" t="s">
        <v>1041</v>
      </c>
      <c r="H312" s="3"/>
      <c r="I312" s="3">
        <v>466.8</v>
      </c>
      <c r="J312" s="783"/>
      <c r="K312" s="3" t="s">
        <v>2411</v>
      </c>
      <c r="L312" s="761">
        <v>44725</v>
      </c>
      <c r="M312" s="761"/>
      <c r="N312" s="761"/>
      <c r="O312" s="761" t="s">
        <v>62</v>
      </c>
      <c r="P312" s="762" t="s">
        <v>2455</v>
      </c>
      <c r="Q312" s="3"/>
      <c r="R312" s="3"/>
      <c r="S312" s="3" t="s">
        <v>2336</v>
      </c>
      <c r="T312" s="3"/>
      <c r="U312" s="3">
        <v>329.2</v>
      </c>
      <c r="V312" s="4"/>
      <c r="W312" s="761"/>
      <c r="X312" s="4" t="str">
        <f t="shared" si="2"/>
        <v>June</v>
      </c>
      <c r="Y312" s="761">
        <v>44725</v>
      </c>
      <c r="Z312" s="761" t="s">
        <v>62</v>
      </c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spans="2:39">
      <c r="B313" s="747">
        <v>6</v>
      </c>
      <c r="C313" s="748" t="s">
        <v>1792</v>
      </c>
      <c r="D313" s="781" t="s">
        <v>2456</v>
      </c>
      <c r="E313" s="780" t="s">
        <v>2457</v>
      </c>
      <c r="F313" s="749">
        <v>31</v>
      </c>
      <c r="G313" s="3" t="s">
        <v>1041</v>
      </c>
      <c r="H313" s="3"/>
      <c r="I313" s="3">
        <v>464.1</v>
      </c>
      <c r="J313" s="783"/>
      <c r="K313" s="3" t="s">
        <v>2411</v>
      </c>
      <c r="L313" s="761">
        <v>44726</v>
      </c>
      <c r="M313" s="761"/>
      <c r="N313" s="761"/>
      <c r="O313" s="761" t="s">
        <v>62</v>
      </c>
      <c r="P313" s="762" t="s">
        <v>2458</v>
      </c>
      <c r="Q313" s="3"/>
      <c r="R313" s="3"/>
      <c r="S313" s="3" t="s">
        <v>2336</v>
      </c>
      <c r="T313" s="3"/>
      <c r="U313" s="3">
        <v>330</v>
      </c>
      <c r="V313" s="4"/>
      <c r="W313" s="761"/>
      <c r="X313" s="4" t="str">
        <f t="shared" si="2"/>
        <v>June</v>
      </c>
      <c r="Y313" s="761">
        <v>44726</v>
      </c>
      <c r="Z313" s="761" t="s">
        <v>62</v>
      </c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spans="2:39">
      <c r="B314" s="747">
        <v>6</v>
      </c>
      <c r="C314" s="748" t="s">
        <v>1792</v>
      </c>
      <c r="D314" s="781" t="s">
        <v>2459</v>
      </c>
      <c r="E314" s="780" t="s">
        <v>2460</v>
      </c>
      <c r="F314" s="749">
        <v>32</v>
      </c>
      <c r="G314" s="3" t="s">
        <v>128</v>
      </c>
      <c r="H314" s="3"/>
      <c r="I314" s="3">
        <v>467.2</v>
      </c>
      <c r="J314" s="783"/>
      <c r="K314" s="3" t="s">
        <v>2411</v>
      </c>
      <c r="L314" s="761">
        <v>44727</v>
      </c>
      <c r="M314" s="761"/>
      <c r="N314" s="761"/>
      <c r="O314" s="761" t="s">
        <v>62</v>
      </c>
      <c r="P314" s="762" t="s">
        <v>2461</v>
      </c>
      <c r="Q314" s="3"/>
      <c r="R314" s="3"/>
      <c r="S314" s="3" t="s">
        <v>2336</v>
      </c>
      <c r="T314" s="3"/>
      <c r="U314" s="3">
        <v>329.6</v>
      </c>
      <c r="V314" s="4"/>
      <c r="W314" s="761"/>
      <c r="X314" s="4" t="str">
        <f t="shared" si="2"/>
        <v>June</v>
      </c>
      <c r="Y314" s="761">
        <v>44726</v>
      </c>
      <c r="Z314" s="761" t="s">
        <v>62</v>
      </c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spans="2:39">
      <c r="B315" s="747">
        <v>6</v>
      </c>
      <c r="C315" s="748" t="s">
        <v>1792</v>
      </c>
      <c r="D315" s="781" t="s">
        <v>2462</v>
      </c>
      <c r="E315" s="780" t="s">
        <v>2463</v>
      </c>
      <c r="F315" s="749">
        <v>33</v>
      </c>
      <c r="G315" s="3" t="s">
        <v>128</v>
      </c>
      <c r="H315" s="3"/>
      <c r="I315" s="3">
        <v>467.6</v>
      </c>
      <c r="J315" s="783"/>
      <c r="K315" s="3" t="s">
        <v>2411</v>
      </c>
      <c r="L315" s="761">
        <v>44727</v>
      </c>
      <c r="M315" s="761"/>
      <c r="N315" s="761"/>
      <c r="O315" s="761" t="s">
        <v>62</v>
      </c>
      <c r="P315" s="762" t="s">
        <v>2464</v>
      </c>
      <c r="Q315" s="3"/>
      <c r="R315" s="3"/>
      <c r="S315" s="3" t="s">
        <v>2336</v>
      </c>
      <c r="T315" s="3"/>
      <c r="U315" s="3">
        <v>330.2</v>
      </c>
      <c r="V315" s="4"/>
      <c r="W315" s="761"/>
      <c r="X315" s="4" t="str">
        <f t="shared" si="2"/>
        <v>June</v>
      </c>
      <c r="Y315" s="761">
        <v>44726</v>
      </c>
      <c r="Z315" s="761" t="s">
        <v>62</v>
      </c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spans="2:39" s="705" customFormat="1" ht="18" customHeight="1">
      <c r="B316" s="731"/>
      <c r="C316" s="736" t="s">
        <v>1764</v>
      </c>
      <c r="D316" s="737"/>
      <c r="E316" s="738"/>
      <c r="F316" s="739"/>
      <c r="G316" s="740"/>
      <c r="H316" s="740"/>
      <c r="I316" s="740"/>
      <c r="J316" s="756"/>
      <c r="K316" s="756"/>
      <c r="L316" s="740"/>
      <c r="M316" s="740"/>
      <c r="N316" s="740"/>
      <c r="O316" s="757"/>
      <c r="P316" s="758"/>
      <c r="Q316" s="740"/>
      <c r="R316" s="740"/>
      <c r="S316" s="740"/>
      <c r="T316" s="740"/>
      <c r="U316" s="740"/>
      <c r="V316" s="740"/>
      <c r="W316" s="740"/>
      <c r="X316" s="740"/>
      <c r="Y316" s="740"/>
      <c r="Z316" s="757"/>
      <c r="AA316" s="771"/>
      <c r="AB316" s="771"/>
      <c r="AC316" s="771"/>
      <c r="AD316" s="771"/>
      <c r="AE316" s="771"/>
      <c r="AF316" s="771"/>
      <c r="AG316" s="775"/>
      <c r="AH316" s="771"/>
      <c r="AI316" s="771"/>
      <c r="AJ316" s="771"/>
      <c r="AK316" s="771"/>
      <c r="AL316" s="771"/>
      <c r="AM316" s="776"/>
    </row>
    <row r="317" spans="2:39">
      <c r="B317" s="747">
        <v>7</v>
      </c>
      <c r="C317" s="748" t="s">
        <v>1792</v>
      </c>
      <c r="D317" s="781" t="s">
        <v>2465</v>
      </c>
      <c r="E317" s="780" t="s">
        <v>2466</v>
      </c>
      <c r="F317" s="749">
        <v>1</v>
      </c>
      <c r="G317" s="3" t="s">
        <v>128</v>
      </c>
      <c r="H317" s="3"/>
      <c r="I317" s="3">
        <v>463.9</v>
      </c>
      <c r="J317" s="783"/>
      <c r="K317" s="3" t="s">
        <v>2411</v>
      </c>
      <c r="L317" s="761">
        <v>44728</v>
      </c>
      <c r="M317" s="761"/>
      <c r="N317" s="761"/>
      <c r="O317" s="761" t="s">
        <v>62</v>
      </c>
      <c r="P317" s="762" t="s">
        <v>2467</v>
      </c>
      <c r="Q317" s="3"/>
      <c r="R317" s="3"/>
      <c r="S317" s="3" t="s">
        <v>2336</v>
      </c>
      <c r="T317" s="3"/>
      <c r="U317" s="3">
        <v>329.4</v>
      </c>
      <c r="V317" s="4"/>
      <c r="W317" s="761"/>
      <c r="X317" s="4" t="str">
        <f t="shared" si="2"/>
        <v>June</v>
      </c>
      <c r="Y317" s="761">
        <v>44728</v>
      </c>
      <c r="Z317" s="761" t="s">
        <v>62</v>
      </c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spans="2:39">
      <c r="B318" s="747">
        <v>7</v>
      </c>
      <c r="C318" s="748" t="s">
        <v>1792</v>
      </c>
      <c r="D318" s="781" t="s">
        <v>2468</v>
      </c>
      <c r="E318" s="780" t="s">
        <v>2469</v>
      </c>
      <c r="F318" s="749">
        <v>2</v>
      </c>
      <c r="G318" s="3" t="s">
        <v>128</v>
      </c>
      <c r="H318" s="3"/>
      <c r="I318" s="3">
        <v>456.9</v>
      </c>
      <c r="J318" s="783"/>
      <c r="K318" s="3" t="s">
        <v>2411</v>
      </c>
      <c r="L318" s="761">
        <v>44735</v>
      </c>
      <c r="M318" s="761"/>
      <c r="N318" s="761"/>
      <c r="O318" s="761" t="s">
        <v>62</v>
      </c>
      <c r="P318" s="762" t="s">
        <v>2470</v>
      </c>
      <c r="Q318" s="3"/>
      <c r="R318" s="3"/>
      <c r="S318" s="3" t="s">
        <v>2336</v>
      </c>
      <c r="T318" s="3"/>
      <c r="U318" s="3">
        <v>316.89999999999998</v>
      </c>
      <c r="V318" s="4"/>
      <c r="W318" s="761"/>
      <c r="X318" s="4" t="str">
        <f t="shared" si="2"/>
        <v>June</v>
      </c>
      <c r="Y318" s="761">
        <v>44735</v>
      </c>
      <c r="Z318" s="761" t="s">
        <v>62</v>
      </c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spans="2:39">
      <c r="B319" s="747">
        <v>7</v>
      </c>
      <c r="C319" s="748" t="s">
        <v>1792</v>
      </c>
      <c r="D319" s="781" t="s">
        <v>2471</v>
      </c>
      <c r="E319" s="780" t="s">
        <v>2472</v>
      </c>
      <c r="F319" s="749">
        <v>3</v>
      </c>
      <c r="G319" s="3" t="s">
        <v>128</v>
      </c>
      <c r="H319" s="3"/>
      <c r="I319" s="3">
        <v>465.8</v>
      </c>
      <c r="J319" s="783"/>
      <c r="K319" s="3" t="s">
        <v>2411</v>
      </c>
      <c r="L319" s="761">
        <v>44736</v>
      </c>
      <c r="M319" s="761"/>
      <c r="N319" s="761"/>
      <c r="O319" s="761" t="s">
        <v>62</v>
      </c>
      <c r="P319" s="762" t="s">
        <v>2473</v>
      </c>
      <c r="Q319" s="3"/>
      <c r="R319" s="3"/>
      <c r="S319" s="3" t="s">
        <v>2336</v>
      </c>
      <c r="T319" s="3"/>
      <c r="U319" s="3">
        <v>329.6</v>
      </c>
      <c r="V319" s="4"/>
      <c r="W319" s="761"/>
      <c r="X319" s="4" t="str">
        <f t="shared" si="2"/>
        <v>June</v>
      </c>
      <c r="Y319" s="761">
        <v>44735</v>
      </c>
      <c r="Z319" s="761" t="s">
        <v>62</v>
      </c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spans="2:39">
      <c r="B320" s="747">
        <v>7</v>
      </c>
      <c r="C320" s="748" t="s">
        <v>1792</v>
      </c>
      <c r="D320" s="781" t="s">
        <v>2474</v>
      </c>
      <c r="E320" s="780" t="s">
        <v>2475</v>
      </c>
      <c r="F320" s="749">
        <v>4</v>
      </c>
      <c r="G320" s="3" t="s">
        <v>128</v>
      </c>
      <c r="H320" s="3"/>
      <c r="I320" s="3">
        <v>465.7</v>
      </c>
      <c r="J320" s="783"/>
      <c r="K320" s="3" t="s">
        <v>2411</v>
      </c>
      <c r="L320" s="761">
        <v>44736</v>
      </c>
      <c r="M320" s="761"/>
      <c r="N320" s="761"/>
      <c r="O320" s="761" t="s">
        <v>62</v>
      </c>
      <c r="P320" s="762" t="s">
        <v>2476</v>
      </c>
      <c r="Q320" s="3"/>
      <c r="R320" s="3"/>
      <c r="S320" s="3" t="s">
        <v>2336</v>
      </c>
      <c r="T320" s="3"/>
      <c r="U320" s="3">
        <v>329.6</v>
      </c>
      <c r="V320" s="4"/>
      <c r="W320" s="761"/>
      <c r="X320" s="4" t="str">
        <f t="shared" si="2"/>
        <v>June</v>
      </c>
      <c r="Y320" s="761">
        <v>44735</v>
      </c>
      <c r="Z320" s="761" t="s">
        <v>62</v>
      </c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spans="2:39">
      <c r="B321" s="747">
        <v>7</v>
      </c>
      <c r="C321" s="748" t="s">
        <v>1792</v>
      </c>
      <c r="D321" s="781" t="s">
        <v>2477</v>
      </c>
      <c r="E321" s="780" t="s">
        <v>2478</v>
      </c>
      <c r="F321" s="749">
        <v>5</v>
      </c>
      <c r="G321" s="3" t="s">
        <v>128</v>
      </c>
      <c r="H321" s="3"/>
      <c r="I321" s="3">
        <v>469.6</v>
      </c>
      <c r="J321" s="783"/>
      <c r="K321" s="3" t="s">
        <v>2411</v>
      </c>
      <c r="L321" s="761">
        <v>44736</v>
      </c>
      <c r="M321" s="761"/>
      <c r="N321" s="761"/>
      <c r="O321" s="761" t="s">
        <v>62</v>
      </c>
      <c r="P321" s="762" t="s">
        <v>2479</v>
      </c>
      <c r="Q321" s="3"/>
      <c r="R321" s="3"/>
      <c r="S321" s="3" t="s">
        <v>2336</v>
      </c>
      <c r="T321" s="3"/>
      <c r="U321" s="3">
        <v>330.2</v>
      </c>
      <c r="V321" s="4"/>
      <c r="W321" s="761"/>
      <c r="X321" s="4" t="str">
        <f t="shared" si="2"/>
        <v>June</v>
      </c>
      <c r="Y321" s="761">
        <v>44736</v>
      </c>
      <c r="Z321" s="761" t="s">
        <v>62</v>
      </c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spans="2:39">
      <c r="B322" s="747">
        <v>7</v>
      </c>
      <c r="C322" s="748" t="s">
        <v>1792</v>
      </c>
      <c r="D322" s="781" t="s">
        <v>2480</v>
      </c>
      <c r="E322" s="780" t="s">
        <v>2481</v>
      </c>
      <c r="F322" s="749">
        <v>6</v>
      </c>
      <c r="G322" s="3" t="s">
        <v>128</v>
      </c>
      <c r="H322" s="3"/>
      <c r="I322" s="3">
        <v>463.9</v>
      </c>
      <c r="J322" s="783"/>
      <c r="K322" s="3" t="s">
        <v>2411</v>
      </c>
      <c r="L322" s="761">
        <v>44739</v>
      </c>
      <c r="M322" s="761"/>
      <c r="N322" s="761"/>
      <c r="O322" s="761" t="s">
        <v>62</v>
      </c>
      <c r="P322" s="762" t="s">
        <v>2482</v>
      </c>
      <c r="Q322" s="3"/>
      <c r="R322" s="3"/>
      <c r="S322" s="3" t="s">
        <v>2336</v>
      </c>
      <c r="T322" s="3"/>
      <c r="U322" s="3">
        <v>330.4</v>
      </c>
      <c r="V322" s="4"/>
      <c r="W322" s="761"/>
      <c r="X322" s="4" t="str">
        <f t="shared" si="2"/>
        <v>June</v>
      </c>
      <c r="Y322" s="761">
        <v>44736</v>
      </c>
      <c r="Z322" s="761" t="s">
        <v>62</v>
      </c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spans="2:39">
      <c r="B323" s="747">
        <v>7</v>
      </c>
      <c r="C323" s="748" t="s">
        <v>1792</v>
      </c>
      <c r="D323" s="781" t="s">
        <v>2483</v>
      </c>
      <c r="E323" s="780" t="s">
        <v>2484</v>
      </c>
      <c r="F323" s="749">
        <v>7</v>
      </c>
      <c r="G323" s="3" t="s">
        <v>128</v>
      </c>
      <c r="H323" s="3"/>
      <c r="I323" s="3">
        <v>463.8</v>
      </c>
      <c r="J323" s="783"/>
      <c r="K323" s="3" t="s">
        <v>2411</v>
      </c>
      <c r="L323" s="761">
        <v>44739</v>
      </c>
      <c r="M323" s="761"/>
      <c r="N323" s="761"/>
      <c r="O323" s="761" t="s">
        <v>62</v>
      </c>
      <c r="P323" s="762" t="s">
        <v>2485</v>
      </c>
      <c r="Q323" s="3"/>
      <c r="R323" s="3"/>
      <c r="S323" s="3" t="s">
        <v>2336</v>
      </c>
      <c r="T323" s="3"/>
      <c r="U323" s="3">
        <v>330.5</v>
      </c>
      <c r="V323" s="4"/>
      <c r="W323" s="761"/>
      <c r="X323" s="4" t="str">
        <f t="shared" si="2"/>
        <v>June</v>
      </c>
      <c r="Y323" s="761">
        <v>44736</v>
      </c>
      <c r="Z323" s="761" t="s">
        <v>62</v>
      </c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spans="2:39">
      <c r="B324" s="747">
        <v>7</v>
      </c>
      <c r="C324" s="748" t="s">
        <v>1792</v>
      </c>
      <c r="D324" s="781" t="s">
        <v>2486</v>
      </c>
      <c r="E324" s="780" t="s">
        <v>2487</v>
      </c>
      <c r="F324" s="749">
        <v>8</v>
      </c>
      <c r="G324" s="3" t="s">
        <v>128</v>
      </c>
      <c r="H324" s="3"/>
      <c r="I324" s="3">
        <v>467.76</v>
      </c>
      <c r="J324" s="783"/>
      <c r="K324" s="3" t="s">
        <v>2411</v>
      </c>
      <c r="L324" s="761">
        <v>44740</v>
      </c>
      <c r="M324" s="761"/>
      <c r="N324" s="761"/>
      <c r="O324" s="761" t="s">
        <v>62</v>
      </c>
      <c r="P324" s="762" t="s">
        <v>2488</v>
      </c>
      <c r="Q324" s="3"/>
      <c r="R324" s="3"/>
      <c r="S324" s="3" t="s">
        <v>2336</v>
      </c>
      <c r="T324" s="3"/>
      <c r="U324" s="3">
        <v>329.8</v>
      </c>
      <c r="V324" s="4"/>
      <c r="W324" s="761"/>
      <c r="X324" s="4" t="str">
        <f t="shared" si="2"/>
        <v>June</v>
      </c>
      <c r="Y324" s="761">
        <v>44739</v>
      </c>
      <c r="Z324" s="761" t="s">
        <v>62</v>
      </c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spans="2:39">
      <c r="B325" s="747">
        <v>7</v>
      </c>
      <c r="C325" s="748" t="s">
        <v>1792</v>
      </c>
      <c r="D325" s="781" t="s">
        <v>2489</v>
      </c>
      <c r="E325" s="780" t="s">
        <v>2490</v>
      </c>
      <c r="F325" s="749">
        <v>9</v>
      </c>
      <c r="G325" s="3" t="s">
        <v>1041</v>
      </c>
      <c r="H325" s="3"/>
      <c r="I325" s="3">
        <v>463</v>
      </c>
      <c r="J325" s="783"/>
      <c r="K325" s="3" t="s">
        <v>2411</v>
      </c>
      <c r="L325" s="761">
        <v>44740</v>
      </c>
      <c r="M325" s="761"/>
      <c r="N325" s="761"/>
      <c r="O325" s="761" t="s">
        <v>62</v>
      </c>
      <c r="P325" s="762" t="s">
        <v>2491</v>
      </c>
      <c r="Q325" s="3"/>
      <c r="R325" s="3"/>
      <c r="S325" s="3" t="s">
        <v>2336</v>
      </c>
      <c r="T325" s="3"/>
      <c r="U325" s="3">
        <v>330.1</v>
      </c>
      <c r="V325" s="4"/>
      <c r="W325" s="761"/>
      <c r="X325" s="4" t="str">
        <f t="shared" si="2"/>
        <v>June</v>
      </c>
      <c r="Y325" s="761">
        <v>44739</v>
      </c>
      <c r="Z325" s="761" t="s">
        <v>62</v>
      </c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spans="2:39">
      <c r="B326" s="747">
        <v>7</v>
      </c>
      <c r="C326" s="748" t="s">
        <v>1792</v>
      </c>
      <c r="D326" s="781" t="s">
        <v>2492</v>
      </c>
      <c r="E326" s="780" t="s">
        <v>2493</v>
      </c>
      <c r="F326" s="749">
        <v>10</v>
      </c>
      <c r="G326" s="3" t="s">
        <v>128</v>
      </c>
      <c r="H326" s="3"/>
      <c r="I326" s="3">
        <v>466.5</v>
      </c>
      <c r="J326" s="783"/>
      <c r="K326" s="3" t="s">
        <v>2411</v>
      </c>
      <c r="L326" s="761">
        <v>44740</v>
      </c>
      <c r="M326" s="761"/>
      <c r="N326" s="761"/>
      <c r="O326" s="761" t="s">
        <v>62</v>
      </c>
      <c r="P326" s="762" t="s">
        <v>2494</v>
      </c>
      <c r="Q326" s="3"/>
      <c r="R326" s="3"/>
      <c r="S326" s="3" t="s">
        <v>2336</v>
      </c>
      <c r="T326" s="3"/>
      <c r="U326" s="3">
        <v>330.4</v>
      </c>
      <c r="V326" s="4"/>
      <c r="W326" s="761"/>
      <c r="X326" s="4" t="str">
        <f t="shared" si="2"/>
        <v>June</v>
      </c>
      <c r="Y326" s="761">
        <v>44739</v>
      </c>
      <c r="Z326" s="761" t="s">
        <v>62</v>
      </c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spans="2:39">
      <c r="B327" s="747">
        <v>7</v>
      </c>
      <c r="C327" s="748" t="s">
        <v>1792</v>
      </c>
      <c r="D327" s="781" t="s">
        <v>2495</v>
      </c>
      <c r="E327" s="780" t="s">
        <v>2496</v>
      </c>
      <c r="F327" s="749">
        <v>11</v>
      </c>
      <c r="G327" s="3" t="s">
        <v>128</v>
      </c>
      <c r="H327" s="3"/>
      <c r="I327" s="3">
        <v>468.92</v>
      </c>
      <c r="J327" s="783"/>
      <c r="K327" s="3" t="s">
        <v>2411</v>
      </c>
      <c r="L327" s="761">
        <v>44740</v>
      </c>
      <c r="M327" s="761"/>
      <c r="N327" s="761"/>
      <c r="O327" s="761" t="s">
        <v>62</v>
      </c>
      <c r="P327" s="762" t="s">
        <v>2497</v>
      </c>
      <c r="Q327" s="3"/>
      <c r="R327" s="3"/>
      <c r="S327" s="3" t="s">
        <v>2336</v>
      </c>
      <c r="T327" s="3"/>
      <c r="U327" s="3">
        <v>330.2</v>
      </c>
      <c r="V327" s="4"/>
      <c r="W327" s="761"/>
      <c r="X327" s="4" t="str">
        <f t="shared" si="2"/>
        <v>June</v>
      </c>
      <c r="Y327" s="761">
        <v>44739</v>
      </c>
      <c r="Z327" s="761" t="s">
        <v>62</v>
      </c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spans="2:39">
      <c r="B328" s="747">
        <v>7</v>
      </c>
      <c r="C328" s="748" t="s">
        <v>1792</v>
      </c>
      <c r="D328" s="781" t="s">
        <v>2498</v>
      </c>
      <c r="E328" s="780" t="s">
        <v>2499</v>
      </c>
      <c r="F328" s="749">
        <v>12</v>
      </c>
      <c r="G328" s="3" t="s">
        <v>1041</v>
      </c>
      <c r="H328" s="3"/>
      <c r="I328" s="3">
        <v>464.3</v>
      </c>
      <c r="J328" s="783"/>
      <c r="K328" s="3" t="s">
        <v>2411</v>
      </c>
      <c r="L328" s="761">
        <v>44742</v>
      </c>
      <c r="M328" s="761"/>
      <c r="N328" s="761"/>
      <c r="O328" s="761" t="s">
        <v>62</v>
      </c>
      <c r="P328" s="762" t="s">
        <v>2500</v>
      </c>
      <c r="Q328" s="3"/>
      <c r="R328" s="3"/>
      <c r="S328" s="3" t="s">
        <v>2336</v>
      </c>
      <c r="T328" s="3"/>
      <c r="U328" s="3">
        <v>330</v>
      </c>
      <c r="V328" s="4"/>
      <c r="W328" s="761"/>
      <c r="X328" s="4" t="str">
        <f t="shared" si="2"/>
        <v>June</v>
      </c>
      <c r="Y328" s="761">
        <v>44740</v>
      </c>
      <c r="Z328" s="761" t="s">
        <v>62</v>
      </c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spans="2:39">
      <c r="B329" s="747">
        <v>7</v>
      </c>
      <c r="C329" s="748" t="s">
        <v>1792</v>
      </c>
      <c r="D329" s="781" t="s">
        <v>2501</v>
      </c>
      <c r="E329" s="780" t="s">
        <v>2502</v>
      </c>
      <c r="F329" s="749">
        <v>13</v>
      </c>
      <c r="G329" s="3" t="s">
        <v>1041</v>
      </c>
      <c r="H329" s="3"/>
      <c r="I329" s="3">
        <v>468.25</v>
      </c>
      <c r="J329" s="783"/>
      <c r="K329" s="3" t="s">
        <v>2411</v>
      </c>
      <c r="L329" s="761">
        <v>44742</v>
      </c>
      <c r="M329" s="761"/>
      <c r="N329" s="761"/>
      <c r="O329" s="761" t="s">
        <v>62</v>
      </c>
      <c r="P329" s="762" t="s">
        <v>2503</v>
      </c>
      <c r="Q329" s="3"/>
      <c r="R329" s="3"/>
      <c r="S329" s="3" t="s">
        <v>2336</v>
      </c>
      <c r="T329" s="3"/>
      <c r="U329" s="3">
        <v>330</v>
      </c>
      <c r="V329" s="4"/>
      <c r="W329" s="761"/>
      <c r="X329" s="4" t="str">
        <f t="shared" si="2"/>
        <v>June</v>
      </c>
      <c r="Y329" s="761">
        <v>44740</v>
      </c>
      <c r="Z329" s="761" t="s">
        <v>62</v>
      </c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spans="2:39">
      <c r="B330" s="747">
        <v>7</v>
      </c>
      <c r="C330" s="748" t="s">
        <v>1792</v>
      </c>
      <c r="D330" s="781" t="s">
        <v>2504</v>
      </c>
      <c r="E330" s="780" t="s">
        <v>2505</v>
      </c>
      <c r="F330" s="749">
        <v>14</v>
      </c>
      <c r="G330" s="3" t="s">
        <v>1041</v>
      </c>
      <c r="H330" s="3"/>
      <c r="I330" s="3">
        <v>466.41</v>
      </c>
      <c r="J330" s="783"/>
      <c r="K330" s="3" t="s">
        <v>2411</v>
      </c>
      <c r="L330" s="761">
        <v>44742</v>
      </c>
      <c r="M330" s="761"/>
      <c r="N330" s="761"/>
      <c r="O330" s="761" t="s">
        <v>62</v>
      </c>
      <c r="P330" s="762" t="s">
        <v>2506</v>
      </c>
      <c r="Q330" s="3"/>
      <c r="R330" s="3"/>
      <c r="S330" s="3" t="s">
        <v>2336</v>
      </c>
      <c r="T330" s="3"/>
      <c r="U330" s="3">
        <v>329.6</v>
      </c>
      <c r="V330" s="4"/>
      <c r="W330" s="761"/>
      <c r="X330" s="4" t="str">
        <f t="shared" si="2"/>
        <v>July</v>
      </c>
      <c r="Y330" s="761">
        <v>44748</v>
      </c>
      <c r="Z330" s="761" t="s">
        <v>62</v>
      </c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spans="2:39">
      <c r="B331" s="747">
        <v>7</v>
      </c>
      <c r="C331" s="748" t="s">
        <v>1792</v>
      </c>
      <c r="D331" s="781" t="s">
        <v>2507</v>
      </c>
      <c r="E331" s="780" t="s">
        <v>2508</v>
      </c>
      <c r="F331" s="749">
        <v>15</v>
      </c>
      <c r="G331" s="3" t="s">
        <v>1041</v>
      </c>
      <c r="H331" s="3"/>
      <c r="I331" s="3">
        <v>466.57</v>
      </c>
      <c r="J331" s="783"/>
      <c r="K331" s="3" t="s">
        <v>2411</v>
      </c>
      <c r="L331" s="761">
        <v>44742</v>
      </c>
      <c r="M331" s="761"/>
      <c r="N331" s="761"/>
      <c r="O331" s="761" t="s">
        <v>62</v>
      </c>
      <c r="P331" s="762" t="s">
        <v>2509</v>
      </c>
      <c r="Q331" s="3"/>
      <c r="R331" s="3"/>
      <c r="S331" s="3" t="s">
        <v>2336</v>
      </c>
      <c r="T331" s="3"/>
      <c r="U331" s="3">
        <v>329.9</v>
      </c>
      <c r="V331" s="4"/>
      <c r="W331" s="761"/>
      <c r="X331" s="4" t="str">
        <f t="shared" si="2"/>
        <v>July</v>
      </c>
      <c r="Y331" s="761">
        <v>44748</v>
      </c>
      <c r="Z331" s="761" t="s">
        <v>62</v>
      </c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spans="2:39">
      <c r="B332" s="747">
        <v>7</v>
      </c>
      <c r="C332" s="748" t="s">
        <v>1792</v>
      </c>
      <c r="D332" s="781" t="s">
        <v>2510</v>
      </c>
      <c r="E332" s="780" t="s">
        <v>2511</v>
      </c>
      <c r="F332" s="749">
        <v>16</v>
      </c>
      <c r="G332" s="3" t="s">
        <v>128</v>
      </c>
      <c r="H332" s="3"/>
      <c r="I332" s="3">
        <v>464.8</v>
      </c>
      <c r="J332" s="783"/>
      <c r="K332" s="3" t="s">
        <v>2512</v>
      </c>
      <c r="L332" s="761">
        <v>44749</v>
      </c>
      <c r="M332" s="761"/>
      <c r="N332" s="761"/>
      <c r="O332" s="761" t="s">
        <v>62</v>
      </c>
      <c r="P332" s="762" t="s">
        <v>2513</v>
      </c>
      <c r="Q332" s="3"/>
      <c r="R332" s="3"/>
      <c r="S332" s="3" t="s">
        <v>2336</v>
      </c>
      <c r="T332" s="3"/>
      <c r="U332" s="3">
        <v>330</v>
      </c>
      <c r="V332" s="4"/>
      <c r="W332" s="761"/>
      <c r="X332" s="4" t="str">
        <f t="shared" si="2"/>
        <v>July</v>
      </c>
      <c r="Y332" s="761">
        <v>44749</v>
      </c>
      <c r="Z332" s="761" t="s">
        <v>62</v>
      </c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spans="2:39">
      <c r="B333" s="747">
        <v>7</v>
      </c>
      <c r="C333" s="748" t="s">
        <v>1792</v>
      </c>
      <c r="D333" s="781" t="s">
        <v>2514</v>
      </c>
      <c r="E333" s="780" t="s">
        <v>2515</v>
      </c>
      <c r="F333" s="749">
        <v>17</v>
      </c>
      <c r="G333" s="3" t="s">
        <v>128</v>
      </c>
      <c r="H333" s="3"/>
      <c r="I333" s="3">
        <v>464.5</v>
      </c>
      <c r="J333" s="783"/>
      <c r="K333" s="3" t="s">
        <v>2512</v>
      </c>
      <c r="L333" s="761">
        <v>44749</v>
      </c>
      <c r="M333" s="761"/>
      <c r="N333" s="761"/>
      <c r="O333" s="761" t="s">
        <v>62</v>
      </c>
      <c r="P333" s="762" t="s">
        <v>2516</v>
      </c>
      <c r="Q333" s="3"/>
      <c r="R333" s="3"/>
      <c r="S333" s="3" t="s">
        <v>2336</v>
      </c>
      <c r="T333" s="3"/>
      <c r="U333" s="3">
        <v>329.8</v>
      </c>
      <c r="V333" s="4"/>
      <c r="W333" s="761"/>
      <c r="X333" s="4" t="str">
        <f t="shared" si="2"/>
        <v>July</v>
      </c>
      <c r="Y333" s="761">
        <v>44749</v>
      </c>
      <c r="Z333" s="761" t="s">
        <v>62</v>
      </c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spans="2:39">
      <c r="B334" s="747">
        <v>7</v>
      </c>
      <c r="C334" s="748" t="s">
        <v>1792</v>
      </c>
      <c r="D334" s="781" t="s">
        <v>2517</v>
      </c>
      <c r="E334" s="780" t="s">
        <v>2518</v>
      </c>
      <c r="F334" s="749">
        <v>18</v>
      </c>
      <c r="G334" s="3" t="s">
        <v>128</v>
      </c>
      <c r="H334" s="3"/>
      <c r="I334" s="3">
        <v>467.4</v>
      </c>
      <c r="J334" s="783"/>
      <c r="K334" s="3" t="s">
        <v>2512</v>
      </c>
      <c r="L334" s="761">
        <v>44749</v>
      </c>
      <c r="M334" s="761"/>
      <c r="N334" s="761"/>
      <c r="O334" s="761" t="s">
        <v>62</v>
      </c>
      <c r="P334" s="762" t="s">
        <v>2519</v>
      </c>
      <c r="Q334" s="3"/>
      <c r="R334" s="3"/>
      <c r="S334" s="3" t="s">
        <v>2336</v>
      </c>
      <c r="T334" s="3"/>
      <c r="U334" s="3">
        <v>330.1</v>
      </c>
      <c r="V334" s="4"/>
      <c r="W334" s="761"/>
      <c r="X334" s="4" t="str">
        <f t="shared" si="2"/>
        <v>July</v>
      </c>
      <c r="Y334" s="761">
        <v>44749</v>
      </c>
      <c r="Z334" s="761" t="s">
        <v>62</v>
      </c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spans="2:39">
      <c r="B335" s="747">
        <v>7</v>
      </c>
      <c r="C335" s="748" t="s">
        <v>1792</v>
      </c>
      <c r="D335" s="781" t="s">
        <v>2520</v>
      </c>
      <c r="E335" s="780" t="s">
        <v>2521</v>
      </c>
      <c r="F335" s="749">
        <v>19</v>
      </c>
      <c r="G335" s="3" t="s">
        <v>128</v>
      </c>
      <c r="H335" s="3"/>
      <c r="I335" s="3">
        <v>469.13</v>
      </c>
      <c r="J335" s="783"/>
      <c r="K335" s="3" t="s">
        <v>2512</v>
      </c>
      <c r="L335" s="761">
        <v>44749</v>
      </c>
      <c r="M335" s="761"/>
      <c r="N335" s="761"/>
      <c r="O335" s="761" t="s">
        <v>62</v>
      </c>
      <c r="P335" s="762" t="s">
        <v>2522</v>
      </c>
      <c r="Q335" s="3"/>
      <c r="R335" s="3"/>
      <c r="S335" s="3" t="s">
        <v>2336</v>
      </c>
      <c r="T335" s="3"/>
      <c r="U335" s="3">
        <v>329.8</v>
      </c>
      <c r="V335" s="4"/>
      <c r="W335" s="761"/>
      <c r="X335" s="4" t="str">
        <f t="shared" si="2"/>
        <v>July</v>
      </c>
      <c r="Y335" s="761">
        <v>44749</v>
      </c>
      <c r="Z335" s="761" t="s">
        <v>62</v>
      </c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spans="2:39">
      <c r="B336" s="747">
        <v>7</v>
      </c>
      <c r="C336" s="748" t="s">
        <v>1792</v>
      </c>
      <c r="D336" s="781" t="s">
        <v>2523</v>
      </c>
      <c r="E336" s="780" t="s">
        <v>2524</v>
      </c>
      <c r="F336" s="749">
        <v>20</v>
      </c>
      <c r="G336" s="3" t="s">
        <v>128</v>
      </c>
      <c r="H336" s="3"/>
      <c r="I336" s="3">
        <v>463.2</v>
      </c>
      <c r="J336" s="783"/>
      <c r="K336" s="3" t="s">
        <v>2512</v>
      </c>
      <c r="L336" s="761">
        <v>44750</v>
      </c>
      <c r="M336" s="761"/>
      <c r="N336" s="761"/>
      <c r="O336" s="761" t="s">
        <v>62</v>
      </c>
      <c r="P336" s="762" t="s">
        <v>2525</v>
      </c>
      <c r="Q336" s="3"/>
      <c r="R336" s="3"/>
      <c r="S336" s="3" t="s">
        <v>2336</v>
      </c>
      <c r="T336" s="3"/>
      <c r="U336" s="3">
        <v>330</v>
      </c>
      <c r="V336" s="4"/>
      <c r="W336" s="761"/>
      <c r="X336" s="4" t="str">
        <f t="shared" si="2"/>
        <v>July</v>
      </c>
      <c r="Y336" s="761">
        <v>44749</v>
      </c>
      <c r="Z336" s="761" t="s">
        <v>62</v>
      </c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spans="2:39">
      <c r="B337" s="747">
        <v>7</v>
      </c>
      <c r="C337" s="748" t="s">
        <v>1792</v>
      </c>
      <c r="D337" s="781" t="s">
        <v>2526</v>
      </c>
      <c r="E337" s="780" t="s">
        <v>2527</v>
      </c>
      <c r="F337" s="749">
        <v>21</v>
      </c>
      <c r="G337" s="3" t="s">
        <v>128</v>
      </c>
      <c r="H337" s="3"/>
      <c r="I337" s="3">
        <v>468.1</v>
      </c>
      <c r="J337" s="783"/>
      <c r="K337" s="3" t="s">
        <v>2512</v>
      </c>
      <c r="L337" s="761">
        <v>44750</v>
      </c>
      <c r="M337" s="761"/>
      <c r="N337" s="761"/>
      <c r="O337" s="761" t="s">
        <v>62</v>
      </c>
      <c r="P337" s="762" t="s">
        <v>2528</v>
      </c>
      <c r="Q337" s="3"/>
      <c r="R337" s="3"/>
      <c r="S337" s="3" t="s">
        <v>2336</v>
      </c>
      <c r="T337" s="3"/>
      <c r="U337" s="3" t="s">
        <v>2529</v>
      </c>
      <c r="V337" s="4"/>
      <c r="W337" s="761"/>
      <c r="X337" s="4" t="str">
        <f t="shared" si="2"/>
        <v>July</v>
      </c>
      <c r="Y337" s="761">
        <v>44749</v>
      </c>
      <c r="Z337" s="761" t="s">
        <v>62</v>
      </c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spans="2:39">
      <c r="B338" s="747">
        <v>7</v>
      </c>
      <c r="C338" s="748" t="s">
        <v>1792</v>
      </c>
      <c r="D338" s="781" t="s">
        <v>2530</v>
      </c>
      <c r="E338" s="780" t="s">
        <v>2531</v>
      </c>
      <c r="F338" s="749">
        <v>22</v>
      </c>
      <c r="G338" s="3" t="s">
        <v>128</v>
      </c>
      <c r="H338" s="3"/>
      <c r="I338" s="3">
        <v>465.2</v>
      </c>
      <c r="J338" s="783"/>
      <c r="K338" s="3" t="s">
        <v>2512</v>
      </c>
      <c r="L338" s="761">
        <v>44754</v>
      </c>
      <c r="M338" s="761"/>
      <c r="N338" s="761"/>
      <c r="O338" s="761" t="s">
        <v>62</v>
      </c>
      <c r="P338" s="762" t="s">
        <v>2532</v>
      </c>
      <c r="Q338" s="3"/>
      <c r="R338" s="3"/>
      <c r="S338" s="3" t="s">
        <v>2336</v>
      </c>
      <c r="T338" s="3"/>
      <c r="U338" s="3">
        <v>329.6</v>
      </c>
      <c r="V338" s="4"/>
      <c r="W338" s="761"/>
      <c r="X338" s="4" t="str">
        <f t="shared" si="2"/>
        <v>July</v>
      </c>
      <c r="Y338" s="761">
        <v>44753</v>
      </c>
      <c r="Z338" s="761" t="s">
        <v>62</v>
      </c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spans="2:39">
      <c r="B339" s="747">
        <v>7</v>
      </c>
      <c r="C339" s="748" t="s">
        <v>1792</v>
      </c>
      <c r="D339" s="781" t="s">
        <v>2533</v>
      </c>
      <c r="E339" s="780" t="s">
        <v>2534</v>
      </c>
      <c r="F339" s="749">
        <v>23</v>
      </c>
      <c r="G339" s="3" t="s">
        <v>128</v>
      </c>
      <c r="H339" s="3"/>
      <c r="I339" s="3">
        <v>464.3</v>
      </c>
      <c r="J339" s="783"/>
      <c r="K339" s="3" t="s">
        <v>2512</v>
      </c>
      <c r="L339" s="761">
        <v>44754</v>
      </c>
      <c r="M339" s="761"/>
      <c r="N339" s="761"/>
      <c r="O339" s="761" t="s">
        <v>62</v>
      </c>
      <c r="P339" s="762" t="s">
        <v>2535</v>
      </c>
      <c r="Q339" s="3"/>
      <c r="R339" s="3"/>
      <c r="S339" s="3" t="s">
        <v>2336</v>
      </c>
      <c r="T339" s="3"/>
      <c r="U339" s="3">
        <v>329.7</v>
      </c>
      <c r="V339" s="4"/>
      <c r="W339" s="761"/>
      <c r="X339" s="4" t="str">
        <f t="shared" si="2"/>
        <v>July</v>
      </c>
      <c r="Y339" s="761">
        <v>44753</v>
      </c>
      <c r="Z339" s="761" t="s">
        <v>62</v>
      </c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spans="2:39">
      <c r="B340" s="747">
        <v>7</v>
      </c>
      <c r="C340" s="748" t="s">
        <v>1792</v>
      </c>
      <c r="D340" s="781" t="s">
        <v>2536</v>
      </c>
      <c r="E340" s="780" t="s">
        <v>2537</v>
      </c>
      <c r="F340" s="749">
        <v>24</v>
      </c>
      <c r="G340" s="3" t="s">
        <v>128</v>
      </c>
      <c r="H340" s="3"/>
      <c r="I340" s="3">
        <v>466.5</v>
      </c>
      <c r="J340" s="783"/>
      <c r="K340" s="3" t="s">
        <v>2512</v>
      </c>
      <c r="L340" s="761">
        <v>44754</v>
      </c>
      <c r="M340" s="761"/>
      <c r="N340" s="761"/>
      <c r="O340" s="761" t="s">
        <v>62</v>
      </c>
      <c r="P340" s="762" t="s">
        <v>2538</v>
      </c>
      <c r="Q340" s="3"/>
      <c r="R340" s="3"/>
      <c r="S340" s="3" t="s">
        <v>2336</v>
      </c>
      <c r="T340" s="3"/>
      <c r="U340" s="3">
        <v>329.9</v>
      </c>
      <c r="V340" s="4"/>
      <c r="W340" s="761"/>
      <c r="X340" s="4" t="str">
        <f t="shared" si="2"/>
        <v>July</v>
      </c>
      <c r="Y340" s="761">
        <v>44754</v>
      </c>
      <c r="Z340" s="761" t="s">
        <v>62</v>
      </c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spans="2:39">
      <c r="B341" s="747">
        <v>7</v>
      </c>
      <c r="C341" s="748" t="s">
        <v>1792</v>
      </c>
      <c r="D341" s="781" t="s">
        <v>2539</v>
      </c>
      <c r="E341" s="780" t="s">
        <v>2540</v>
      </c>
      <c r="F341" s="749">
        <v>25</v>
      </c>
      <c r="G341" s="3" t="s">
        <v>128</v>
      </c>
      <c r="H341" s="3"/>
      <c r="I341" s="784">
        <v>463</v>
      </c>
      <c r="J341" s="783"/>
      <c r="K341" s="3" t="s">
        <v>2512</v>
      </c>
      <c r="L341" s="761">
        <v>44755</v>
      </c>
      <c r="M341" s="761"/>
      <c r="N341" s="761"/>
      <c r="O341" s="761" t="s">
        <v>62</v>
      </c>
      <c r="P341" s="762" t="s">
        <v>2541</v>
      </c>
      <c r="Q341" s="3"/>
      <c r="R341" s="3"/>
      <c r="S341" s="3" t="s">
        <v>2336</v>
      </c>
      <c r="T341" s="3"/>
      <c r="U341" s="3">
        <v>329.9</v>
      </c>
      <c r="V341" s="4"/>
      <c r="W341" s="761"/>
      <c r="X341" s="4" t="str">
        <f t="shared" si="2"/>
        <v>July</v>
      </c>
      <c r="Y341" s="761">
        <v>44754</v>
      </c>
      <c r="Z341" s="761" t="s">
        <v>62</v>
      </c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spans="2:39">
      <c r="B342" s="747">
        <v>7</v>
      </c>
      <c r="C342" s="748" t="s">
        <v>1792</v>
      </c>
      <c r="D342" s="781" t="s">
        <v>2542</v>
      </c>
      <c r="E342" s="780" t="s">
        <v>2543</v>
      </c>
      <c r="F342" s="749">
        <v>26</v>
      </c>
      <c r="G342" s="3" t="s">
        <v>128</v>
      </c>
      <c r="H342" s="3"/>
      <c r="I342" s="784">
        <v>468.8</v>
      </c>
      <c r="J342" s="783"/>
      <c r="K342" s="3" t="s">
        <v>2512</v>
      </c>
      <c r="L342" s="761">
        <v>44755</v>
      </c>
      <c r="M342" s="761"/>
      <c r="N342" s="761"/>
      <c r="O342" s="761" t="s">
        <v>62</v>
      </c>
      <c r="P342" s="762" t="s">
        <v>2544</v>
      </c>
      <c r="Q342" s="3"/>
      <c r="R342" s="3"/>
      <c r="S342" s="3" t="s">
        <v>2336</v>
      </c>
      <c r="T342" s="3"/>
      <c r="U342" s="784">
        <v>330.5</v>
      </c>
      <c r="V342" s="4"/>
      <c r="W342" s="761"/>
      <c r="X342" s="4" t="str">
        <f t="shared" si="2"/>
        <v>July</v>
      </c>
      <c r="Y342" s="761">
        <v>44755</v>
      </c>
      <c r="Z342" s="761" t="s">
        <v>62</v>
      </c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spans="2:39">
      <c r="B343" s="747">
        <v>7</v>
      </c>
      <c r="C343" s="748" t="s">
        <v>1792</v>
      </c>
      <c r="D343" s="781" t="s">
        <v>2545</v>
      </c>
      <c r="E343" s="780" t="s">
        <v>2546</v>
      </c>
      <c r="F343" s="749">
        <v>27</v>
      </c>
      <c r="G343" s="3" t="s">
        <v>128</v>
      </c>
      <c r="H343" s="3"/>
      <c r="I343" s="3">
        <v>465.7</v>
      </c>
      <c r="J343" s="783"/>
      <c r="K343" s="3" t="s">
        <v>2512</v>
      </c>
      <c r="L343" s="761">
        <v>44756</v>
      </c>
      <c r="M343" s="761"/>
      <c r="N343" s="761"/>
      <c r="O343" s="761" t="s">
        <v>62</v>
      </c>
      <c r="P343" s="762" t="s">
        <v>2547</v>
      </c>
      <c r="Q343" s="3"/>
      <c r="R343" s="3"/>
      <c r="S343" s="3" t="s">
        <v>2336</v>
      </c>
      <c r="T343" s="3"/>
      <c r="U343" s="784">
        <v>330.1</v>
      </c>
      <c r="V343" s="4"/>
      <c r="W343" s="761"/>
      <c r="X343" s="4" t="str">
        <f t="shared" si="2"/>
        <v>July</v>
      </c>
      <c r="Y343" s="761">
        <v>44755</v>
      </c>
      <c r="Z343" s="761" t="s">
        <v>62</v>
      </c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spans="2:39" s="705" customFormat="1" ht="18" customHeight="1">
      <c r="B344" s="731"/>
      <c r="C344" s="736" t="s">
        <v>1761</v>
      </c>
      <c r="D344" s="737"/>
      <c r="E344" s="738"/>
      <c r="F344" s="739"/>
      <c r="G344" s="740"/>
      <c r="H344" s="740"/>
      <c r="I344" s="740"/>
      <c r="J344" s="756"/>
      <c r="K344" s="756"/>
      <c r="L344" s="740"/>
      <c r="M344" s="740"/>
      <c r="N344" s="740"/>
      <c r="O344" s="757"/>
      <c r="P344" s="758"/>
      <c r="Q344" s="740"/>
      <c r="R344" s="740"/>
      <c r="S344" s="740"/>
      <c r="T344" s="740"/>
      <c r="U344" s="740"/>
      <c r="V344" s="740"/>
      <c r="W344" s="740"/>
      <c r="X344" s="740"/>
      <c r="Y344" s="740"/>
      <c r="Z344" s="757"/>
      <c r="AA344" s="771"/>
      <c r="AB344" s="771"/>
      <c r="AC344" s="771"/>
      <c r="AD344" s="771"/>
      <c r="AE344" s="771"/>
      <c r="AF344" s="771"/>
      <c r="AG344" s="775"/>
      <c r="AH344" s="771"/>
      <c r="AI344" s="771"/>
      <c r="AJ344" s="771"/>
      <c r="AK344" s="771"/>
      <c r="AL344" s="771"/>
      <c r="AM344" s="776"/>
    </row>
    <row r="345" spans="2:39">
      <c r="B345" s="747">
        <v>8</v>
      </c>
      <c r="C345" s="748" t="s">
        <v>1792</v>
      </c>
      <c r="D345" s="781" t="s">
        <v>2548</v>
      </c>
      <c r="E345" s="780" t="s">
        <v>2549</v>
      </c>
      <c r="F345" s="749">
        <v>1</v>
      </c>
      <c r="G345" s="3" t="s">
        <v>128</v>
      </c>
      <c r="H345" s="3"/>
      <c r="I345" s="3">
        <v>466.4</v>
      </c>
      <c r="J345" s="783"/>
      <c r="K345" s="3" t="s">
        <v>2512</v>
      </c>
      <c r="L345" s="761">
        <v>44756</v>
      </c>
      <c r="M345" s="761"/>
      <c r="N345" s="761"/>
      <c r="O345" s="761" t="s">
        <v>62</v>
      </c>
      <c r="P345" s="762" t="s">
        <v>2550</v>
      </c>
      <c r="Q345" s="3"/>
      <c r="R345" s="3"/>
      <c r="S345" s="3" t="s">
        <v>2336</v>
      </c>
      <c r="T345" s="3"/>
      <c r="U345" s="784">
        <v>330.3</v>
      </c>
      <c r="V345" s="4"/>
      <c r="W345" s="761"/>
      <c r="X345" s="4" t="str">
        <f t="shared" si="2"/>
        <v>July</v>
      </c>
      <c r="Y345" s="761">
        <v>44755</v>
      </c>
      <c r="Z345" s="761" t="s">
        <v>62</v>
      </c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spans="2:39">
      <c r="B346" s="747">
        <v>8</v>
      </c>
      <c r="C346" s="748" t="s">
        <v>1792</v>
      </c>
      <c r="D346" s="781" t="s">
        <v>2551</v>
      </c>
      <c r="E346" s="780" t="s">
        <v>2552</v>
      </c>
      <c r="F346" s="749">
        <v>2</v>
      </c>
      <c r="G346" s="3" t="s">
        <v>128</v>
      </c>
      <c r="H346" s="3"/>
      <c r="I346" s="3">
        <v>465.5</v>
      </c>
      <c r="J346" s="783"/>
      <c r="K346" s="3" t="s">
        <v>2512</v>
      </c>
      <c r="L346" s="761">
        <v>44757</v>
      </c>
      <c r="M346" s="761"/>
      <c r="N346" s="761"/>
      <c r="O346" s="761" t="s">
        <v>62</v>
      </c>
      <c r="P346" s="762" t="s">
        <v>2553</v>
      </c>
      <c r="Q346" s="3"/>
      <c r="R346" s="3"/>
      <c r="S346" s="3" t="s">
        <v>2336</v>
      </c>
      <c r="T346" s="3"/>
      <c r="U346" s="784">
        <v>330.2</v>
      </c>
      <c r="V346" s="4"/>
      <c r="W346" s="761"/>
      <c r="X346" s="4" t="str">
        <f t="shared" si="2"/>
        <v>July</v>
      </c>
      <c r="Y346" s="761">
        <v>44755</v>
      </c>
      <c r="Z346" s="761" t="s">
        <v>62</v>
      </c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spans="2:39">
      <c r="B347" s="747">
        <v>8</v>
      </c>
      <c r="C347" s="748" t="s">
        <v>1792</v>
      </c>
      <c r="D347" s="781" t="s">
        <v>2554</v>
      </c>
      <c r="E347" s="780" t="s">
        <v>2555</v>
      </c>
      <c r="F347" s="749">
        <v>3</v>
      </c>
      <c r="G347" s="3" t="s">
        <v>128</v>
      </c>
      <c r="H347" s="3"/>
      <c r="I347" s="785">
        <v>466.7</v>
      </c>
      <c r="J347" s="783"/>
      <c r="K347" s="3" t="s">
        <v>2556</v>
      </c>
      <c r="L347" s="761">
        <v>44774</v>
      </c>
      <c r="M347" s="761"/>
      <c r="N347" s="761"/>
      <c r="O347" s="761" t="s">
        <v>62</v>
      </c>
      <c r="P347" s="3" t="s">
        <v>2557</v>
      </c>
      <c r="Q347" s="3"/>
      <c r="R347" s="3"/>
      <c r="S347" s="3" t="s">
        <v>2336</v>
      </c>
      <c r="T347" s="3"/>
      <c r="U347" s="3">
        <v>330.1</v>
      </c>
      <c r="V347" s="4"/>
      <c r="W347" s="761"/>
      <c r="X347" s="4" t="str">
        <f t="shared" si="2"/>
        <v>July</v>
      </c>
      <c r="Y347" s="761">
        <v>44760</v>
      </c>
      <c r="Z347" s="761" t="s">
        <v>62</v>
      </c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spans="2:39">
      <c r="B348" s="747">
        <v>8</v>
      </c>
      <c r="C348" s="748" t="s">
        <v>1792</v>
      </c>
      <c r="D348" s="781" t="s">
        <v>2558</v>
      </c>
      <c r="E348" s="780" t="s">
        <v>2559</v>
      </c>
      <c r="F348" s="749">
        <v>4</v>
      </c>
      <c r="G348" s="3" t="s">
        <v>128</v>
      </c>
      <c r="H348" s="3"/>
      <c r="I348" s="785">
        <v>467.7</v>
      </c>
      <c r="J348" s="783"/>
      <c r="K348" s="3" t="s">
        <v>2556</v>
      </c>
      <c r="L348" s="761">
        <v>44775</v>
      </c>
      <c r="M348" s="761"/>
      <c r="N348" s="761"/>
      <c r="O348" s="761" t="s">
        <v>62</v>
      </c>
      <c r="P348" s="3" t="s">
        <v>2560</v>
      </c>
      <c r="Q348" s="3"/>
      <c r="R348" s="3"/>
      <c r="S348" s="3" t="s">
        <v>2336</v>
      </c>
      <c r="T348" s="3"/>
      <c r="U348" s="785">
        <v>330.1</v>
      </c>
      <c r="V348" s="4"/>
      <c r="W348" s="761"/>
      <c r="X348" s="4" t="str">
        <f t="shared" si="2"/>
        <v>August</v>
      </c>
      <c r="Y348" s="761">
        <v>44774</v>
      </c>
      <c r="Z348" s="761" t="s">
        <v>62</v>
      </c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spans="2:39">
      <c r="B349" s="747">
        <v>8</v>
      </c>
      <c r="C349" s="748" t="s">
        <v>1792</v>
      </c>
      <c r="D349" s="781" t="s">
        <v>2561</v>
      </c>
      <c r="E349" s="780" t="s">
        <v>2562</v>
      </c>
      <c r="F349" s="749">
        <v>5</v>
      </c>
      <c r="G349" s="3" t="s">
        <v>128</v>
      </c>
      <c r="H349" s="3"/>
      <c r="I349" s="785">
        <v>463.4</v>
      </c>
      <c r="J349" s="783"/>
      <c r="K349" s="3" t="s">
        <v>2556</v>
      </c>
      <c r="L349" s="761">
        <v>44775</v>
      </c>
      <c r="M349" s="761"/>
      <c r="N349" s="761"/>
      <c r="O349" s="761" t="s">
        <v>62</v>
      </c>
      <c r="P349" s="3" t="s">
        <v>2563</v>
      </c>
      <c r="Q349" s="3"/>
      <c r="R349" s="3"/>
      <c r="S349" s="3" t="s">
        <v>2336</v>
      </c>
      <c r="T349" s="3"/>
      <c r="U349" s="785">
        <v>330</v>
      </c>
      <c r="V349" s="4"/>
      <c r="W349" s="761"/>
      <c r="X349" s="4" t="str">
        <f t="shared" si="2"/>
        <v>August</v>
      </c>
      <c r="Y349" s="761">
        <v>44774</v>
      </c>
      <c r="Z349" s="761" t="s">
        <v>62</v>
      </c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spans="2:39">
      <c r="B350" s="747">
        <v>8</v>
      </c>
      <c r="C350" s="748" t="s">
        <v>1792</v>
      </c>
      <c r="D350" s="781" t="s">
        <v>2564</v>
      </c>
      <c r="E350" s="780" t="s">
        <v>2565</v>
      </c>
      <c r="F350" s="749">
        <v>6</v>
      </c>
      <c r="G350" s="3" t="s">
        <v>128</v>
      </c>
      <c r="H350" s="3"/>
      <c r="I350" s="3">
        <v>465</v>
      </c>
      <c r="J350" s="783"/>
      <c r="K350" s="3" t="s">
        <v>2556</v>
      </c>
      <c r="L350" s="761">
        <v>44776</v>
      </c>
      <c r="M350" s="761"/>
      <c r="N350" s="761"/>
      <c r="O350" s="761" t="s">
        <v>62</v>
      </c>
      <c r="P350" s="762" t="s">
        <v>2566</v>
      </c>
      <c r="Q350" s="3"/>
      <c r="R350" s="3"/>
      <c r="S350" s="3" t="s">
        <v>2336</v>
      </c>
      <c r="T350" s="3"/>
      <c r="U350" s="785">
        <v>329.9</v>
      </c>
      <c r="V350" s="4"/>
      <c r="W350" s="761"/>
      <c r="X350" s="4" t="str">
        <f t="shared" si="2"/>
        <v>August</v>
      </c>
      <c r="Y350" s="761">
        <v>44775</v>
      </c>
      <c r="Z350" s="761" t="s">
        <v>62</v>
      </c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spans="2:39">
      <c r="B351" s="747">
        <v>8</v>
      </c>
      <c r="C351" s="748" t="s">
        <v>1792</v>
      </c>
      <c r="D351" s="781" t="s">
        <v>2567</v>
      </c>
      <c r="E351" s="780" t="s">
        <v>2568</v>
      </c>
      <c r="F351" s="749">
        <v>7</v>
      </c>
      <c r="G351" s="3" t="s">
        <v>128</v>
      </c>
      <c r="H351" s="3"/>
      <c r="I351" s="3">
        <v>459.5</v>
      </c>
      <c r="J351" s="783"/>
      <c r="K351" s="3" t="s">
        <v>2556</v>
      </c>
      <c r="L351" s="761">
        <v>44776</v>
      </c>
      <c r="M351" s="761"/>
      <c r="N351" s="761"/>
      <c r="O351" s="761" t="s">
        <v>62</v>
      </c>
      <c r="P351" s="762" t="s">
        <v>2569</v>
      </c>
      <c r="Q351" s="3"/>
      <c r="R351" s="3"/>
      <c r="S351" s="3" t="s">
        <v>2336</v>
      </c>
      <c r="T351" s="3"/>
      <c r="U351" s="785">
        <v>330.2</v>
      </c>
      <c r="V351" s="4"/>
      <c r="W351" s="761"/>
      <c r="X351" s="4" t="str">
        <f t="shared" si="2"/>
        <v>August</v>
      </c>
      <c r="Y351" s="761">
        <v>44775</v>
      </c>
      <c r="Z351" s="761" t="s">
        <v>62</v>
      </c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spans="2:39">
      <c r="B352" s="747">
        <v>8</v>
      </c>
      <c r="C352" s="748" t="s">
        <v>1792</v>
      </c>
      <c r="D352" s="781" t="s">
        <v>2570</v>
      </c>
      <c r="E352" s="780" t="s">
        <v>2571</v>
      </c>
      <c r="F352" s="749">
        <v>8</v>
      </c>
      <c r="G352" s="3" t="s">
        <v>128</v>
      </c>
      <c r="H352" s="3"/>
      <c r="I352" s="786">
        <v>469.9</v>
      </c>
      <c r="J352" s="783"/>
      <c r="K352" s="3" t="s">
        <v>2556</v>
      </c>
      <c r="L352" s="761">
        <v>44777</v>
      </c>
      <c r="M352" s="761"/>
      <c r="N352" s="761"/>
      <c r="O352" s="761" t="s">
        <v>62</v>
      </c>
      <c r="P352" s="3" t="s">
        <v>2572</v>
      </c>
      <c r="Q352" s="3"/>
      <c r="R352" s="3"/>
      <c r="S352" s="3" t="s">
        <v>2336</v>
      </c>
      <c r="T352" s="3"/>
      <c r="U352" s="786">
        <v>330.2</v>
      </c>
      <c r="V352" s="4"/>
      <c r="W352" s="761"/>
      <c r="X352" s="4" t="str">
        <f t="shared" si="2"/>
        <v>August</v>
      </c>
      <c r="Y352" s="761">
        <v>44776</v>
      </c>
      <c r="Z352" s="761" t="s">
        <v>62</v>
      </c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spans="2:39">
      <c r="B353" s="747">
        <v>8</v>
      </c>
      <c r="C353" s="748" t="s">
        <v>1792</v>
      </c>
      <c r="D353" s="781" t="s">
        <v>2573</v>
      </c>
      <c r="E353" s="780" t="s">
        <v>2574</v>
      </c>
      <c r="F353" s="749">
        <v>9</v>
      </c>
      <c r="G353" s="3" t="s">
        <v>128</v>
      </c>
      <c r="H353" s="3"/>
      <c r="I353" s="786">
        <v>465.2</v>
      </c>
      <c r="J353" s="783"/>
      <c r="K353" s="3" t="s">
        <v>2556</v>
      </c>
      <c r="L353" s="761">
        <v>44777</v>
      </c>
      <c r="M353" s="761"/>
      <c r="N353" s="761"/>
      <c r="O353" s="761" t="s">
        <v>62</v>
      </c>
      <c r="P353" s="3" t="s">
        <v>2575</v>
      </c>
      <c r="Q353" s="3"/>
      <c r="R353" s="3"/>
      <c r="S353" s="3" t="s">
        <v>2336</v>
      </c>
      <c r="T353" s="3"/>
      <c r="U353" s="786">
        <v>330</v>
      </c>
      <c r="V353" s="4"/>
      <c r="W353" s="761"/>
      <c r="X353" s="4" t="str">
        <f t="shared" si="2"/>
        <v>August</v>
      </c>
      <c r="Y353" s="761">
        <v>44776</v>
      </c>
      <c r="Z353" s="761" t="s">
        <v>62</v>
      </c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spans="2:39">
      <c r="B354" s="747">
        <v>8</v>
      </c>
      <c r="C354" s="748" t="s">
        <v>1792</v>
      </c>
      <c r="D354" s="781" t="s">
        <v>2576</v>
      </c>
      <c r="E354" s="780" t="s">
        <v>2577</v>
      </c>
      <c r="F354" s="749">
        <v>10</v>
      </c>
      <c r="G354" s="3" t="s">
        <v>128</v>
      </c>
      <c r="H354" s="3"/>
      <c r="I354" s="786">
        <v>469.3</v>
      </c>
      <c r="J354" s="783"/>
      <c r="K354" s="3" t="s">
        <v>2556</v>
      </c>
      <c r="L354" s="761">
        <v>44777</v>
      </c>
      <c r="M354" s="761"/>
      <c r="N354" s="761"/>
      <c r="O354" s="761" t="s">
        <v>62</v>
      </c>
      <c r="P354" s="3" t="s">
        <v>2578</v>
      </c>
      <c r="Q354" s="3"/>
      <c r="R354" s="3"/>
      <c r="S354" s="3" t="s">
        <v>2336</v>
      </c>
      <c r="T354" s="3"/>
      <c r="U354" s="786">
        <v>330.3</v>
      </c>
      <c r="V354" s="4"/>
      <c r="W354" s="761"/>
      <c r="X354" s="4" t="str">
        <f t="shared" si="2"/>
        <v>August</v>
      </c>
      <c r="Y354" s="761">
        <v>44777</v>
      </c>
      <c r="Z354" s="761" t="s">
        <v>62</v>
      </c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spans="2:39">
      <c r="B355" s="747">
        <v>8</v>
      </c>
      <c r="C355" s="748" t="s">
        <v>1792</v>
      </c>
      <c r="D355" s="781" t="s">
        <v>2579</v>
      </c>
      <c r="E355" s="780" t="s">
        <v>2580</v>
      </c>
      <c r="F355" s="749">
        <v>11</v>
      </c>
      <c r="G355" s="3" t="s">
        <v>128</v>
      </c>
      <c r="H355" s="3"/>
      <c r="I355" s="786">
        <v>462.3</v>
      </c>
      <c r="J355" s="783"/>
      <c r="K355" s="3" t="s">
        <v>2556</v>
      </c>
      <c r="L355" s="761">
        <v>44777</v>
      </c>
      <c r="M355" s="761"/>
      <c r="N355" s="761"/>
      <c r="O355" s="761" t="s">
        <v>62</v>
      </c>
      <c r="P355" s="3" t="s">
        <v>2581</v>
      </c>
      <c r="Q355" s="3"/>
      <c r="R355" s="3"/>
      <c r="S355" s="3" t="s">
        <v>2336</v>
      </c>
      <c r="T355" s="3"/>
      <c r="U355" s="786">
        <v>330.3</v>
      </c>
      <c r="V355" s="4"/>
      <c r="W355" s="761"/>
      <c r="X355" s="4" t="str">
        <f t="shared" si="2"/>
        <v>August</v>
      </c>
      <c r="Y355" s="761">
        <v>44777</v>
      </c>
      <c r="Z355" s="761" t="s">
        <v>62</v>
      </c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spans="2:39">
      <c r="B356" s="747">
        <v>8</v>
      </c>
      <c r="C356" s="748" t="s">
        <v>1792</v>
      </c>
      <c r="D356" s="781" t="s">
        <v>2582</v>
      </c>
      <c r="E356" s="780" t="s">
        <v>2583</v>
      </c>
      <c r="F356" s="749">
        <v>12</v>
      </c>
      <c r="G356" s="3" t="s">
        <v>128</v>
      </c>
      <c r="H356" s="3"/>
      <c r="I356" s="786">
        <v>468.5</v>
      </c>
      <c r="J356" s="783"/>
      <c r="K356" s="3" t="s">
        <v>2556</v>
      </c>
      <c r="L356" s="761">
        <v>44778</v>
      </c>
      <c r="M356" s="761"/>
      <c r="N356" s="761"/>
      <c r="O356" s="761" t="s">
        <v>62</v>
      </c>
      <c r="P356" s="3" t="s">
        <v>2584</v>
      </c>
      <c r="Q356" s="3"/>
      <c r="R356" s="3"/>
      <c r="S356" s="3" t="s">
        <v>2336</v>
      </c>
      <c r="T356" s="3"/>
      <c r="U356" s="786">
        <v>330</v>
      </c>
      <c r="V356" s="4"/>
      <c r="W356" s="761"/>
      <c r="X356" s="4" t="str">
        <f t="shared" si="2"/>
        <v>August</v>
      </c>
      <c r="Y356" s="761">
        <v>44778</v>
      </c>
      <c r="Z356" s="761" t="s">
        <v>62</v>
      </c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spans="2:39">
      <c r="B357" s="747">
        <v>8</v>
      </c>
      <c r="C357" s="748" t="s">
        <v>1792</v>
      </c>
      <c r="D357" s="781" t="s">
        <v>2585</v>
      </c>
      <c r="E357" s="780" t="s">
        <v>2586</v>
      </c>
      <c r="F357" s="749">
        <v>13</v>
      </c>
      <c r="G357" s="3" t="s">
        <v>128</v>
      </c>
      <c r="H357" s="3"/>
      <c r="I357" s="786">
        <v>467.9</v>
      </c>
      <c r="J357" s="783"/>
      <c r="K357" s="3" t="s">
        <v>2556</v>
      </c>
      <c r="L357" s="761">
        <v>44778</v>
      </c>
      <c r="M357" s="761"/>
      <c r="N357" s="761"/>
      <c r="O357" s="761" t="s">
        <v>62</v>
      </c>
      <c r="P357" s="3" t="s">
        <v>2587</v>
      </c>
      <c r="Q357" s="3"/>
      <c r="R357" s="3"/>
      <c r="S357" s="3" t="s">
        <v>2336</v>
      </c>
      <c r="T357" s="3"/>
      <c r="U357" s="786">
        <v>330</v>
      </c>
      <c r="V357" s="4"/>
      <c r="W357" s="761"/>
      <c r="X357" s="4" t="str">
        <f t="shared" si="2"/>
        <v>August</v>
      </c>
      <c r="Y357" s="761">
        <v>44778</v>
      </c>
      <c r="Z357" s="761" t="s">
        <v>62</v>
      </c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spans="2:39">
      <c r="B358" s="747">
        <v>8</v>
      </c>
      <c r="C358" s="748" t="s">
        <v>1792</v>
      </c>
      <c r="D358" s="781" t="s">
        <v>2588</v>
      </c>
      <c r="E358" s="780" t="s">
        <v>2589</v>
      </c>
      <c r="F358" s="749">
        <v>14</v>
      </c>
      <c r="G358" s="3" t="s">
        <v>128</v>
      </c>
      <c r="H358" s="3"/>
      <c r="I358" s="786">
        <v>464.85</v>
      </c>
      <c r="J358" s="783"/>
      <c r="K358" s="3" t="s">
        <v>2556</v>
      </c>
      <c r="L358" s="761">
        <v>44781</v>
      </c>
      <c r="M358" s="761"/>
      <c r="N358" s="761"/>
      <c r="O358" s="761" t="s">
        <v>62</v>
      </c>
      <c r="P358" s="3" t="s">
        <v>2590</v>
      </c>
      <c r="Q358" s="3"/>
      <c r="R358" s="3"/>
      <c r="S358" s="3" t="s">
        <v>2336</v>
      </c>
      <c r="T358" s="3"/>
      <c r="U358" s="786">
        <v>330</v>
      </c>
      <c r="V358" s="4"/>
      <c r="W358" s="761"/>
      <c r="X358" s="4" t="str">
        <f t="shared" si="2"/>
        <v>August</v>
      </c>
      <c r="Y358" s="761">
        <v>44778</v>
      </c>
      <c r="Z358" s="761" t="s">
        <v>62</v>
      </c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spans="2:39">
      <c r="B359" s="747">
        <v>8</v>
      </c>
      <c r="C359" s="748" t="s">
        <v>1792</v>
      </c>
      <c r="D359" s="781" t="s">
        <v>2591</v>
      </c>
      <c r="E359" s="780" t="s">
        <v>2592</v>
      </c>
      <c r="F359" s="749">
        <v>15</v>
      </c>
      <c r="G359" s="3" t="s">
        <v>128</v>
      </c>
      <c r="H359" s="3"/>
      <c r="I359" s="786">
        <v>465.1</v>
      </c>
      <c r="J359" s="783"/>
      <c r="K359" s="3" t="str">
        <f>TEXT(L359,"mmmm")</f>
        <v>August</v>
      </c>
      <c r="L359" s="761">
        <v>44781</v>
      </c>
      <c r="M359" s="761"/>
      <c r="N359" s="761"/>
      <c r="O359" s="761" t="s">
        <v>62</v>
      </c>
      <c r="P359" s="3" t="s">
        <v>2593</v>
      </c>
      <c r="Q359" s="3"/>
      <c r="R359" s="3"/>
      <c r="S359" s="3" t="s">
        <v>2336</v>
      </c>
      <c r="T359" s="3"/>
      <c r="U359" s="786">
        <v>330.2</v>
      </c>
      <c r="V359" s="4"/>
      <c r="W359" s="761"/>
      <c r="X359" s="4" t="str">
        <f t="shared" si="2"/>
        <v>August</v>
      </c>
      <c r="Y359" s="761">
        <v>44781</v>
      </c>
      <c r="Z359" s="761" t="s">
        <v>62</v>
      </c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spans="2:39">
      <c r="B360" s="747">
        <v>8</v>
      </c>
      <c r="C360" s="748" t="s">
        <v>1792</v>
      </c>
      <c r="D360" s="781" t="s">
        <v>2594</v>
      </c>
      <c r="E360" s="780" t="s">
        <v>2595</v>
      </c>
      <c r="F360" s="749">
        <v>16</v>
      </c>
      <c r="G360" s="3" t="s">
        <v>128</v>
      </c>
      <c r="H360" s="3"/>
      <c r="I360" s="786">
        <v>464.7</v>
      </c>
      <c r="J360" s="783"/>
      <c r="K360" s="3" t="s">
        <v>2596</v>
      </c>
      <c r="L360" s="761">
        <v>44782</v>
      </c>
      <c r="M360" s="761"/>
      <c r="N360" s="761"/>
      <c r="O360" s="761" t="s">
        <v>62</v>
      </c>
      <c r="P360" s="3" t="s">
        <v>2597</v>
      </c>
      <c r="Q360" s="3"/>
      <c r="R360" s="3"/>
      <c r="S360" s="3" t="s">
        <v>2336</v>
      </c>
      <c r="T360" s="3"/>
      <c r="U360" s="786">
        <v>329.7</v>
      </c>
      <c r="V360" s="4"/>
      <c r="W360" s="761"/>
      <c r="X360" s="4" t="s">
        <v>2556</v>
      </c>
      <c r="Y360" s="761">
        <v>44781</v>
      </c>
      <c r="Z360" s="761" t="s">
        <v>62</v>
      </c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spans="2:39">
      <c r="B361" s="747">
        <v>8</v>
      </c>
      <c r="C361" s="748" t="s">
        <v>1792</v>
      </c>
      <c r="D361" s="781" t="s">
        <v>2598</v>
      </c>
      <c r="E361" s="780" t="s">
        <v>2599</v>
      </c>
      <c r="F361" s="749">
        <v>17</v>
      </c>
      <c r="G361" s="3" t="s">
        <v>128</v>
      </c>
      <c r="H361" s="3"/>
      <c r="I361" s="786">
        <v>465.7</v>
      </c>
      <c r="J361" s="783"/>
      <c r="K361" s="3" t="s">
        <v>2556</v>
      </c>
      <c r="L361" s="761">
        <v>44782</v>
      </c>
      <c r="M361" s="761"/>
      <c r="N361" s="761"/>
      <c r="O361" s="761" t="s">
        <v>62</v>
      </c>
      <c r="P361" s="3" t="s">
        <v>2600</v>
      </c>
      <c r="Q361" s="3"/>
      <c r="R361" s="3"/>
      <c r="S361" s="3" t="s">
        <v>2336</v>
      </c>
      <c r="T361" s="3"/>
      <c r="U361" s="786">
        <v>330.1</v>
      </c>
      <c r="V361" s="4"/>
      <c r="W361" s="761"/>
      <c r="X361" s="4" t="s">
        <v>2556</v>
      </c>
      <c r="Y361" s="761">
        <v>44781</v>
      </c>
      <c r="Z361" s="761" t="s">
        <v>62</v>
      </c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spans="2:39" s="705" customFormat="1" ht="18" customHeight="1">
      <c r="B362" s="731"/>
      <c r="C362" s="736" t="s">
        <v>1760</v>
      </c>
      <c r="D362" s="737"/>
      <c r="E362" s="738"/>
      <c r="F362" s="739"/>
      <c r="G362" s="740"/>
      <c r="H362" s="740"/>
      <c r="I362" s="740"/>
      <c r="J362" s="756"/>
      <c r="K362" s="756"/>
      <c r="L362" s="740"/>
      <c r="M362" s="740"/>
      <c r="N362" s="740"/>
      <c r="O362" s="757"/>
      <c r="P362" s="758"/>
      <c r="Q362" s="740"/>
      <c r="R362" s="740"/>
      <c r="S362" s="740"/>
      <c r="T362" s="740"/>
      <c r="U362" s="740"/>
      <c r="V362" s="740"/>
      <c r="W362" s="740"/>
      <c r="X362" s="740"/>
      <c r="Y362" s="740"/>
      <c r="Z362" s="757"/>
      <c r="AA362" s="771"/>
      <c r="AB362" s="771"/>
      <c r="AC362" s="771"/>
      <c r="AD362" s="771"/>
      <c r="AE362" s="771"/>
      <c r="AF362" s="771"/>
      <c r="AG362" s="775"/>
      <c r="AH362" s="771"/>
      <c r="AI362" s="771"/>
      <c r="AJ362" s="771"/>
      <c r="AK362" s="771"/>
      <c r="AL362" s="771"/>
      <c r="AM362" s="776"/>
    </row>
    <row r="363" spans="2:39">
      <c r="B363" s="747">
        <v>9</v>
      </c>
      <c r="C363" s="748" t="s">
        <v>1792</v>
      </c>
      <c r="D363" s="781" t="s">
        <v>2601</v>
      </c>
      <c r="E363" s="780" t="s">
        <v>2602</v>
      </c>
      <c r="F363" s="749">
        <v>1</v>
      </c>
      <c r="G363" s="3" t="s">
        <v>128</v>
      </c>
      <c r="H363" s="3"/>
      <c r="I363" s="762">
        <v>463.1</v>
      </c>
      <c r="J363" s="783"/>
      <c r="K363" s="3" t="str">
        <f t="shared" ref="K363:K381" si="3">TEXT(L363,"mmmm")</f>
        <v>August</v>
      </c>
      <c r="L363" s="761">
        <v>44796</v>
      </c>
      <c r="M363" s="761"/>
      <c r="N363" s="761"/>
      <c r="O363" s="761" t="s">
        <v>62</v>
      </c>
      <c r="P363" s="3" t="s">
        <v>2603</v>
      </c>
      <c r="Q363" s="3"/>
      <c r="R363" s="3"/>
      <c r="S363" s="3" t="s">
        <v>2336</v>
      </c>
      <c r="T363" s="3"/>
      <c r="U363" s="762">
        <v>330.2</v>
      </c>
      <c r="V363" s="4"/>
      <c r="W363" s="761"/>
      <c r="X363" s="4" t="s">
        <v>2556</v>
      </c>
      <c r="Y363" s="761">
        <v>44796</v>
      </c>
      <c r="Z363" s="761" t="s">
        <v>62</v>
      </c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spans="2:39">
      <c r="B364" s="747">
        <v>9</v>
      </c>
      <c r="C364" s="748" t="s">
        <v>1792</v>
      </c>
      <c r="D364" s="781" t="s">
        <v>2604</v>
      </c>
      <c r="E364" s="780" t="s">
        <v>2605</v>
      </c>
      <c r="F364" s="749">
        <v>2</v>
      </c>
      <c r="G364" s="3" t="s">
        <v>128</v>
      </c>
      <c r="H364" s="3"/>
      <c r="I364" s="762">
        <v>464.6</v>
      </c>
      <c r="J364" s="783"/>
      <c r="K364" s="3" t="str">
        <f t="shared" si="3"/>
        <v>August</v>
      </c>
      <c r="L364" s="761">
        <v>44796</v>
      </c>
      <c r="M364" s="761"/>
      <c r="N364" s="761"/>
      <c r="O364" s="761" t="s">
        <v>62</v>
      </c>
      <c r="P364" s="3" t="s">
        <v>2606</v>
      </c>
      <c r="Q364" s="3"/>
      <c r="R364" s="3"/>
      <c r="S364" s="3" t="s">
        <v>2336</v>
      </c>
      <c r="T364" s="3"/>
      <c r="U364" s="762">
        <v>330.1</v>
      </c>
      <c r="V364" s="4"/>
      <c r="W364" s="761"/>
      <c r="X364" s="4" t="s">
        <v>2556</v>
      </c>
      <c r="Y364" s="761">
        <v>44796</v>
      </c>
      <c r="Z364" s="761" t="s">
        <v>62</v>
      </c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spans="2:39">
      <c r="B365" s="747">
        <v>9</v>
      </c>
      <c r="C365" s="748" t="s">
        <v>1792</v>
      </c>
      <c r="D365" s="781" t="s">
        <v>2607</v>
      </c>
      <c r="E365" s="780" t="s">
        <v>2608</v>
      </c>
      <c r="F365" s="749">
        <v>3</v>
      </c>
      <c r="G365" s="3" t="s">
        <v>128</v>
      </c>
      <c r="H365" s="3"/>
      <c r="I365" s="762">
        <v>466.8</v>
      </c>
      <c r="J365" s="783"/>
      <c r="K365" s="3" t="str">
        <f t="shared" si="3"/>
        <v>August</v>
      </c>
      <c r="L365" s="761">
        <v>44796</v>
      </c>
      <c r="M365" s="761"/>
      <c r="N365" s="761"/>
      <c r="O365" s="761" t="s">
        <v>62</v>
      </c>
      <c r="P365" s="3" t="s">
        <v>2609</v>
      </c>
      <c r="Q365" s="3"/>
      <c r="R365" s="3"/>
      <c r="S365" s="3" t="s">
        <v>2336</v>
      </c>
      <c r="T365" s="3"/>
      <c r="U365" s="762">
        <v>330.2</v>
      </c>
      <c r="V365" s="4"/>
      <c r="W365" s="761"/>
      <c r="X365" s="4" t="s">
        <v>2556</v>
      </c>
      <c r="Y365" s="761">
        <v>44796</v>
      </c>
      <c r="Z365" s="761" t="s">
        <v>62</v>
      </c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spans="2:39">
      <c r="B366" s="747">
        <v>9</v>
      </c>
      <c r="C366" s="748" t="s">
        <v>1792</v>
      </c>
      <c r="D366" s="781" t="s">
        <v>2610</v>
      </c>
      <c r="E366" s="780" t="s">
        <v>2611</v>
      </c>
      <c r="F366" s="749">
        <v>4</v>
      </c>
      <c r="G366" s="3" t="s">
        <v>128</v>
      </c>
      <c r="H366" s="3"/>
      <c r="I366" s="762">
        <v>471.3</v>
      </c>
      <c r="J366" s="783"/>
      <c r="K366" s="3" t="str">
        <f t="shared" si="3"/>
        <v>August</v>
      </c>
      <c r="L366" s="761">
        <v>44797</v>
      </c>
      <c r="M366" s="761"/>
      <c r="N366" s="761"/>
      <c r="O366" s="761" t="s">
        <v>62</v>
      </c>
      <c r="P366" s="3" t="s">
        <v>2612</v>
      </c>
      <c r="Q366" s="3"/>
      <c r="R366" s="3"/>
      <c r="S366" s="3" t="s">
        <v>2336</v>
      </c>
      <c r="T366" s="3"/>
      <c r="U366" s="762">
        <v>330.1</v>
      </c>
      <c r="V366" s="4"/>
      <c r="W366" s="761"/>
      <c r="X366" s="4" t="s">
        <v>2556</v>
      </c>
      <c r="Y366" s="761">
        <v>44797</v>
      </c>
      <c r="Z366" s="761" t="s">
        <v>62</v>
      </c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spans="2:39">
      <c r="B367" s="747">
        <v>9</v>
      </c>
      <c r="C367" s="748" t="s">
        <v>1792</v>
      </c>
      <c r="D367" s="781" t="s">
        <v>2613</v>
      </c>
      <c r="E367" s="780" t="s">
        <v>2614</v>
      </c>
      <c r="F367" s="749">
        <v>5</v>
      </c>
      <c r="G367" s="3" t="s">
        <v>128</v>
      </c>
      <c r="H367" s="3"/>
      <c r="I367" s="762">
        <v>464.2</v>
      </c>
      <c r="J367" s="783"/>
      <c r="K367" s="3" t="str">
        <f t="shared" si="3"/>
        <v>August</v>
      </c>
      <c r="L367" s="761">
        <v>44797</v>
      </c>
      <c r="M367" s="761"/>
      <c r="N367" s="761"/>
      <c r="O367" s="761" t="s">
        <v>62</v>
      </c>
      <c r="P367" s="3" t="s">
        <v>2615</v>
      </c>
      <c r="Q367" s="3"/>
      <c r="R367" s="3"/>
      <c r="S367" s="3" t="s">
        <v>2336</v>
      </c>
      <c r="T367" s="3"/>
      <c r="U367" s="762">
        <v>330</v>
      </c>
      <c r="V367" s="4"/>
      <c r="W367" s="761"/>
      <c r="X367" s="4" t="s">
        <v>2556</v>
      </c>
      <c r="Y367" s="761">
        <v>44797</v>
      </c>
      <c r="Z367" s="761" t="s">
        <v>62</v>
      </c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spans="2:39">
      <c r="B368" s="747">
        <v>9</v>
      </c>
      <c r="C368" s="748" t="s">
        <v>1792</v>
      </c>
      <c r="D368" s="781" t="s">
        <v>2616</v>
      </c>
      <c r="E368" s="780" t="s">
        <v>2617</v>
      </c>
      <c r="F368" s="749">
        <v>6</v>
      </c>
      <c r="G368" s="3" t="s">
        <v>128</v>
      </c>
      <c r="H368" s="3"/>
      <c r="I368" s="762">
        <v>465.5</v>
      </c>
      <c r="J368" s="783"/>
      <c r="K368" s="3" t="str">
        <f t="shared" si="3"/>
        <v>August</v>
      </c>
      <c r="L368" s="761">
        <v>44797</v>
      </c>
      <c r="M368" s="761"/>
      <c r="N368" s="761"/>
      <c r="O368" s="761" t="s">
        <v>62</v>
      </c>
      <c r="P368" s="3" t="s">
        <v>2618</v>
      </c>
      <c r="Q368" s="3"/>
      <c r="R368" s="3"/>
      <c r="S368" s="3" t="s">
        <v>2336</v>
      </c>
      <c r="T368" s="3"/>
      <c r="U368" s="762">
        <v>330.6</v>
      </c>
      <c r="V368" s="4"/>
      <c r="W368" s="761"/>
      <c r="X368" s="4" t="s">
        <v>2556</v>
      </c>
      <c r="Y368" s="761">
        <v>44797</v>
      </c>
      <c r="Z368" s="761" t="s">
        <v>62</v>
      </c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spans="2:39">
      <c r="B369" s="747">
        <v>9</v>
      </c>
      <c r="C369" s="748" t="s">
        <v>1792</v>
      </c>
      <c r="D369" s="781" t="s">
        <v>2619</v>
      </c>
      <c r="E369" s="780" t="s">
        <v>2620</v>
      </c>
      <c r="F369" s="749">
        <v>7</v>
      </c>
      <c r="G369" s="3" t="s">
        <v>128</v>
      </c>
      <c r="H369" s="3"/>
      <c r="I369" s="762">
        <v>21.571000000000002</v>
      </c>
      <c r="J369" s="783"/>
      <c r="K369" s="3" t="str">
        <f t="shared" si="3"/>
        <v>August</v>
      </c>
      <c r="L369" s="761">
        <v>44798</v>
      </c>
      <c r="M369" s="761"/>
      <c r="N369" s="761"/>
      <c r="O369" s="761" t="s">
        <v>62</v>
      </c>
      <c r="P369" s="3" t="s">
        <v>2621</v>
      </c>
      <c r="Q369" s="3"/>
      <c r="R369" s="3"/>
      <c r="S369" s="3" t="s">
        <v>2336</v>
      </c>
      <c r="T369" s="3"/>
      <c r="U369" s="3">
        <v>329.8</v>
      </c>
      <c r="V369" s="4"/>
      <c r="W369" s="761"/>
      <c r="X369" s="4" t="s">
        <v>2556</v>
      </c>
      <c r="Y369" s="761">
        <v>44798</v>
      </c>
      <c r="Z369" s="761" t="s">
        <v>62</v>
      </c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spans="2:39">
      <c r="B370" s="747">
        <v>9</v>
      </c>
      <c r="C370" s="748" t="s">
        <v>1792</v>
      </c>
      <c r="D370" s="781" t="s">
        <v>2622</v>
      </c>
      <c r="E370" s="780" t="s">
        <v>2623</v>
      </c>
      <c r="F370" s="749">
        <v>8</v>
      </c>
      <c r="G370" s="3" t="s">
        <v>128</v>
      </c>
      <c r="H370" s="3"/>
      <c r="I370" s="762">
        <v>22.05</v>
      </c>
      <c r="J370" s="783"/>
      <c r="K370" s="3" t="str">
        <f t="shared" si="3"/>
        <v>August</v>
      </c>
      <c r="L370" s="761">
        <v>44798</v>
      </c>
      <c r="M370" s="761"/>
      <c r="N370" s="761"/>
      <c r="O370" s="761" t="s">
        <v>62</v>
      </c>
      <c r="P370" s="3" t="s">
        <v>2624</v>
      </c>
      <c r="Q370" s="3"/>
      <c r="R370" s="3"/>
      <c r="S370" s="3" t="s">
        <v>2336</v>
      </c>
      <c r="T370" s="3"/>
      <c r="U370" s="3">
        <v>330.2</v>
      </c>
      <c r="V370" s="4"/>
      <c r="W370" s="761"/>
      <c r="X370" s="4" t="s">
        <v>2556</v>
      </c>
      <c r="Y370" s="761">
        <v>44798</v>
      </c>
      <c r="Z370" s="761" t="s">
        <v>62</v>
      </c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spans="2:39">
      <c r="B371" s="747">
        <v>9</v>
      </c>
      <c r="C371" s="748" t="s">
        <v>1792</v>
      </c>
      <c r="D371" s="781" t="s">
        <v>2625</v>
      </c>
      <c r="E371" s="780" t="s">
        <v>2626</v>
      </c>
      <c r="F371" s="749">
        <v>9</v>
      </c>
      <c r="G371" s="3" t="s">
        <v>128</v>
      </c>
      <c r="H371" s="3"/>
      <c r="I371" s="3">
        <v>464.9</v>
      </c>
      <c r="J371" s="783"/>
      <c r="K371" s="3" t="str">
        <f t="shared" si="3"/>
        <v>August</v>
      </c>
      <c r="L371" s="761">
        <v>44798</v>
      </c>
      <c r="M371" s="761"/>
      <c r="N371" s="761"/>
      <c r="O371" s="761" t="s">
        <v>62</v>
      </c>
      <c r="P371" s="3" t="s">
        <v>2627</v>
      </c>
      <c r="Q371" s="3"/>
      <c r="R371" s="3"/>
      <c r="S371" s="3" t="s">
        <v>2336</v>
      </c>
      <c r="T371" s="3"/>
      <c r="U371" s="3">
        <v>330.2</v>
      </c>
      <c r="V371" s="4"/>
      <c r="W371" s="761"/>
      <c r="X371" s="4" t="s">
        <v>2556</v>
      </c>
      <c r="Y371" s="761">
        <v>44798</v>
      </c>
      <c r="Z371" s="761" t="s">
        <v>62</v>
      </c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spans="2:39">
      <c r="B372" s="747">
        <v>9</v>
      </c>
      <c r="C372" s="748" t="s">
        <v>1792</v>
      </c>
      <c r="D372" s="781" t="s">
        <v>2628</v>
      </c>
      <c r="E372" s="780" t="s">
        <v>2629</v>
      </c>
      <c r="F372" s="749">
        <v>10</v>
      </c>
      <c r="G372" s="3" t="s">
        <v>128</v>
      </c>
      <c r="H372" s="3"/>
      <c r="I372" s="762">
        <v>469</v>
      </c>
      <c r="J372" s="783"/>
      <c r="K372" s="3" t="str">
        <f t="shared" si="3"/>
        <v>August</v>
      </c>
      <c r="L372" s="761">
        <v>44798</v>
      </c>
      <c r="M372" s="761"/>
      <c r="N372" s="761"/>
      <c r="O372" s="761" t="s">
        <v>62</v>
      </c>
      <c r="P372" s="3" t="s">
        <v>2630</v>
      </c>
      <c r="Q372" s="3"/>
      <c r="R372" s="3"/>
      <c r="S372" s="3" t="s">
        <v>2336</v>
      </c>
      <c r="T372" s="3"/>
      <c r="U372" s="3">
        <v>329.7</v>
      </c>
      <c r="V372" s="4"/>
      <c r="W372" s="761"/>
      <c r="X372" s="4" t="s">
        <v>2556</v>
      </c>
      <c r="Y372" s="761">
        <v>44798</v>
      </c>
      <c r="Z372" s="761" t="s">
        <v>62</v>
      </c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spans="2:39">
      <c r="B373" s="747">
        <v>9</v>
      </c>
      <c r="C373" s="748" t="s">
        <v>1792</v>
      </c>
      <c r="D373" s="781" t="s">
        <v>2631</v>
      </c>
      <c r="E373" s="780" t="s">
        <v>2632</v>
      </c>
      <c r="F373" s="749">
        <v>11</v>
      </c>
      <c r="G373" s="3" t="s">
        <v>128</v>
      </c>
      <c r="H373" s="3"/>
      <c r="I373" s="762">
        <v>460</v>
      </c>
      <c r="J373" s="783"/>
      <c r="K373" s="3" t="str">
        <f t="shared" si="3"/>
        <v>August</v>
      </c>
      <c r="L373" s="761">
        <v>44802</v>
      </c>
      <c r="M373" s="761"/>
      <c r="N373" s="761"/>
      <c r="O373" s="761" t="s">
        <v>62</v>
      </c>
      <c r="P373" s="3" t="s">
        <v>2633</v>
      </c>
      <c r="Q373" s="3"/>
      <c r="R373" s="3"/>
      <c r="S373" s="3" t="s">
        <v>2336</v>
      </c>
      <c r="T373" s="3"/>
      <c r="U373" s="786">
        <v>330.1</v>
      </c>
      <c r="V373" s="4"/>
      <c r="W373" s="761"/>
      <c r="X373" s="4" t="s">
        <v>2556</v>
      </c>
      <c r="Y373" s="761">
        <v>44802</v>
      </c>
      <c r="Z373" s="761" t="s">
        <v>62</v>
      </c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spans="2:39">
      <c r="B374" s="747">
        <v>9</v>
      </c>
      <c r="C374" s="748" t="s">
        <v>1792</v>
      </c>
      <c r="D374" s="781" t="s">
        <v>2634</v>
      </c>
      <c r="E374" s="780" t="s">
        <v>2635</v>
      </c>
      <c r="F374" s="749">
        <v>12</v>
      </c>
      <c r="G374" s="3" t="s">
        <v>128</v>
      </c>
      <c r="H374" s="3"/>
      <c r="I374" s="762">
        <v>461.8</v>
      </c>
      <c r="J374" s="783"/>
      <c r="K374" s="3" t="str">
        <f t="shared" si="3"/>
        <v>August</v>
      </c>
      <c r="L374" s="761">
        <v>44803</v>
      </c>
      <c r="M374" s="761"/>
      <c r="N374" s="761"/>
      <c r="O374" s="761" t="s">
        <v>62</v>
      </c>
      <c r="P374" s="3" t="s">
        <v>2636</v>
      </c>
      <c r="Q374" s="3"/>
      <c r="R374" s="3"/>
      <c r="S374" s="3" t="s">
        <v>2336</v>
      </c>
      <c r="T374" s="3"/>
      <c r="U374" s="786">
        <v>330.1</v>
      </c>
      <c r="V374" s="4"/>
      <c r="W374" s="761"/>
      <c r="X374" s="4" t="s">
        <v>2556</v>
      </c>
      <c r="Y374" s="761">
        <v>44802</v>
      </c>
      <c r="Z374" s="761" t="s">
        <v>62</v>
      </c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spans="2:39">
      <c r="B375" s="747">
        <v>9</v>
      </c>
      <c r="C375" s="748" t="s">
        <v>1792</v>
      </c>
      <c r="D375" s="781" t="s">
        <v>2637</v>
      </c>
      <c r="E375" s="780" t="s">
        <v>2638</v>
      </c>
      <c r="F375" s="749">
        <v>13</v>
      </c>
      <c r="G375" s="3" t="s">
        <v>128</v>
      </c>
      <c r="H375" s="3"/>
      <c r="I375" s="762">
        <v>466.1</v>
      </c>
      <c r="J375" s="783"/>
      <c r="K375" s="3" t="str">
        <f t="shared" si="3"/>
        <v>August</v>
      </c>
      <c r="L375" s="761">
        <v>44803</v>
      </c>
      <c r="M375" s="761"/>
      <c r="N375" s="761"/>
      <c r="O375" s="761" t="s">
        <v>62</v>
      </c>
      <c r="P375" s="3" t="s">
        <v>2639</v>
      </c>
      <c r="Q375" s="3"/>
      <c r="R375" s="3"/>
      <c r="S375" s="3" t="s">
        <v>2336</v>
      </c>
      <c r="T375" s="3"/>
      <c r="U375" s="762">
        <v>330.2</v>
      </c>
      <c r="V375" s="4"/>
      <c r="W375" s="761"/>
      <c r="X375" s="4" t="s">
        <v>2556</v>
      </c>
      <c r="Y375" s="761">
        <v>44802</v>
      </c>
      <c r="Z375" s="761" t="s">
        <v>62</v>
      </c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spans="2:39">
      <c r="B376" s="747">
        <v>9</v>
      </c>
      <c r="C376" s="748" t="s">
        <v>1792</v>
      </c>
      <c r="D376" s="781" t="s">
        <v>2640</v>
      </c>
      <c r="E376" s="780" t="s">
        <v>2641</v>
      </c>
      <c r="F376" s="749">
        <v>14</v>
      </c>
      <c r="G376" s="3" t="s">
        <v>128</v>
      </c>
      <c r="H376" s="3"/>
      <c r="I376" s="762">
        <v>460.6</v>
      </c>
      <c r="J376" s="783"/>
      <c r="K376" s="3" t="str">
        <f t="shared" si="3"/>
        <v>August</v>
      </c>
      <c r="L376" s="761">
        <v>44804</v>
      </c>
      <c r="M376" s="761"/>
      <c r="N376" s="761"/>
      <c r="O376" s="761" t="s">
        <v>62</v>
      </c>
      <c r="P376" s="3" t="s">
        <v>2642</v>
      </c>
      <c r="Q376" s="3"/>
      <c r="R376" s="3"/>
      <c r="S376" s="3" t="s">
        <v>2336</v>
      </c>
      <c r="T376" s="3"/>
      <c r="U376" s="762">
        <v>329.6</v>
      </c>
      <c r="V376" s="3"/>
      <c r="W376" s="761"/>
      <c r="X376" s="3"/>
      <c r="Y376" s="761">
        <v>44803</v>
      </c>
      <c r="Z376" s="761" t="s">
        <v>62</v>
      </c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spans="2:39">
      <c r="B377" s="747">
        <v>9</v>
      </c>
      <c r="C377" s="748" t="s">
        <v>1792</v>
      </c>
      <c r="D377" s="781" t="s">
        <v>2643</v>
      </c>
      <c r="E377" s="780" t="s">
        <v>2644</v>
      </c>
      <c r="F377" s="749">
        <v>15</v>
      </c>
      <c r="G377" s="3" t="s">
        <v>128</v>
      </c>
      <c r="H377" s="3"/>
      <c r="I377" s="762">
        <v>463.4</v>
      </c>
      <c r="J377" s="783"/>
      <c r="K377" s="3" t="str">
        <f t="shared" si="3"/>
        <v>August</v>
      </c>
      <c r="L377" s="761">
        <v>44804</v>
      </c>
      <c r="M377" s="761"/>
      <c r="N377" s="761"/>
      <c r="O377" s="761" t="s">
        <v>62</v>
      </c>
      <c r="P377" s="3" t="s">
        <v>2645</v>
      </c>
      <c r="Q377" s="3"/>
      <c r="R377" s="3"/>
      <c r="S377" s="3" t="s">
        <v>2336</v>
      </c>
      <c r="T377" s="3"/>
      <c r="U377" s="762">
        <v>330</v>
      </c>
      <c r="V377" s="3"/>
      <c r="W377" s="761"/>
      <c r="X377" s="3"/>
      <c r="Y377" s="761">
        <v>44803</v>
      </c>
      <c r="Z377" s="761" t="s">
        <v>62</v>
      </c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spans="2:39">
      <c r="B378" s="747">
        <v>9</v>
      </c>
      <c r="C378" s="748" t="s">
        <v>1792</v>
      </c>
      <c r="D378" s="781" t="s">
        <v>2646</v>
      </c>
      <c r="E378" s="780" t="s">
        <v>2647</v>
      </c>
      <c r="F378" s="749">
        <v>16</v>
      </c>
      <c r="G378" s="3" t="s">
        <v>128</v>
      </c>
      <c r="H378" s="3"/>
      <c r="I378" s="762">
        <v>463.8</v>
      </c>
      <c r="J378" s="783"/>
      <c r="K378" s="3" t="str">
        <f t="shared" si="3"/>
        <v>August</v>
      </c>
      <c r="L378" s="761">
        <v>44804</v>
      </c>
      <c r="M378" s="761"/>
      <c r="N378" s="761"/>
      <c r="O378" s="761" t="s">
        <v>62</v>
      </c>
      <c r="P378" s="3" t="s">
        <v>2648</v>
      </c>
      <c r="Q378" s="3"/>
      <c r="R378" s="3"/>
      <c r="S378" s="3" t="s">
        <v>2336</v>
      </c>
      <c r="T378" s="3"/>
      <c r="U378" s="762">
        <v>330.1</v>
      </c>
      <c r="V378" s="3"/>
      <c r="W378" s="761"/>
      <c r="X378" s="3"/>
      <c r="Y378" s="761">
        <v>44803</v>
      </c>
      <c r="Z378" s="761" t="s">
        <v>62</v>
      </c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spans="2:39">
      <c r="B379" s="747">
        <v>9</v>
      </c>
      <c r="C379" s="748" t="s">
        <v>1792</v>
      </c>
      <c r="D379" s="781" t="s">
        <v>2649</v>
      </c>
      <c r="E379" s="780" t="s">
        <v>2650</v>
      </c>
      <c r="F379" s="749">
        <v>17</v>
      </c>
      <c r="G379" s="3" t="s">
        <v>128</v>
      </c>
      <c r="H379" s="3"/>
      <c r="I379" s="762">
        <v>464.2</v>
      </c>
      <c r="J379" s="783"/>
      <c r="K379" s="3" t="str">
        <f t="shared" si="3"/>
        <v>August</v>
      </c>
      <c r="L379" s="761">
        <v>44804</v>
      </c>
      <c r="M379" s="761"/>
      <c r="N379" s="761"/>
      <c r="O379" s="761" t="s">
        <v>62</v>
      </c>
      <c r="P379" s="3" t="s">
        <v>2651</v>
      </c>
      <c r="Q379" s="3"/>
      <c r="R379" s="3"/>
      <c r="S379" s="3" t="s">
        <v>2336</v>
      </c>
      <c r="T379" s="3"/>
      <c r="U379" s="762">
        <v>330</v>
      </c>
      <c r="V379" s="3"/>
      <c r="W379" s="761"/>
      <c r="X379" s="3"/>
      <c r="Y379" s="761">
        <v>44803</v>
      </c>
      <c r="Z379" s="761" t="s">
        <v>62</v>
      </c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spans="2:39">
      <c r="B380" s="747">
        <v>9</v>
      </c>
      <c r="C380" s="748" t="s">
        <v>1792</v>
      </c>
      <c r="D380" s="781" t="s">
        <v>2652</v>
      </c>
      <c r="E380" s="780" t="s">
        <v>2653</v>
      </c>
      <c r="F380" s="749">
        <v>18</v>
      </c>
      <c r="G380" s="3" t="s">
        <v>128</v>
      </c>
      <c r="H380" s="3"/>
      <c r="I380" s="786">
        <v>459.2</v>
      </c>
      <c r="J380" s="783"/>
      <c r="K380" s="3" t="str">
        <f t="shared" si="3"/>
        <v>September</v>
      </c>
      <c r="L380" s="761">
        <v>44806</v>
      </c>
      <c r="M380" s="761"/>
      <c r="N380" s="761"/>
      <c r="O380" s="761" t="s">
        <v>62</v>
      </c>
      <c r="P380" s="3" t="s">
        <v>2654</v>
      </c>
      <c r="Q380" s="3"/>
      <c r="R380" s="3"/>
      <c r="S380" s="3" t="s">
        <v>2336</v>
      </c>
      <c r="T380" s="3"/>
      <c r="U380" s="785">
        <v>330.08</v>
      </c>
      <c r="V380" s="3"/>
      <c r="W380" s="761"/>
      <c r="X380" s="3"/>
      <c r="Y380" s="761">
        <v>44805</v>
      </c>
      <c r="Z380" s="761" t="s">
        <v>62</v>
      </c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spans="2:39">
      <c r="B381" s="747">
        <v>9</v>
      </c>
      <c r="C381" s="748" t="s">
        <v>1792</v>
      </c>
      <c r="D381" s="781" t="s">
        <v>2655</v>
      </c>
      <c r="E381" s="780" t="s">
        <v>2656</v>
      </c>
      <c r="F381" s="749">
        <v>19</v>
      </c>
      <c r="G381" s="3" t="s">
        <v>128</v>
      </c>
      <c r="H381" s="3"/>
      <c r="I381" s="786">
        <v>463.9</v>
      </c>
      <c r="J381" s="783"/>
      <c r="K381" s="3" t="str">
        <f t="shared" si="3"/>
        <v>September</v>
      </c>
      <c r="L381" s="761">
        <v>44806</v>
      </c>
      <c r="M381" s="761"/>
      <c r="N381" s="761"/>
      <c r="O381" s="761" t="s">
        <v>62</v>
      </c>
      <c r="P381" s="3" t="s">
        <v>2657</v>
      </c>
      <c r="Q381" s="3"/>
      <c r="R381" s="3"/>
      <c r="S381" s="3" t="s">
        <v>2336</v>
      </c>
      <c r="T381" s="3"/>
      <c r="U381" s="785">
        <v>330.05</v>
      </c>
      <c r="V381" s="3"/>
      <c r="W381" s="761"/>
      <c r="X381" s="3"/>
      <c r="Y381" s="761">
        <v>44805</v>
      </c>
      <c r="Z381" s="761" t="s">
        <v>62</v>
      </c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spans="2:39" s="705" customFormat="1" ht="18" customHeight="1">
      <c r="B382" s="731"/>
      <c r="C382" s="736" t="s">
        <v>1899</v>
      </c>
      <c r="D382" s="737"/>
      <c r="E382" s="738"/>
      <c r="F382" s="739"/>
      <c r="G382" s="740"/>
      <c r="H382" s="740"/>
      <c r="I382" s="740"/>
      <c r="J382" s="756"/>
      <c r="K382" s="756"/>
      <c r="L382" s="740"/>
      <c r="M382" s="740"/>
      <c r="N382" s="740"/>
      <c r="O382" s="757"/>
      <c r="P382" s="758"/>
      <c r="Q382" s="740"/>
      <c r="R382" s="740"/>
      <c r="S382" s="740"/>
      <c r="T382" s="740"/>
      <c r="U382" s="740"/>
      <c r="V382" s="740"/>
      <c r="W382" s="740"/>
      <c r="X382" s="740"/>
      <c r="Y382" s="740"/>
      <c r="Z382" s="757"/>
      <c r="AA382" s="771"/>
      <c r="AB382" s="771"/>
      <c r="AC382" s="771"/>
      <c r="AD382" s="771"/>
      <c r="AE382" s="771"/>
      <c r="AF382" s="771"/>
      <c r="AG382" s="775"/>
      <c r="AH382" s="771"/>
      <c r="AI382" s="771"/>
      <c r="AJ382" s="771"/>
      <c r="AK382" s="771"/>
      <c r="AL382" s="771"/>
      <c r="AM382" s="776"/>
    </row>
    <row r="383" spans="2:39">
      <c r="B383" s="747">
        <v>10</v>
      </c>
      <c r="C383" s="748" t="s">
        <v>1792</v>
      </c>
      <c r="D383" s="781" t="s">
        <v>2658</v>
      </c>
      <c r="E383" s="780" t="s">
        <v>2659</v>
      </c>
      <c r="F383" s="749">
        <v>1</v>
      </c>
      <c r="G383" s="3" t="s">
        <v>128</v>
      </c>
      <c r="H383" s="3"/>
      <c r="I383" s="762">
        <v>464.5</v>
      </c>
      <c r="J383" s="783"/>
      <c r="K383" s="3" t="str">
        <f>TEXT(L383,"mmmm")</f>
        <v>September</v>
      </c>
      <c r="L383" s="761">
        <v>44823</v>
      </c>
      <c r="M383" s="761"/>
      <c r="N383" s="761"/>
      <c r="O383" s="761" t="s">
        <v>62</v>
      </c>
      <c r="P383" s="3" t="s">
        <v>2660</v>
      </c>
      <c r="Q383" s="3"/>
      <c r="R383" s="3"/>
      <c r="S383" s="3" t="s">
        <v>2336</v>
      </c>
      <c r="T383" s="3"/>
      <c r="U383" s="785">
        <v>330.2</v>
      </c>
      <c r="V383" s="3"/>
      <c r="W383" s="761"/>
      <c r="X383" s="3" t="s">
        <v>2661</v>
      </c>
      <c r="Y383" s="761">
        <v>44824</v>
      </c>
      <c r="Z383" s="761" t="s">
        <v>62</v>
      </c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spans="2:39">
      <c r="B384" s="747">
        <v>10</v>
      </c>
      <c r="C384" s="748" t="s">
        <v>1792</v>
      </c>
      <c r="D384" s="781" t="s">
        <v>2662</v>
      </c>
      <c r="E384" s="780" t="s">
        <v>2663</v>
      </c>
      <c r="F384" s="749">
        <v>2</v>
      </c>
      <c r="G384" s="3" t="s">
        <v>128</v>
      </c>
      <c r="H384" s="3"/>
      <c r="I384" s="786">
        <v>466.6</v>
      </c>
      <c r="J384" s="783"/>
      <c r="K384" s="3" t="str">
        <f t="shared" ref="K384:K400" si="4">TEXT(L384,"mmmm")</f>
        <v>September</v>
      </c>
      <c r="L384" s="761">
        <v>44824</v>
      </c>
      <c r="M384" s="761"/>
      <c r="N384" s="761"/>
      <c r="O384" s="761" t="s">
        <v>62</v>
      </c>
      <c r="P384" s="3" t="s">
        <v>2664</v>
      </c>
      <c r="Q384" s="3"/>
      <c r="R384" s="3"/>
      <c r="S384" s="3" t="s">
        <v>2336</v>
      </c>
      <c r="T384" s="3"/>
      <c r="U384" s="762">
        <v>330.2</v>
      </c>
      <c r="V384" s="3"/>
      <c r="W384" s="761"/>
      <c r="X384" s="3" t="s">
        <v>2661</v>
      </c>
      <c r="Y384" s="761">
        <v>44824</v>
      </c>
      <c r="Z384" s="761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spans="2:39">
      <c r="B385" s="747">
        <v>10</v>
      </c>
      <c r="C385" s="748" t="s">
        <v>1792</v>
      </c>
      <c r="D385" s="781" t="s">
        <v>2665</v>
      </c>
      <c r="E385" s="780" t="s">
        <v>2666</v>
      </c>
      <c r="F385" s="749">
        <v>3</v>
      </c>
      <c r="G385" s="3" t="s">
        <v>128</v>
      </c>
      <c r="H385" s="3"/>
      <c r="I385" s="786">
        <v>469.5</v>
      </c>
      <c r="J385" s="783"/>
      <c r="K385" s="3" t="str">
        <f t="shared" si="4"/>
        <v>September</v>
      </c>
      <c r="L385" s="761">
        <v>44824</v>
      </c>
      <c r="M385" s="761"/>
      <c r="N385" s="761"/>
      <c r="O385" s="761" t="s">
        <v>62</v>
      </c>
      <c r="P385" s="3" t="s">
        <v>2667</v>
      </c>
      <c r="Q385" s="3"/>
      <c r="R385" s="3"/>
      <c r="S385" s="3" t="s">
        <v>2336</v>
      </c>
      <c r="T385" s="3"/>
      <c r="U385" s="786">
        <v>329.9</v>
      </c>
      <c r="V385" s="3"/>
      <c r="W385" s="761"/>
      <c r="X385" s="3" t="s">
        <v>2661</v>
      </c>
      <c r="Y385" s="761">
        <v>44824</v>
      </c>
      <c r="Z385" s="761" t="s">
        <v>62</v>
      </c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spans="2:39">
      <c r="B386" s="747">
        <v>10</v>
      </c>
      <c r="C386" s="748" t="s">
        <v>1792</v>
      </c>
      <c r="D386" s="781" t="s">
        <v>2668</v>
      </c>
      <c r="E386" s="780" t="s">
        <v>2669</v>
      </c>
      <c r="F386" s="749">
        <v>4</v>
      </c>
      <c r="G386" s="3" t="s">
        <v>60</v>
      </c>
      <c r="H386" s="3"/>
      <c r="I386" s="786">
        <v>463.9</v>
      </c>
      <c r="J386" s="783"/>
      <c r="K386" s="3" t="str">
        <f t="shared" si="4"/>
        <v>September</v>
      </c>
      <c r="L386" s="761">
        <v>44825</v>
      </c>
      <c r="M386" s="761"/>
      <c r="N386" s="761"/>
      <c r="O386" s="761" t="s">
        <v>62</v>
      </c>
      <c r="P386" s="3" t="s">
        <v>2670</v>
      </c>
      <c r="Q386" s="3"/>
      <c r="R386" s="3"/>
      <c r="S386" s="3" t="s">
        <v>130</v>
      </c>
      <c r="T386" s="3"/>
      <c r="U386" s="786">
        <v>330.1</v>
      </c>
      <c r="V386" s="3"/>
      <c r="W386" s="761"/>
      <c r="X386" s="3" t="s">
        <v>2661</v>
      </c>
      <c r="Y386" s="761">
        <v>44826</v>
      </c>
      <c r="Z386" s="761" t="s">
        <v>62</v>
      </c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spans="2:39">
      <c r="B387" s="747">
        <v>10</v>
      </c>
      <c r="C387" s="748" t="s">
        <v>1792</v>
      </c>
      <c r="D387" s="781" t="s">
        <v>2671</v>
      </c>
      <c r="E387" s="780" t="s">
        <v>2672</v>
      </c>
      <c r="F387" s="749">
        <v>5</v>
      </c>
      <c r="G387" s="3" t="s">
        <v>128</v>
      </c>
      <c r="H387" s="3"/>
      <c r="I387" s="762">
        <v>465.92</v>
      </c>
      <c r="J387" s="783"/>
      <c r="K387" s="3" t="str">
        <f t="shared" si="4"/>
        <v>September</v>
      </c>
      <c r="L387" s="761">
        <v>44832</v>
      </c>
      <c r="M387" s="761"/>
      <c r="N387" s="761"/>
      <c r="O387" s="761" t="s">
        <v>62</v>
      </c>
      <c r="P387" s="3" t="s">
        <v>2673</v>
      </c>
      <c r="Q387" s="3"/>
      <c r="R387" s="3"/>
      <c r="S387" s="3" t="s">
        <v>130</v>
      </c>
      <c r="T387" s="3"/>
      <c r="U387" s="786">
        <v>330.4</v>
      </c>
      <c r="V387" s="3"/>
      <c r="W387" s="761"/>
      <c r="X387" s="3" t="s">
        <v>2661</v>
      </c>
      <c r="Y387" s="761">
        <v>44832</v>
      </c>
      <c r="Z387" s="761" t="s">
        <v>62</v>
      </c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spans="2:39">
      <c r="B388" s="747">
        <v>10</v>
      </c>
      <c r="C388" s="748" t="s">
        <v>1792</v>
      </c>
      <c r="D388" s="781" t="s">
        <v>2674</v>
      </c>
      <c r="E388" s="780" t="s">
        <v>2675</v>
      </c>
      <c r="F388" s="749">
        <v>6</v>
      </c>
      <c r="G388" s="786" t="s">
        <v>2236</v>
      </c>
      <c r="H388" s="3"/>
      <c r="I388" s="786">
        <v>465.68</v>
      </c>
      <c r="J388" s="783"/>
      <c r="K388" s="3" t="str">
        <f t="shared" si="4"/>
        <v>September</v>
      </c>
      <c r="L388" s="761">
        <v>44833</v>
      </c>
      <c r="M388" s="761"/>
      <c r="N388" s="761"/>
      <c r="O388" s="761" t="s">
        <v>62</v>
      </c>
      <c r="P388" s="3" t="s">
        <v>2676</v>
      </c>
      <c r="Q388" s="3"/>
      <c r="R388" s="3"/>
      <c r="S388" s="3" t="s">
        <v>130</v>
      </c>
      <c r="T388" s="3"/>
      <c r="U388" s="786">
        <v>330.4</v>
      </c>
      <c r="V388" s="3"/>
      <c r="W388" s="761"/>
      <c r="X388" s="3" t="s">
        <v>2661</v>
      </c>
      <c r="Y388" s="761">
        <v>44832</v>
      </c>
      <c r="Z388" s="761" t="s">
        <v>62</v>
      </c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spans="2:39">
      <c r="B389" s="747">
        <v>10</v>
      </c>
      <c r="C389" s="748" t="s">
        <v>1792</v>
      </c>
      <c r="D389" s="781" t="s">
        <v>2677</v>
      </c>
      <c r="E389" s="780" t="s">
        <v>2678</v>
      </c>
      <c r="F389" s="749">
        <v>7</v>
      </c>
      <c r="G389" s="786" t="s">
        <v>128</v>
      </c>
      <c r="H389" s="3"/>
      <c r="I389" s="786">
        <v>468</v>
      </c>
      <c r="J389" s="783"/>
      <c r="K389" s="3" t="str">
        <f t="shared" si="4"/>
        <v>September</v>
      </c>
      <c r="L389" s="761">
        <v>44833</v>
      </c>
      <c r="M389" s="761"/>
      <c r="N389" s="761"/>
      <c r="O389" s="761" t="s">
        <v>62</v>
      </c>
      <c r="P389" s="3" t="s">
        <v>2679</v>
      </c>
      <c r="Q389" s="3"/>
      <c r="R389" s="3"/>
      <c r="S389" s="3" t="s">
        <v>130</v>
      </c>
      <c r="T389" s="3"/>
      <c r="U389" s="786">
        <v>330.2</v>
      </c>
      <c r="V389" s="3"/>
      <c r="W389" s="761"/>
      <c r="X389" s="3" t="s">
        <v>2661</v>
      </c>
      <c r="Y389" s="761">
        <v>44833</v>
      </c>
      <c r="Z389" s="761" t="s">
        <v>62</v>
      </c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spans="2:39">
      <c r="B390" s="747">
        <v>10</v>
      </c>
      <c r="C390" s="748" t="s">
        <v>1792</v>
      </c>
      <c r="D390" s="781" t="s">
        <v>2680</v>
      </c>
      <c r="E390" s="780" t="s">
        <v>2681</v>
      </c>
      <c r="F390" s="749">
        <v>8</v>
      </c>
      <c r="G390" s="3" t="s">
        <v>128</v>
      </c>
      <c r="H390" s="3"/>
      <c r="I390" s="786">
        <v>462.9</v>
      </c>
      <c r="J390" s="783"/>
      <c r="K390" s="3" t="str">
        <f t="shared" si="4"/>
        <v>September</v>
      </c>
      <c r="L390" s="761">
        <v>44834</v>
      </c>
      <c r="M390" s="761"/>
      <c r="N390" s="761"/>
      <c r="O390" s="761" t="s">
        <v>62</v>
      </c>
      <c r="P390" s="3" t="s">
        <v>2682</v>
      </c>
      <c r="Q390" s="3"/>
      <c r="R390" s="3"/>
      <c r="S390" s="3" t="s">
        <v>130</v>
      </c>
      <c r="T390" s="3"/>
      <c r="U390" s="786">
        <v>330.2</v>
      </c>
      <c r="V390" s="3"/>
      <c r="W390" s="761"/>
      <c r="X390" s="3" t="s">
        <v>2661</v>
      </c>
      <c r="Y390" s="761">
        <v>44833</v>
      </c>
      <c r="Z390" s="761" t="s">
        <v>62</v>
      </c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spans="2:39">
      <c r="B391" s="747">
        <v>10</v>
      </c>
      <c r="C391" s="748" t="s">
        <v>1792</v>
      </c>
      <c r="D391" s="781" t="s">
        <v>2683</v>
      </c>
      <c r="E391" s="780" t="s">
        <v>2684</v>
      </c>
      <c r="F391" s="749">
        <v>9</v>
      </c>
      <c r="G391" s="3" t="s">
        <v>128</v>
      </c>
      <c r="H391" s="3"/>
      <c r="I391" s="786">
        <v>467.37</v>
      </c>
      <c r="J391" s="783"/>
      <c r="K391" s="3" t="str">
        <f t="shared" si="4"/>
        <v>September</v>
      </c>
      <c r="L391" s="761">
        <v>44834</v>
      </c>
      <c r="M391" s="761"/>
      <c r="N391" s="761"/>
      <c r="O391" s="761" t="s">
        <v>62</v>
      </c>
      <c r="P391" s="3" t="s">
        <v>2685</v>
      </c>
      <c r="Q391" s="3"/>
      <c r="R391" s="3"/>
      <c r="S391" s="3" t="s">
        <v>130</v>
      </c>
      <c r="T391" s="3"/>
      <c r="U391" s="786">
        <v>330.3</v>
      </c>
      <c r="V391" s="3"/>
      <c r="W391" s="761"/>
      <c r="X391" s="3" t="s">
        <v>2661</v>
      </c>
      <c r="Y391" s="761">
        <v>44834</v>
      </c>
      <c r="Z391" s="761" t="s">
        <v>62</v>
      </c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spans="2:39">
      <c r="B392" s="747">
        <v>10</v>
      </c>
      <c r="C392" s="748" t="s">
        <v>1792</v>
      </c>
      <c r="D392" s="781" t="s">
        <v>2686</v>
      </c>
      <c r="E392" s="780" t="s">
        <v>2687</v>
      </c>
      <c r="F392" s="749">
        <v>10</v>
      </c>
      <c r="G392" s="3" t="s">
        <v>128</v>
      </c>
      <c r="H392" s="3"/>
      <c r="I392" s="786">
        <v>462.59</v>
      </c>
      <c r="J392" s="783"/>
      <c r="K392" s="3" t="str">
        <f t="shared" si="4"/>
        <v>September</v>
      </c>
      <c r="L392" s="761">
        <v>44834</v>
      </c>
      <c r="M392" s="761"/>
      <c r="N392" s="761"/>
      <c r="O392" s="761" t="s">
        <v>62</v>
      </c>
      <c r="P392" s="3" t="s">
        <v>2688</v>
      </c>
      <c r="Q392" s="3"/>
      <c r="R392" s="3"/>
      <c r="S392" s="3" t="s">
        <v>130</v>
      </c>
      <c r="T392" s="3"/>
      <c r="U392" s="786">
        <v>330.2</v>
      </c>
      <c r="V392" s="3"/>
      <c r="W392" s="761"/>
      <c r="X392" s="3" t="s">
        <v>2661</v>
      </c>
      <c r="Y392" s="761">
        <v>44834</v>
      </c>
      <c r="Z392" s="761" t="s">
        <v>62</v>
      </c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spans="2:39">
      <c r="B393" s="747">
        <v>10</v>
      </c>
      <c r="C393" s="748" t="s">
        <v>1792</v>
      </c>
      <c r="D393" s="781" t="s">
        <v>2689</v>
      </c>
      <c r="E393" s="780" t="s">
        <v>2690</v>
      </c>
      <c r="F393" s="749">
        <v>11</v>
      </c>
      <c r="G393" s="3" t="s">
        <v>128</v>
      </c>
      <c r="H393" s="3"/>
      <c r="I393" s="786">
        <v>469.54</v>
      </c>
      <c r="J393" s="783"/>
      <c r="K393" s="3" t="str">
        <f t="shared" si="4"/>
        <v>September</v>
      </c>
      <c r="L393" s="761">
        <v>44834</v>
      </c>
      <c r="M393" s="761"/>
      <c r="N393" s="761"/>
      <c r="O393" s="761" t="s">
        <v>62</v>
      </c>
      <c r="P393" s="3" t="s">
        <v>2691</v>
      </c>
      <c r="Q393" s="3"/>
      <c r="R393" s="3"/>
      <c r="S393" s="3" t="s">
        <v>130</v>
      </c>
      <c r="T393" s="3"/>
      <c r="U393" s="786">
        <v>330.4</v>
      </c>
      <c r="V393" s="3"/>
      <c r="W393" s="761"/>
      <c r="X393" s="3" t="s">
        <v>2661</v>
      </c>
      <c r="Y393" s="761">
        <v>44834</v>
      </c>
      <c r="Z393" s="761" t="s">
        <v>62</v>
      </c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spans="2:39">
      <c r="B394" s="747">
        <v>10</v>
      </c>
      <c r="C394" s="748" t="s">
        <v>1792</v>
      </c>
      <c r="D394" s="781" t="s">
        <v>2692</v>
      </c>
      <c r="E394" s="780" t="s">
        <v>2693</v>
      </c>
      <c r="F394" s="749">
        <v>12</v>
      </c>
      <c r="G394" s="3" t="s">
        <v>128</v>
      </c>
      <c r="H394" s="3"/>
      <c r="I394" s="785">
        <v>466.8</v>
      </c>
      <c r="J394" s="783"/>
      <c r="K394" s="3" t="str">
        <f t="shared" si="4"/>
        <v>October</v>
      </c>
      <c r="L394" s="761">
        <v>44837</v>
      </c>
      <c r="M394" s="761"/>
      <c r="N394" s="761"/>
      <c r="O394" s="761" t="s">
        <v>62</v>
      </c>
      <c r="P394" s="3" t="s">
        <v>2694</v>
      </c>
      <c r="Q394" s="3"/>
      <c r="R394" s="3"/>
      <c r="S394" s="3" t="s">
        <v>130</v>
      </c>
      <c r="T394" s="3"/>
      <c r="U394" s="786">
        <v>330.1</v>
      </c>
      <c r="V394" s="3"/>
      <c r="W394" s="761"/>
      <c r="X394" s="3" t="s">
        <v>2661</v>
      </c>
      <c r="Y394" s="761">
        <v>44834</v>
      </c>
      <c r="Z394" s="761" t="s">
        <v>62</v>
      </c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spans="2:39">
      <c r="B395" s="747">
        <v>10</v>
      </c>
      <c r="C395" s="748" t="s">
        <v>1792</v>
      </c>
      <c r="D395" s="781" t="s">
        <v>2695</v>
      </c>
      <c r="E395" s="780" t="s">
        <v>2696</v>
      </c>
      <c r="F395" s="749">
        <v>13</v>
      </c>
      <c r="G395" s="3" t="s">
        <v>128</v>
      </c>
      <c r="H395" s="3"/>
      <c r="I395" s="785">
        <v>467.1</v>
      </c>
      <c r="J395" s="783"/>
      <c r="K395" s="3" t="str">
        <f t="shared" si="4"/>
        <v>October</v>
      </c>
      <c r="L395" s="761">
        <v>44837</v>
      </c>
      <c r="M395" s="761"/>
      <c r="N395" s="761"/>
      <c r="O395" s="761" t="s">
        <v>62</v>
      </c>
      <c r="P395" s="3" t="s">
        <v>2697</v>
      </c>
      <c r="Q395" s="3"/>
      <c r="R395" s="3"/>
      <c r="S395" s="3" t="s">
        <v>130</v>
      </c>
      <c r="T395" s="3"/>
      <c r="U395" s="785">
        <v>330.1</v>
      </c>
      <c r="V395" s="3"/>
      <c r="W395" s="761"/>
      <c r="X395" s="3" t="s">
        <v>2698</v>
      </c>
      <c r="Y395" s="761">
        <v>44837</v>
      </c>
      <c r="Z395" s="761" t="s">
        <v>62</v>
      </c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spans="2:39">
      <c r="B396" s="747">
        <v>10</v>
      </c>
      <c r="C396" s="748" t="s">
        <v>1792</v>
      </c>
      <c r="D396" s="781" t="s">
        <v>2699</v>
      </c>
      <c r="E396" s="780" t="s">
        <v>2700</v>
      </c>
      <c r="F396" s="749">
        <v>14</v>
      </c>
      <c r="G396" s="3" t="s">
        <v>128</v>
      </c>
      <c r="H396" s="3"/>
      <c r="I396" s="785">
        <v>466.08</v>
      </c>
      <c r="J396" s="783"/>
      <c r="K396" s="3" t="str">
        <f t="shared" si="4"/>
        <v>October</v>
      </c>
      <c r="L396" s="761">
        <v>44837</v>
      </c>
      <c r="M396" s="761"/>
      <c r="N396" s="761"/>
      <c r="O396" s="761" t="s">
        <v>62</v>
      </c>
      <c r="P396" s="3" t="s">
        <v>2701</v>
      </c>
      <c r="Q396" s="3"/>
      <c r="R396" s="3"/>
      <c r="S396" s="3" t="s">
        <v>130</v>
      </c>
      <c r="T396" s="3"/>
      <c r="U396" s="785">
        <v>330.2</v>
      </c>
      <c r="V396" s="3"/>
      <c r="W396" s="761"/>
      <c r="X396" s="3" t="s">
        <v>2698</v>
      </c>
      <c r="Y396" s="761">
        <v>44837</v>
      </c>
      <c r="Z396" s="761" t="s">
        <v>62</v>
      </c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spans="2:39">
      <c r="B397" s="747">
        <v>10</v>
      </c>
      <c r="C397" s="748" t="s">
        <v>1792</v>
      </c>
      <c r="D397" s="781" t="s">
        <v>2702</v>
      </c>
      <c r="E397" s="780" t="s">
        <v>2703</v>
      </c>
      <c r="F397" s="749">
        <v>15</v>
      </c>
      <c r="G397" s="3" t="s">
        <v>128</v>
      </c>
      <c r="H397" s="3"/>
      <c r="I397" s="785">
        <v>470.48</v>
      </c>
      <c r="J397" s="783"/>
      <c r="K397" s="3" t="str">
        <f t="shared" si="4"/>
        <v>October</v>
      </c>
      <c r="L397" s="761">
        <v>44837</v>
      </c>
      <c r="M397" s="761"/>
      <c r="N397" s="761"/>
      <c r="O397" s="761" t="s">
        <v>62</v>
      </c>
      <c r="P397" s="3" t="s">
        <v>2704</v>
      </c>
      <c r="Q397" s="3"/>
      <c r="R397" s="3"/>
      <c r="S397" s="3" t="s">
        <v>130</v>
      </c>
      <c r="T397" s="3"/>
      <c r="U397" s="3">
        <v>330.4</v>
      </c>
      <c r="V397" s="3"/>
      <c r="W397" s="761"/>
      <c r="X397" s="3" t="s">
        <v>2698</v>
      </c>
      <c r="Y397" s="761">
        <v>44837</v>
      </c>
      <c r="Z397" s="761" t="s">
        <v>62</v>
      </c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spans="2:39">
      <c r="B398" s="747">
        <v>10</v>
      </c>
      <c r="C398" s="748" t="s">
        <v>1792</v>
      </c>
      <c r="D398" s="781" t="s">
        <v>2705</v>
      </c>
      <c r="E398" s="780" t="s">
        <v>2706</v>
      </c>
      <c r="F398" s="749">
        <v>16</v>
      </c>
      <c r="G398" s="3" t="s">
        <v>128</v>
      </c>
      <c r="H398" s="3"/>
      <c r="I398" s="785">
        <v>467.2</v>
      </c>
      <c r="J398" s="783"/>
      <c r="K398" s="3" t="str">
        <f t="shared" si="4"/>
        <v>October</v>
      </c>
      <c r="L398" s="761">
        <v>44838</v>
      </c>
      <c r="M398" s="761"/>
      <c r="N398" s="761"/>
      <c r="O398" s="761" t="s">
        <v>62</v>
      </c>
      <c r="P398" s="3" t="s">
        <v>2707</v>
      </c>
      <c r="Q398" s="3"/>
      <c r="R398" s="3"/>
      <c r="S398" s="3" t="s">
        <v>130</v>
      </c>
      <c r="T398" s="3"/>
      <c r="U398" s="785">
        <v>330.3</v>
      </c>
      <c r="V398" s="3"/>
      <c r="W398" s="761"/>
      <c r="X398" s="3" t="s">
        <v>2698</v>
      </c>
      <c r="Y398" s="761">
        <v>44838</v>
      </c>
      <c r="Z398" s="761" t="s">
        <v>62</v>
      </c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spans="2:39">
      <c r="B399" s="747">
        <v>10</v>
      </c>
      <c r="C399" s="748" t="s">
        <v>1792</v>
      </c>
      <c r="D399" s="781" t="s">
        <v>2708</v>
      </c>
      <c r="E399" s="780" t="s">
        <v>2709</v>
      </c>
      <c r="F399" s="749">
        <v>17</v>
      </c>
      <c r="G399" s="3" t="s">
        <v>128</v>
      </c>
      <c r="H399" s="3"/>
      <c r="I399" s="785">
        <v>467.08</v>
      </c>
      <c r="J399" s="783"/>
      <c r="K399" s="3" t="str">
        <f t="shared" si="4"/>
        <v>October</v>
      </c>
      <c r="L399" s="761">
        <v>44838</v>
      </c>
      <c r="M399" s="761"/>
      <c r="N399" s="761"/>
      <c r="O399" s="761" t="s">
        <v>62</v>
      </c>
      <c r="P399" s="3" t="s">
        <v>2710</v>
      </c>
      <c r="Q399" s="3"/>
      <c r="R399" s="3"/>
      <c r="S399" s="3" t="s">
        <v>130</v>
      </c>
      <c r="T399" s="3"/>
      <c r="U399" s="785">
        <v>330.1</v>
      </c>
      <c r="V399" s="3"/>
      <c r="W399" s="761"/>
      <c r="X399" s="3" t="s">
        <v>2698</v>
      </c>
      <c r="Y399" s="761">
        <v>44838</v>
      </c>
      <c r="Z399" s="761" t="s">
        <v>62</v>
      </c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spans="2:39">
      <c r="B400" s="747">
        <v>10</v>
      </c>
      <c r="C400" s="748" t="s">
        <v>1792</v>
      </c>
      <c r="D400" s="781" t="s">
        <v>2711</v>
      </c>
      <c r="E400" s="780" t="s">
        <v>2712</v>
      </c>
      <c r="F400" s="749">
        <v>18</v>
      </c>
      <c r="G400" s="3" t="s">
        <v>128</v>
      </c>
      <c r="H400" s="3"/>
      <c r="I400" s="785">
        <v>462.48</v>
      </c>
      <c r="J400" s="783"/>
      <c r="K400" s="3" t="str">
        <f t="shared" si="4"/>
        <v>October</v>
      </c>
      <c r="L400" s="761">
        <v>44840</v>
      </c>
      <c r="M400" s="761"/>
      <c r="N400" s="761"/>
      <c r="O400" s="761" t="s">
        <v>62</v>
      </c>
      <c r="P400" s="3" t="s">
        <v>2713</v>
      </c>
      <c r="Q400" s="3"/>
      <c r="R400" s="3"/>
      <c r="S400" s="3" t="s">
        <v>130</v>
      </c>
      <c r="T400" s="3"/>
      <c r="U400" s="785">
        <v>330.2</v>
      </c>
      <c r="V400" s="3"/>
      <c r="W400" s="761"/>
      <c r="X400" s="3" t="s">
        <v>2698</v>
      </c>
      <c r="Y400" s="761">
        <v>44838</v>
      </c>
      <c r="Z400" s="761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spans="2:39" s="705" customFormat="1" ht="18" customHeight="1">
      <c r="B401" s="731"/>
      <c r="C401" s="736" t="s">
        <v>1756</v>
      </c>
      <c r="D401" s="737"/>
      <c r="E401" s="738"/>
      <c r="F401" s="739"/>
      <c r="G401" s="740"/>
      <c r="H401" s="740"/>
      <c r="I401" s="740"/>
      <c r="J401" s="756"/>
      <c r="K401" s="756"/>
      <c r="L401" s="740"/>
      <c r="M401" s="740"/>
      <c r="N401" s="740"/>
      <c r="O401" s="757"/>
      <c r="P401" s="758"/>
      <c r="Q401" s="740"/>
      <c r="R401" s="740"/>
      <c r="S401" s="740"/>
      <c r="T401" s="740"/>
      <c r="U401" s="740"/>
      <c r="V401" s="740"/>
      <c r="W401" s="740"/>
      <c r="X401" s="740"/>
      <c r="Y401" s="740"/>
      <c r="Z401" s="757"/>
      <c r="AA401" s="771"/>
      <c r="AB401" s="771"/>
      <c r="AC401" s="771"/>
      <c r="AD401" s="771"/>
      <c r="AE401" s="771"/>
      <c r="AF401" s="771"/>
      <c r="AG401" s="775"/>
      <c r="AH401" s="771"/>
      <c r="AI401" s="771"/>
      <c r="AJ401" s="771"/>
      <c r="AK401" s="771"/>
      <c r="AL401" s="771"/>
      <c r="AM401" s="776"/>
    </row>
    <row r="402" spans="2:39">
      <c r="B402" s="747">
        <v>11</v>
      </c>
      <c r="C402" s="748" t="s">
        <v>1792</v>
      </c>
      <c r="D402" s="787" t="s">
        <v>2714</v>
      </c>
      <c r="E402" s="12" t="s">
        <v>2715</v>
      </c>
      <c r="F402" s="749">
        <v>1</v>
      </c>
      <c r="G402" s="3" t="s">
        <v>128</v>
      </c>
      <c r="H402" s="3"/>
      <c r="I402" s="786">
        <v>462.5</v>
      </c>
      <c r="J402" s="786"/>
      <c r="K402" s="3" t="s">
        <v>2716</v>
      </c>
      <c r="L402" s="761">
        <v>44852</v>
      </c>
      <c r="M402" s="761"/>
      <c r="N402" s="761"/>
      <c r="O402" s="761" t="s">
        <v>62</v>
      </c>
      <c r="P402" s="3" t="s">
        <v>2717</v>
      </c>
      <c r="Q402" s="3"/>
      <c r="R402" s="3"/>
      <c r="S402" s="3" t="s">
        <v>130</v>
      </c>
      <c r="T402" s="3"/>
      <c r="U402" s="786">
        <v>330.3</v>
      </c>
      <c r="V402" s="3"/>
      <c r="W402" s="761"/>
      <c r="X402" s="3" t="s">
        <v>2698</v>
      </c>
      <c r="Y402" s="761">
        <v>44852</v>
      </c>
      <c r="Z402" s="761" t="s">
        <v>62</v>
      </c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spans="2:39">
      <c r="B403" s="747">
        <v>11</v>
      </c>
      <c r="C403" s="748" t="s">
        <v>1792</v>
      </c>
      <c r="D403" s="787" t="s">
        <v>2718</v>
      </c>
      <c r="E403" s="12" t="s">
        <v>2719</v>
      </c>
      <c r="F403" s="749">
        <v>2</v>
      </c>
      <c r="G403" s="3" t="s">
        <v>128</v>
      </c>
      <c r="H403" s="3"/>
      <c r="I403" s="786">
        <v>463.4</v>
      </c>
      <c r="J403" s="786"/>
      <c r="K403" s="3" t="s">
        <v>2716</v>
      </c>
      <c r="L403" s="761">
        <v>44852</v>
      </c>
      <c r="M403" s="761"/>
      <c r="N403" s="761"/>
      <c r="O403" s="761" t="s">
        <v>62</v>
      </c>
      <c r="P403" s="3" t="s">
        <v>2720</v>
      </c>
      <c r="Q403" s="3"/>
      <c r="R403" s="3"/>
      <c r="S403" s="3" t="s">
        <v>130</v>
      </c>
      <c r="T403" s="3"/>
      <c r="U403" s="786">
        <v>330.4</v>
      </c>
      <c r="V403" s="3"/>
      <c r="W403" s="761"/>
      <c r="X403" s="3" t="s">
        <v>2698</v>
      </c>
      <c r="Y403" s="761">
        <v>44852</v>
      </c>
      <c r="Z403" s="761" t="s">
        <v>62</v>
      </c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spans="2:39">
      <c r="B404" s="747">
        <v>11</v>
      </c>
      <c r="C404" s="748" t="s">
        <v>1792</v>
      </c>
      <c r="D404" s="787" t="s">
        <v>2721</v>
      </c>
      <c r="E404" s="12" t="s">
        <v>2722</v>
      </c>
      <c r="F404" s="749">
        <v>3</v>
      </c>
      <c r="G404" s="3" t="s">
        <v>128</v>
      </c>
      <c r="H404" s="3"/>
      <c r="I404" s="786">
        <v>461.6</v>
      </c>
      <c r="J404" s="786"/>
      <c r="K404" s="3" t="s">
        <v>2716</v>
      </c>
      <c r="L404" s="761">
        <v>44853</v>
      </c>
      <c r="M404" s="761"/>
      <c r="N404" s="761"/>
      <c r="O404" s="761" t="s">
        <v>62</v>
      </c>
      <c r="P404" s="3" t="s">
        <v>2723</v>
      </c>
      <c r="Q404" s="3"/>
      <c r="R404" s="3"/>
      <c r="S404" s="3" t="s">
        <v>130</v>
      </c>
      <c r="T404" s="3"/>
      <c r="U404" s="786">
        <v>330.3</v>
      </c>
      <c r="V404" s="3"/>
      <c r="W404" s="761"/>
      <c r="X404" s="3" t="s">
        <v>2698</v>
      </c>
      <c r="Y404" s="761">
        <v>44853</v>
      </c>
      <c r="Z404" s="761" t="s">
        <v>62</v>
      </c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spans="2:39">
      <c r="B405" s="747">
        <v>11</v>
      </c>
      <c r="C405" s="748" t="s">
        <v>1792</v>
      </c>
      <c r="D405" s="787" t="s">
        <v>2724</v>
      </c>
      <c r="E405" s="12" t="s">
        <v>2725</v>
      </c>
      <c r="F405" s="749">
        <v>4</v>
      </c>
      <c r="G405" s="3" t="s">
        <v>128</v>
      </c>
      <c r="H405" s="3"/>
      <c r="I405" s="786">
        <v>463.9</v>
      </c>
      <c r="J405" s="786"/>
      <c r="K405" s="3" t="s">
        <v>2716</v>
      </c>
      <c r="L405" s="761">
        <v>44853</v>
      </c>
      <c r="M405" s="761"/>
      <c r="N405" s="761"/>
      <c r="O405" s="761" t="s">
        <v>62</v>
      </c>
      <c r="P405" s="3" t="s">
        <v>2726</v>
      </c>
      <c r="Q405" s="3"/>
      <c r="R405" s="3"/>
      <c r="S405" s="3" t="s">
        <v>130</v>
      </c>
      <c r="T405" s="3"/>
      <c r="U405" s="786">
        <v>330</v>
      </c>
      <c r="V405" s="3"/>
      <c r="W405" s="761"/>
      <c r="X405" s="3" t="s">
        <v>2698</v>
      </c>
      <c r="Y405" s="761">
        <v>44853</v>
      </c>
      <c r="Z405" s="761" t="s">
        <v>62</v>
      </c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spans="2:39">
      <c r="B406" s="747">
        <v>11</v>
      </c>
      <c r="C406" s="748" t="s">
        <v>1792</v>
      </c>
      <c r="D406" s="787" t="s">
        <v>2727</v>
      </c>
      <c r="E406" s="12" t="s">
        <v>2728</v>
      </c>
      <c r="F406" s="749">
        <v>5</v>
      </c>
      <c r="G406" s="3" t="s">
        <v>128</v>
      </c>
      <c r="H406" s="3"/>
      <c r="I406" s="786">
        <v>468.4</v>
      </c>
      <c r="J406" s="786"/>
      <c r="K406" s="3" t="s">
        <v>2716</v>
      </c>
      <c r="L406" s="761">
        <v>44853</v>
      </c>
      <c r="M406" s="761"/>
      <c r="N406" s="761"/>
      <c r="O406" s="761" t="s">
        <v>62</v>
      </c>
      <c r="P406" s="3" t="s">
        <v>2729</v>
      </c>
      <c r="Q406" s="3"/>
      <c r="R406" s="3"/>
      <c r="S406" s="3" t="s">
        <v>130</v>
      </c>
      <c r="T406" s="3"/>
      <c r="U406" s="786">
        <v>330.1</v>
      </c>
      <c r="V406" s="3"/>
      <c r="W406" s="761"/>
      <c r="X406" s="3" t="s">
        <v>2698</v>
      </c>
      <c r="Y406" s="761">
        <v>44854</v>
      </c>
      <c r="Z406" s="761" t="s">
        <v>62</v>
      </c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spans="2:39">
      <c r="B407" s="747">
        <v>11</v>
      </c>
      <c r="C407" s="748" t="s">
        <v>1792</v>
      </c>
      <c r="D407" s="787" t="s">
        <v>2730</v>
      </c>
      <c r="E407" s="12" t="s">
        <v>2731</v>
      </c>
      <c r="F407" s="749">
        <v>6</v>
      </c>
      <c r="G407" s="3" t="s">
        <v>128</v>
      </c>
      <c r="H407" s="3"/>
      <c r="I407" s="786">
        <v>468.2</v>
      </c>
      <c r="J407" s="786"/>
      <c r="K407" s="3" t="s">
        <v>2716</v>
      </c>
      <c r="L407" s="761">
        <v>44853</v>
      </c>
      <c r="M407" s="761"/>
      <c r="N407" s="761"/>
      <c r="O407" s="761" t="s">
        <v>62</v>
      </c>
      <c r="P407" s="3" t="s">
        <v>2732</v>
      </c>
      <c r="Q407" s="3"/>
      <c r="R407" s="3"/>
      <c r="S407" s="3" t="s">
        <v>130</v>
      </c>
      <c r="T407" s="3"/>
      <c r="U407" s="786">
        <v>330.1</v>
      </c>
      <c r="V407" s="3"/>
      <c r="W407" s="761"/>
      <c r="X407" s="3" t="s">
        <v>2698</v>
      </c>
      <c r="Y407" s="761">
        <v>44858</v>
      </c>
      <c r="Z407" s="761" t="s">
        <v>62</v>
      </c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spans="2:39">
      <c r="B408" s="747">
        <v>11</v>
      </c>
      <c r="C408" s="748" t="s">
        <v>1792</v>
      </c>
      <c r="D408" s="787" t="s">
        <v>2733</v>
      </c>
      <c r="E408" s="12" t="s">
        <v>2734</v>
      </c>
      <c r="F408" s="749">
        <v>7</v>
      </c>
      <c r="G408" s="3" t="s">
        <v>128</v>
      </c>
      <c r="H408" s="3"/>
      <c r="I408" s="786">
        <v>460.7</v>
      </c>
      <c r="J408" s="786"/>
      <c r="K408" s="3" t="s">
        <v>2716</v>
      </c>
      <c r="L408" s="761">
        <v>44858</v>
      </c>
      <c r="M408" s="761"/>
      <c r="N408" s="761"/>
      <c r="O408" s="761" t="s">
        <v>62</v>
      </c>
      <c r="P408" s="3" t="s">
        <v>2735</v>
      </c>
      <c r="Q408" s="3"/>
      <c r="R408" s="3"/>
      <c r="S408" s="3" t="s">
        <v>130</v>
      </c>
      <c r="T408" s="3"/>
      <c r="U408" s="786">
        <v>330.4</v>
      </c>
      <c r="V408" s="3"/>
      <c r="W408" s="761"/>
      <c r="X408" s="3" t="s">
        <v>2698</v>
      </c>
      <c r="Y408" s="761">
        <v>44858</v>
      </c>
      <c r="Z408" s="761" t="s">
        <v>62</v>
      </c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spans="2:39">
      <c r="B409" s="747">
        <v>11</v>
      </c>
      <c r="C409" s="748" t="s">
        <v>1792</v>
      </c>
      <c r="D409" s="787" t="s">
        <v>2736</v>
      </c>
      <c r="E409" s="12" t="s">
        <v>2737</v>
      </c>
      <c r="F409" s="749">
        <v>8</v>
      </c>
      <c r="G409" s="3" t="s">
        <v>128</v>
      </c>
      <c r="H409" s="3"/>
      <c r="I409" s="786">
        <v>463.9</v>
      </c>
      <c r="J409" s="786"/>
      <c r="K409" s="3" t="s">
        <v>2716</v>
      </c>
      <c r="L409" s="761">
        <v>1024</v>
      </c>
      <c r="M409" s="761"/>
      <c r="N409" s="761"/>
      <c r="O409" s="761" t="s">
        <v>62</v>
      </c>
      <c r="P409" s="3" t="s">
        <v>2738</v>
      </c>
      <c r="Q409" s="3"/>
      <c r="R409" s="3"/>
      <c r="S409" s="3"/>
      <c r="T409" s="3"/>
      <c r="U409" s="785"/>
      <c r="V409" s="3"/>
      <c r="W409" s="761"/>
      <c r="X409" s="3" t="s">
        <v>2698</v>
      </c>
      <c r="Y409" s="761"/>
      <c r="Z409" s="761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spans="2:39" ht="16.05" customHeight="1">
      <c r="B410" s="747">
        <v>11</v>
      </c>
      <c r="C410" s="748" t="s">
        <v>1792</v>
      </c>
      <c r="D410" s="3">
        <v>200099871</v>
      </c>
      <c r="E410" s="3">
        <v>110532</v>
      </c>
      <c r="F410" s="749">
        <v>9</v>
      </c>
      <c r="G410" s="3" t="s">
        <v>128</v>
      </c>
      <c r="H410" s="3"/>
      <c r="I410" s="785">
        <v>465</v>
      </c>
      <c r="J410" s="783"/>
      <c r="K410" s="3" t="s">
        <v>2716</v>
      </c>
      <c r="L410" s="790">
        <v>44860</v>
      </c>
      <c r="M410" s="761"/>
      <c r="N410" s="761"/>
      <c r="O410" s="761" t="s">
        <v>62</v>
      </c>
      <c r="P410" s="3" t="s">
        <v>2739</v>
      </c>
      <c r="Q410" s="3"/>
      <c r="R410" s="3"/>
      <c r="S410" s="3" t="s">
        <v>130</v>
      </c>
      <c r="T410" s="3"/>
      <c r="U410" s="785">
        <v>330.4</v>
      </c>
      <c r="V410" s="3"/>
      <c r="W410" s="761"/>
      <c r="X410" s="3" t="s">
        <v>2740</v>
      </c>
      <c r="Y410" s="761">
        <v>44860</v>
      </c>
      <c r="Z410" s="761" t="s">
        <v>62</v>
      </c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spans="2:39" ht="16.05" customHeight="1">
      <c r="B411" s="747">
        <v>11</v>
      </c>
      <c r="C411" s="748" t="s">
        <v>1792</v>
      </c>
      <c r="D411" s="3">
        <v>200099801</v>
      </c>
      <c r="E411" s="3">
        <v>110762</v>
      </c>
      <c r="F411" s="749">
        <v>10</v>
      </c>
      <c r="G411" s="3" t="s">
        <v>128</v>
      </c>
      <c r="H411" s="3"/>
      <c r="I411" s="785">
        <v>466.2</v>
      </c>
      <c r="J411" s="783"/>
      <c r="K411" s="3" t="s">
        <v>2716</v>
      </c>
      <c r="L411" s="790">
        <v>44860</v>
      </c>
      <c r="M411" s="761"/>
      <c r="N411" s="761"/>
      <c r="O411" s="761" t="s">
        <v>62</v>
      </c>
      <c r="P411" s="3" t="s">
        <v>2741</v>
      </c>
      <c r="Q411" s="3"/>
      <c r="R411" s="3"/>
      <c r="S411" s="3" t="s">
        <v>130</v>
      </c>
      <c r="T411" s="3"/>
      <c r="U411" s="785">
        <v>330.3</v>
      </c>
      <c r="V411" s="3"/>
      <c r="W411" s="761"/>
      <c r="X411" s="3" t="s">
        <v>2740</v>
      </c>
      <c r="Y411" s="761">
        <v>44860</v>
      </c>
      <c r="Z411" s="761" t="s">
        <v>62</v>
      </c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spans="2:39" ht="16.05" customHeight="1">
      <c r="B412" s="747">
        <v>11</v>
      </c>
      <c r="C412" s="748" t="s">
        <v>1792</v>
      </c>
      <c r="D412" s="3">
        <v>200099802</v>
      </c>
      <c r="E412" s="3">
        <v>110772</v>
      </c>
      <c r="F412" s="749">
        <v>11</v>
      </c>
      <c r="G412" s="3" t="s">
        <v>128</v>
      </c>
      <c r="H412" s="788"/>
      <c r="I412" s="785">
        <v>464.5</v>
      </c>
      <c r="J412" s="788"/>
      <c r="K412" s="3" t="s">
        <v>2716</v>
      </c>
      <c r="L412" s="790">
        <v>44861</v>
      </c>
      <c r="M412" s="788"/>
      <c r="N412" s="788"/>
      <c r="O412" s="3" t="s">
        <v>62</v>
      </c>
      <c r="P412" s="3" t="s">
        <v>2742</v>
      </c>
      <c r="Q412" s="3"/>
      <c r="R412" s="3"/>
      <c r="S412" s="3" t="s">
        <v>130</v>
      </c>
      <c r="T412" s="3"/>
      <c r="U412" s="785">
        <v>330.4</v>
      </c>
      <c r="V412" s="3"/>
      <c r="W412" s="761"/>
      <c r="X412" s="3" t="s">
        <v>2740</v>
      </c>
      <c r="Y412" s="761">
        <v>44861</v>
      </c>
      <c r="Z412" s="761" t="s">
        <v>62</v>
      </c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spans="2:39" ht="16.05" customHeight="1">
      <c r="B413" s="747">
        <v>11</v>
      </c>
      <c r="C413" s="748" t="s">
        <v>1792</v>
      </c>
      <c r="D413" s="3">
        <v>200099803</v>
      </c>
      <c r="E413" s="3">
        <v>110782</v>
      </c>
      <c r="F413" s="749">
        <v>12</v>
      </c>
      <c r="G413" s="3" t="s">
        <v>128</v>
      </c>
      <c r="H413" s="788"/>
      <c r="I413" s="785">
        <v>465.7</v>
      </c>
      <c r="J413" s="788"/>
      <c r="K413" s="3" t="s">
        <v>2716</v>
      </c>
      <c r="L413" s="790">
        <v>44861</v>
      </c>
      <c r="M413" s="788"/>
      <c r="N413" s="788"/>
      <c r="O413" s="3" t="s">
        <v>62</v>
      </c>
      <c r="P413" s="3" t="s">
        <v>2743</v>
      </c>
      <c r="Q413" s="3"/>
      <c r="R413" s="3"/>
      <c r="S413" s="3" t="s">
        <v>130</v>
      </c>
      <c r="T413" s="3"/>
      <c r="U413" s="785">
        <v>330.4</v>
      </c>
      <c r="V413" s="3"/>
      <c r="W413" s="761"/>
      <c r="X413" s="3" t="s">
        <v>2740</v>
      </c>
      <c r="Y413" s="761">
        <v>44861</v>
      </c>
      <c r="Z413" s="761" t="s">
        <v>62</v>
      </c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spans="2:39" ht="16.05" customHeight="1">
      <c r="B414" s="747">
        <v>11</v>
      </c>
      <c r="C414" s="748" t="s">
        <v>1792</v>
      </c>
      <c r="D414" s="3">
        <v>200099804</v>
      </c>
      <c r="E414" s="3">
        <v>110792</v>
      </c>
      <c r="F414" s="749">
        <v>13</v>
      </c>
      <c r="G414" s="3" t="s">
        <v>128</v>
      </c>
      <c r="H414" s="788"/>
      <c r="I414" s="785">
        <v>466.2</v>
      </c>
      <c r="J414" s="788"/>
      <c r="K414" s="3" t="s">
        <v>2716</v>
      </c>
      <c r="L414" s="790">
        <v>44862</v>
      </c>
      <c r="M414" s="788"/>
      <c r="N414" s="788"/>
      <c r="O414" s="3" t="s">
        <v>62</v>
      </c>
      <c r="P414" s="3" t="s">
        <v>2744</v>
      </c>
      <c r="Q414" s="3"/>
      <c r="R414" s="3"/>
      <c r="S414" s="3" t="s">
        <v>130</v>
      </c>
      <c r="T414" s="3"/>
      <c r="U414" s="785">
        <v>330.3</v>
      </c>
      <c r="V414" s="3"/>
      <c r="W414" s="761"/>
      <c r="X414" s="3" t="s">
        <v>2740</v>
      </c>
      <c r="Y414" s="761">
        <v>44862</v>
      </c>
      <c r="Z414" s="761" t="s">
        <v>62</v>
      </c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spans="2:39">
      <c r="B415" s="747">
        <v>11</v>
      </c>
      <c r="C415" s="748" t="s">
        <v>1792</v>
      </c>
      <c r="D415" s="3">
        <v>200099805</v>
      </c>
      <c r="E415" s="3">
        <v>110802</v>
      </c>
      <c r="F415" s="749">
        <v>14</v>
      </c>
      <c r="G415" s="3" t="s">
        <v>128</v>
      </c>
      <c r="H415" s="3"/>
      <c r="I415" s="3">
        <v>466.5</v>
      </c>
      <c r="J415" s="783"/>
      <c r="K415" s="3" t="s">
        <v>2716</v>
      </c>
      <c r="L415" s="790">
        <v>44862</v>
      </c>
      <c r="M415" s="761"/>
      <c r="N415" s="761"/>
      <c r="O415" s="761" t="s">
        <v>62</v>
      </c>
      <c r="P415" s="3" t="s">
        <v>2745</v>
      </c>
      <c r="Q415" s="3"/>
      <c r="R415" s="3"/>
      <c r="S415" s="3" t="s">
        <v>130</v>
      </c>
      <c r="T415" s="3"/>
      <c r="U415" s="785">
        <v>330.4</v>
      </c>
      <c r="V415" s="3"/>
      <c r="W415" s="761"/>
      <c r="X415" s="3" t="s">
        <v>2740</v>
      </c>
      <c r="Y415" s="761">
        <v>44865</v>
      </c>
      <c r="Z415" s="761" t="s">
        <v>62</v>
      </c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spans="2:39">
      <c r="B416" s="747">
        <v>11</v>
      </c>
      <c r="C416" s="748" t="s">
        <v>1792</v>
      </c>
      <c r="D416" s="3">
        <v>200099806</v>
      </c>
      <c r="E416" s="3">
        <v>110812</v>
      </c>
      <c r="F416" s="749">
        <v>15</v>
      </c>
      <c r="G416" s="3" t="s">
        <v>128</v>
      </c>
      <c r="H416" s="3"/>
      <c r="I416" s="785">
        <v>462.5</v>
      </c>
      <c r="J416" s="783"/>
      <c r="K416" s="3" t="s">
        <v>2716</v>
      </c>
      <c r="L416" s="790">
        <v>44865</v>
      </c>
      <c r="M416" s="761"/>
      <c r="N416" s="761"/>
      <c r="O416" s="761" t="s">
        <v>62</v>
      </c>
      <c r="P416" s="3" t="s">
        <v>2746</v>
      </c>
      <c r="Q416" s="3"/>
      <c r="R416" s="3"/>
      <c r="S416" s="3" t="s">
        <v>130</v>
      </c>
      <c r="T416" s="3"/>
      <c r="U416" s="785">
        <v>330.3</v>
      </c>
      <c r="V416" s="3"/>
      <c r="W416" s="761"/>
      <c r="X416" s="3" t="s">
        <v>2740</v>
      </c>
      <c r="Y416" s="761">
        <v>44865</v>
      </c>
      <c r="Z416" s="761" t="s">
        <v>62</v>
      </c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spans="2:39">
      <c r="B417" s="747">
        <v>11</v>
      </c>
      <c r="C417" s="748" t="s">
        <v>1792</v>
      </c>
      <c r="D417" s="3">
        <v>200099949</v>
      </c>
      <c r="E417" s="3">
        <v>111202</v>
      </c>
      <c r="F417" s="749">
        <v>16</v>
      </c>
      <c r="G417" s="3" t="s">
        <v>128</v>
      </c>
      <c r="H417" s="3"/>
      <c r="I417" s="785">
        <v>463.5</v>
      </c>
      <c r="J417" s="783"/>
      <c r="K417" s="3" t="s">
        <v>2747</v>
      </c>
      <c r="L417" s="790">
        <v>44866</v>
      </c>
      <c r="M417" s="761"/>
      <c r="N417" s="761"/>
      <c r="O417" s="761" t="s">
        <v>62</v>
      </c>
      <c r="P417" s="3" t="s">
        <v>2748</v>
      </c>
      <c r="Q417" s="3"/>
      <c r="R417" s="3"/>
      <c r="S417" s="3" t="s">
        <v>130</v>
      </c>
      <c r="T417" s="3"/>
      <c r="U417" s="785">
        <v>330</v>
      </c>
      <c r="V417" s="3"/>
      <c r="W417" s="761"/>
      <c r="X417" s="3" t="s">
        <v>1756</v>
      </c>
      <c r="Y417" s="761">
        <v>44866</v>
      </c>
      <c r="Z417" s="761" t="s">
        <v>62</v>
      </c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spans="2:39">
      <c r="B418" s="747">
        <v>11</v>
      </c>
      <c r="C418" s="748" t="s">
        <v>1792</v>
      </c>
      <c r="D418" s="3">
        <v>200099950</v>
      </c>
      <c r="E418" s="3">
        <v>111212</v>
      </c>
      <c r="F418" s="749">
        <v>17</v>
      </c>
      <c r="G418" s="3" t="s">
        <v>128</v>
      </c>
      <c r="H418" s="3"/>
      <c r="I418" s="785">
        <v>464.1</v>
      </c>
      <c r="J418" s="783"/>
      <c r="K418" s="3" t="s">
        <v>2747</v>
      </c>
      <c r="L418" s="790">
        <v>44866</v>
      </c>
      <c r="M418" s="761"/>
      <c r="N418" s="761"/>
      <c r="O418" s="761" t="s">
        <v>62</v>
      </c>
      <c r="P418" s="3" t="s">
        <v>2749</v>
      </c>
      <c r="Q418" s="3"/>
      <c r="R418" s="3"/>
      <c r="S418" s="3" t="s">
        <v>130</v>
      </c>
      <c r="T418" s="3"/>
      <c r="U418" s="785">
        <v>330</v>
      </c>
      <c r="V418" s="3"/>
      <c r="W418" s="761"/>
      <c r="X418" s="3" t="s">
        <v>1756</v>
      </c>
      <c r="Y418" s="761">
        <v>44866</v>
      </c>
      <c r="Z418" s="761" t="s">
        <v>62</v>
      </c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spans="2:39">
      <c r="B419" s="747">
        <v>11</v>
      </c>
      <c r="C419" s="748" t="s">
        <v>1792</v>
      </c>
      <c r="D419" s="3">
        <v>200099951</v>
      </c>
      <c r="E419" s="3">
        <v>111222</v>
      </c>
      <c r="F419" s="749">
        <v>18</v>
      </c>
      <c r="G419" s="3" t="s">
        <v>128</v>
      </c>
      <c r="H419" s="3"/>
      <c r="I419" s="786">
        <v>463.3</v>
      </c>
      <c r="J419" s="783"/>
      <c r="K419" s="3" t="s">
        <v>2747</v>
      </c>
      <c r="L419" s="790">
        <v>44867</v>
      </c>
      <c r="M419" s="761"/>
      <c r="N419" s="761"/>
      <c r="O419" s="761" t="s">
        <v>62</v>
      </c>
      <c r="P419" s="3" t="s">
        <v>2750</v>
      </c>
      <c r="Q419" s="3"/>
      <c r="R419" s="3"/>
      <c r="S419" s="3" t="s">
        <v>130</v>
      </c>
      <c r="T419" s="3"/>
      <c r="U419" s="785">
        <v>330.2</v>
      </c>
      <c r="V419" s="3"/>
      <c r="W419" s="761"/>
      <c r="X419" s="3" t="s">
        <v>1756</v>
      </c>
      <c r="Y419" s="761">
        <v>44866</v>
      </c>
      <c r="Z419" s="761" t="s">
        <v>62</v>
      </c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spans="2:39">
      <c r="B420" s="747">
        <v>11</v>
      </c>
      <c r="C420" s="748" t="s">
        <v>1792</v>
      </c>
      <c r="D420" s="3">
        <v>200099952</v>
      </c>
      <c r="E420" s="3">
        <v>111232</v>
      </c>
      <c r="F420" s="749">
        <v>19</v>
      </c>
      <c r="G420" s="3" t="s">
        <v>128</v>
      </c>
      <c r="H420" s="3"/>
      <c r="I420" s="786">
        <v>467.3</v>
      </c>
      <c r="J420" s="783"/>
      <c r="K420" s="3" t="s">
        <v>2747</v>
      </c>
      <c r="L420" s="790">
        <v>44867</v>
      </c>
      <c r="M420" s="761"/>
      <c r="N420" s="761"/>
      <c r="O420" s="761" t="s">
        <v>62</v>
      </c>
      <c r="P420" s="3" t="s">
        <v>2751</v>
      </c>
      <c r="Q420" s="3"/>
      <c r="R420" s="3"/>
      <c r="S420" s="3" t="s">
        <v>130</v>
      </c>
      <c r="T420" s="3"/>
      <c r="U420" s="785">
        <v>330.3</v>
      </c>
      <c r="V420" s="3"/>
      <c r="W420" s="761"/>
      <c r="X420" s="3" t="s">
        <v>1756</v>
      </c>
      <c r="Y420" s="761">
        <v>44867</v>
      </c>
      <c r="Z420" s="761" t="s">
        <v>62</v>
      </c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spans="2:39">
      <c r="B421" s="747">
        <v>11</v>
      </c>
      <c r="C421" s="748" t="s">
        <v>1792</v>
      </c>
      <c r="D421" s="3">
        <v>200099953</v>
      </c>
      <c r="E421" s="3">
        <v>111242</v>
      </c>
      <c r="F421" s="749">
        <v>20</v>
      </c>
      <c r="G421" s="3" t="s">
        <v>128</v>
      </c>
      <c r="H421" s="3"/>
      <c r="I421" s="786">
        <v>464.6</v>
      </c>
      <c r="J421" s="783"/>
      <c r="K421" s="791" t="s">
        <v>2747</v>
      </c>
      <c r="L421" s="790">
        <v>44869</v>
      </c>
      <c r="M421" s="761"/>
      <c r="N421" s="761"/>
      <c r="O421" s="761" t="s">
        <v>62</v>
      </c>
      <c r="P421" s="3" t="s">
        <v>2752</v>
      </c>
      <c r="Q421" s="3"/>
      <c r="R421" s="3"/>
      <c r="S421" s="3" t="s">
        <v>130</v>
      </c>
      <c r="T421" s="3"/>
      <c r="U421" s="785">
        <v>329.9</v>
      </c>
      <c r="V421" s="3"/>
      <c r="W421" s="761"/>
      <c r="X421" s="3" t="s">
        <v>1756</v>
      </c>
      <c r="Y421" s="761">
        <v>44867</v>
      </c>
      <c r="Z421" s="761" t="s">
        <v>62</v>
      </c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spans="2:39">
      <c r="B422" s="747">
        <v>11</v>
      </c>
      <c r="C422" s="748" t="s">
        <v>1792</v>
      </c>
      <c r="D422" s="3">
        <v>200099954</v>
      </c>
      <c r="E422" s="3">
        <v>111252</v>
      </c>
      <c r="F422" s="749">
        <v>21</v>
      </c>
      <c r="G422" s="3" t="s">
        <v>128</v>
      </c>
      <c r="H422" s="3"/>
      <c r="I422" s="786">
        <v>468.5</v>
      </c>
      <c r="J422" s="783"/>
      <c r="K422" s="3" t="s">
        <v>2747</v>
      </c>
      <c r="L422" s="790">
        <v>44869</v>
      </c>
      <c r="M422" s="761"/>
      <c r="N422" s="761"/>
      <c r="O422" s="761" t="s">
        <v>62</v>
      </c>
      <c r="P422" s="3" t="s">
        <v>2753</v>
      </c>
      <c r="Q422" s="3"/>
      <c r="R422" s="3"/>
      <c r="S422" s="3" t="s">
        <v>130</v>
      </c>
      <c r="T422" s="3"/>
      <c r="U422" s="785">
        <v>330.1</v>
      </c>
      <c r="V422" s="3"/>
      <c r="W422" s="761"/>
      <c r="X422" s="3" t="s">
        <v>1756</v>
      </c>
      <c r="Y422" s="761">
        <v>44868</v>
      </c>
      <c r="Z422" s="761" t="s">
        <v>62</v>
      </c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spans="2:39">
      <c r="B423" s="747">
        <v>11</v>
      </c>
      <c r="C423" s="748" t="s">
        <v>1792</v>
      </c>
      <c r="D423" s="3">
        <v>200099955</v>
      </c>
      <c r="E423" s="3">
        <v>111262</v>
      </c>
      <c r="F423" s="749">
        <v>22</v>
      </c>
      <c r="G423" s="3" t="s">
        <v>128</v>
      </c>
      <c r="H423" s="3"/>
      <c r="I423" s="786">
        <v>466.1</v>
      </c>
      <c r="J423" s="783"/>
      <c r="K423" s="3" t="s">
        <v>2747</v>
      </c>
      <c r="L423" s="790">
        <v>44869</v>
      </c>
      <c r="M423" s="761"/>
      <c r="N423" s="761"/>
      <c r="O423" s="761" t="s">
        <v>62</v>
      </c>
      <c r="P423" s="785" t="s">
        <v>2754</v>
      </c>
      <c r="Q423" s="3"/>
      <c r="R423" s="3"/>
      <c r="S423" s="3" t="s">
        <v>130</v>
      </c>
      <c r="T423" s="3"/>
      <c r="U423" s="785">
        <v>329.9</v>
      </c>
      <c r="V423" s="3"/>
      <c r="W423" s="761"/>
      <c r="X423" s="3" t="s">
        <v>1756</v>
      </c>
      <c r="Y423" s="761">
        <v>44868</v>
      </c>
      <c r="Z423" s="761" t="s">
        <v>62</v>
      </c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spans="2:39">
      <c r="B424" s="747">
        <v>11</v>
      </c>
      <c r="C424" s="748" t="s">
        <v>1792</v>
      </c>
      <c r="D424" s="3">
        <v>200099956</v>
      </c>
      <c r="E424" s="3">
        <v>111272</v>
      </c>
      <c r="F424" s="749">
        <v>23</v>
      </c>
      <c r="G424" s="3" t="s">
        <v>128</v>
      </c>
      <c r="H424" s="3"/>
      <c r="I424" s="786">
        <v>468.4</v>
      </c>
      <c r="J424" s="783"/>
      <c r="K424" s="3" t="s">
        <v>2747</v>
      </c>
      <c r="L424" s="790">
        <v>44873</v>
      </c>
      <c r="M424" s="761"/>
      <c r="N424" s="761"/>
      <c r="O424" s="761" t="s">
        <v>62</v>
      </c>
      <c r="P424" s="3" t="s">
        <v>2755</v>
      </c>
      <c r="Q424" s="3"/>
      <c r="R424" s="3"/>
      <c r="S424" s="3" t="s">
        <v>130</v>
      </c>
      <c r="T424" s="3"/>
      <c r="U424" s="785">
        <v>329.7</v>
      </c>
      <c r="V424" s="3"/>
      <c r="W424" s="761"/>
      <c r="X424" s="3" t="s">
        <v>1756</v>
      </c>
      <c r="Y424" s="761">
        <v>44872</v>
      </c>
      <c r="Z424" s="761" t="s">
        <v>62</v>
      </c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spans="2:39">
      <c r="B425" s="747">
        <v>11</v>
      </c>
      <c r="C425" s="748" t="s">
        <v>1792</v>
      </c>
      <c r="D425" s="3">
        <v>200099924</v>
      </c>
      <c r="E425" s="3">
        <v>112092</v>
      </c>
      <c r="F425" s="749">
        <v>24</v>
      </c>
      <c r="G425" s="3" t="s">
        <v>128</v>
      </c>
      <c r="H425" s="3"/>
      <c r="I425" s="786">
        <v>466.1</v>
      </c>
      <c r="J425" s="783"/>
      <c r="K425" s="3" t="s">
        <v>2747</v>
      </c>
      <c r="L425" s="790">
        <v>44873</v>
      </c>
      <c r="M425" s="761"/>
      <c r="N425" s="761"/>
      <c r="O425" s="761" t="s">
        <v>62</v>
      </c>
      <c r="P425" s="3" t="s">
        <v>2756</v>
      </c>
      <c r="Q425" s="3"/>
      <c r="R425" s="3"/>
      <c r="S425" s="3" t="s">
        <v>130</v>
      </c>
      <c r="T425" s="3"/>
      <c r="U425" s="3">
        <v>330.3</v>
      </c>
      <c r="V425" s="3"/>
      <c r="W425" s="761"/>
      <c r="X425" s="3" t="s">
        <v>1756</v>
      </c>
      <c r="Y425" s="761">
        <v>44873</v>
      </c>
      <c r="Z425" s="761" t="s">
        <v>62</v>
      </c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spans="2:39">
      <c r="B426" s="747">
        <v>11</v>
      </c>
      <c r="C426" s="748" t="s">
        <v>1792</v>
      </c>
      <c r="D426" s="3">
        <v>200099925</v>
      </c>
      <c r="E426" s="3">
        <v>112102</v>
      </c>
      <c r="F426" s="749">
        <v>25</v>
      </c>
      <c r="G426" s="3" t="s">
        <v>128</v>
      </c>
      <c r="H426" s="3"/>
      <c r="I426" s="786">
        <v>462</v>
      </c>
      <c r="J426" s="783"/>
      <c r="K426" s="3" t="s">
        <v>2747</v>
      </c>
      <c r="L426" s="790">
        <v>44873</v>
      </c>
      <c r="M426" s="761"/>
      <c r="N426" s="761"/>
      <c r="O426" s="761" t="s">
        <v>62</v>
      </c>
      <c r="P426" s="785" t="s">
        <v>2757</v>
      </c>
      <c r="Q426" s="3"/>
      <c r="R426" s="3"/>
      <c r="S426" s="3" t="s">
        <v>130</v>
      </c>
      <c r="T426" s="3"/>
      <c r="U426" s="3">
        <v>329.8</v>
      </c>
      <c r="V426" s="3"/>
      <c r="W426" s="761"/>
      <c r="X426" s="3" t="s">
        <v>1756</v>
      </c>
      <c r="Y426" s="761">
        <v>44873</v>
      </c>
      <c r="Z426" s="761" t="s">
        <v>62</v>
      </c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spans="2:39">
      <c r="B427" s="747">
        <v>11</v>
      </c>
      <c r="C427" s="748" t="s">
        <v>1792</v>
      </c>
      <c r="D427" s="3">
        <v>200099926</v>
      </c>
      <c r="E427" s="3">
        <v>112112</v>
      </c>
      <c r="F427" s="749">
        <v>26</v>
      </c>
      <c r="G427" s="3" t="s">
        <v>128</v>
      </c>
      <c r="H427" s="3"/>
      <c r="I427" s="786">
        <v>467.4</v>
      </c>
      <c r="J427" s="783"/>
      <c r="K427" s="3" t="s">
        <v>2747</v>
      </c>
      <c r="L427" s="790">
        <v>44874</v>
      </c>
      <c r="M427" s="761"/>
      <c r="N427" s="761"/>
      <c r="O427" s="761" t="s">
        <v>62</v>
      </c>
      <c r="P427" s="3" t="s">
        <v>2758</v>
      </c>
      <c r="Q427" s="3"/>
      <c r="R427" s="3"/>
      <c r="S427" s="3" t="s">
        <v>130</v>
      </c>
      <c r="T427" s="3"/>
      <c r="U427" s="785">
        <v>330.3</v>
      </c>
      <c r="V427" s="3"/>
      <c r="W427" s="761"/>
      <c r="X427" s="3" t="s">
        <v>1756</v>
      </c>
      <c r="Y427" s="761">
        <v>44874</v>
      </c>
      <c r="Z427" s="761" t="s">
        <v>62</v>
      </c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spans="2:39">
      <c r="B428" s="747">
        <v>11</v>
      </c>
      <c r="C428" s="748" t="s">
        <v>1792</v>
      </c>
      <c r="D428" s="3">
        <v>200099927</v>
      </c>
      <c r="E428" s="3">
        <v>112122</v>
      </c>
      <c r="F428" s="749">
        <v>27</v>
      </c>
      <c r="G428" s="3" t="s">
        <v>128</v>
      </c>
      <c r="H428" s="3"/>
      <c r="I428" s="3">
        <v>465.8</v>
      </c>
      <c r="J428" s="783"/>
      <c r="K428" s="3" t="s">
        <v>2747</v>
      </c>
      <c r="L428" s="790">
        <v>44874</v>
      </c>
      <c r="M428" s="761"/>
      <c r="N428" s="761"/>
      <c r="O428" s="761" t="s">
        <v>62</v>
      </c>
      <c r="P428" s="3" t="s">
        <v>2759</v>
      </c>
      <c r="Q428" s="3"/>
      <c r="R428" s="3"/>
      <c r="S428" s="3" t="s">
        <v>130</v>
      </c>
      <c r="T428" s="3"/>
      <c r="U428" s="785">
        <v>330.2</v>
      </c>
      <c r="V428" s="3"/>
      <c r="W428" s="761"/>
      <c r="X428" s="3" t="s">
        <v>1756</v>
      </c>
      <c r="Y428" s="761">
        <v>44874</v>
      </c>
      <c r="Z428" s="761" t="s">
        <v>62</v>
      </c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spans="2:39">
      <c r="B429" s="747">
        <v>11</v>
      </c>
      <c r="C429" s="748" t="s">
        <v>1792</v>
      </c>
      <c r="D429" s="3">
        <v>200099928</v>
      </c>
      <c r="E429" s="3">
        <v>112132</v>
      </c>
      <c r="F429" s="749">
        <v>28</v>
      </c>
      <c r="G429" s="3" t="s">
        <v>128</v>
      </c>
      <c r="H429" s="3"/>
      <c r="I429" s="786">
        <v>466.3</v>
      </c>
      <c r="J429" s="783"/>
      <c r="K429" s="3" t="s">
        <v>2747</v>
      </c>
      <c r="L429" s="790">
        <v>44875</v>
      </c>
      <c r="M429" s="761"/>
      <c r="N429" s="761"/>
      <c r="O429" s="761" t="s">
        <v>62</v>
      </c>
      <c r="P429" s="3" t="s">
        <v>2760</v>
      </c>
      <c r="Q429" s="3"/>
      <c r="R429" s="3"/>
      <c r="S429" s="3" t="s">
        <v>130</v>
      </c>
      <c r="T429" s="3"/>
      <c r="U429" s="3">
        <v>330.3</v>
      </c>
      <c r="V429" s="3"/>
      <c r="W429" s="761"/>
      <c r="X429" s="3" t="s">
        <v>1756</v>
      </c>
      <c r="Y429" s="761">
        <v>44874</v>
      </c>
      <c r="Z429" s="761" t="s">
        <v>62</v>
      </c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spans="2:39">
      <c r="B430" s="747">
        <v>11</v>
      </c>
      <c r="C430" s="748" t="s">
        <v>1792</v>
      </c>
      <c r="D430" s="3">
        <v>200099929</v>
      </c>
      <c r="E430" s="3">
        <v>112142</v>
      </c>
      <c r="F430" s="749">
        <v>29</v>
      </c>
      <c r="G430" s="3" t="s">
        <v>128</v>
      </c>
      <c r="H430" s="3"/>
      <c r="I430" s="762">
        <v>462.5</v>
      </c>
      <c r="J430" s="783"/>
      <c r="K430" s="3" t="s">
        <v>2747</v>
      </c>
      <c r="L430" s="790">
        <v>44881</v>
      </c>
      <c r="M430" s="761"/>
      <c r="N430" s="761"/>
      <c r="O430" s="761" t="s">
        <v>62</v>
      </c>
      <c r="P430" s="3" t="s">
        <v>2761</v>
      </c>
      <c r="Q430" s="3"/>
      <c r="R430" s="3"/>
      <c r="S430" s="3" t="s">
        <v>130</v>
      </c>
      <c r="T430" s="3"/>
      <c r="U430" s="786">
        <v>330.4</v>
      </c>
      <c r="V430" s="3"/>
      <c r="W430" s="761"/>
      <c r="X430" s="3" t="s">
        <v>1756</v>
      </c>
      <c r="Y430" s="761">
        <v>44875</v>
      </c>
      <c r="Z430" s="761" t="s">
        <v>62</v>
      </c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spans="2:39">
      <c r="B431" s="747">
        <v>11</v>
      </c>
      <c r="C431" s="748" t="s">
        <v>1792</v>
      </c>
      <c r="D431" s="3">
        <v>200099930</v>
      </c>
      <c r="E431" s="3">
        <v>112152</v>
      </c>
      <c r="F431" s="749">
        <v>30</v>
      </c>
      <c r="G431" s="3" t="s">
        <v>128</v>
      </c>
      <c r="H431" s="3"/>
      <c r="I431" s="762">
        <v>469.1</v>
      </c>
      <c r="J431" s="783"/>
      <c r="K431" s="3" t="s">
        <v>2747</v>
      </c>
      <c r="L431" s="790">
        <v>44881</v>
      </c>
      <c r="M431" s="761"/>
      <c r="N431" s="761"/>
      <c r="O431" s="761" t="s">
        <v>62</v>
      </c>
      <c r="P431" s="3" t="s">
        <v>2762</v>
      </c>
      <c r="Q431" s="3"/>
      <c r="R431" s="3"/>
      <c r="S431" s="3" t="s">
        <v>130</v>
      </c>
      <c r="T431" s="3"/>
      <c r="U431" s="762">
        <v>330.2</v>
      </c>
      <c r="V431" s="3"/>
      <c r="W431" s="761"/>
      <c r="X431" s="3" t="s">
        <v>1756</v>
      </c>
      <c r="Y431" s="761">
        <v>44879</v>
      </c>
      <c r="Z431" s="761" t="s">
        <v>62</v>
      </c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spans="2:39">
      <c r="B432" s="747">
        <v>11</v>
      </c>
      <c r="C432" s="748" t="s">
        <v>1792</v>
      </c>
      <c r="D432" s="3">
        <v>200099931</v>
      </c>
      <c r="E432" s="3">
        <v>112162</v>
      </c>
      <c r="F432" s="749">
        <v>31</v>
      </c>
      <c r="G432" s="3" t="s">
        <v>128</v>
      </c>
      <c r="H432" s="3"/>
      <c r="I432" s="762">
        <v>463.4</v>
      </c>
      <c r="J432" s="783"/>
      <c r="K432" s="3" t="s">
        <v>2747</v>
      </c>
      <c r="L432" s="790">
        <v>44882</v>
      </c>
      <c r="M432" s="761"/>
      <c r="N432" s="761"/>
      <c r="O432" s="761" t="s">
        <v>62</v>
      </c>
      <c r="P432" s="3" t="s">
        <v>2763</v>
      </c>
      <c r="Q432" s="3"/>
      <c r="R432" s="3"/>
      <c r="S432" s="3" t="s">
        <v>130</v>
      </c>
      <c r="T432" s="3"/>
      <c r="U432" s="762">
        <v>330.3</v>
      </c>
      <c r="V432" s="3"/>
      <c r="W432" s="761"/>
      <c r="X432" s="3" t="s">
        <v>1756</v>
      </c>
      <c r="Y432" s="761">
        <v>44879</v>
      </c>
      <c r="Z432" s="761" t="s">
        <v>62</v>
      </c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spans="2:39">
      <c r="B433" s="747">
        <v>11</v>
      </c>
      <c r="C433" s="748" t="s">
        <v>1792</v>
      </c>
      <c r="D433" s="3">
        <v>200099932</v>
      </c>
      <c r="E433" s="3">
        <v>112172</v>
      </c>
      <c r="F433" s="749">
        <v>32</v>
      </c>
      <c r="G433" s="3" t="s">
        <v>128</v>
      </c>
      <c r="H433" s="3"/>
      <c r="I433" s="762">
        <v>466.7</v>
      </c>
      <c r="J433" s="783"/>
      <c r="K433" s="3" t="s">
        <v>2747</v>
      </c>
      <c r="L433" s="790">
        <v>44882</v>
      </c>
      <c r="M433" s="761"/>
      <c r="N433" s="761"/>
      <c r="O433" s="761" t="s">
        <v>62</v>
      </c>
      <c r="P433" s="3" t="s">
        <v>2764</v>
      </c>
      <c r="Q433" s="3"/>
      <c r="R433" s="3"/>
      <c r="S433" s="3" t="s">
        <v>130</v>
      </c>
      <c r="T433" s="3"/>
      <c r="U433" s="762">
        <v>330.1</v>
      </c>
      <c r="V433" s="3"/>
      <c r="W433" s="761"/>
      <c r="X433" s="3" t="s">
        <v>1756</v>
      </c>
      <c r="Y433" s="761">
        <v>44880</v>
      </c>
      <c r="Z433" s="761" t="s">
        <v>62</v>
      </c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spans="2:39">
      <c r="B434" s="747">
        <v>11</v>
      </c>
      <c r="C434" s="748" t="s">
        <v>1792</v>
      </c>
      <c r="D434" s="3">
        <v>200099933</v>
      </c>
      <c r="E434" s="3">
        <v>112182</v>
      </c>
      <c r="F434" s="749">
        <v>33</v>
      </c>
      <c r="G434" s="3" t="s">
        <v>128</v>
      </c>
      <c r="H434" s="3"/>
      <c r="I434" s="762">
        <v>463.1</v>
      </c>
      <c r="J434" s="783"/>
      <c r="K434" s="3" t="s">
        <v>2747</v>
      </c>
      <c r="L434" s="790">
        <v>44883</v>
      </c>
      <c r="M434" s="761"/>
      <c r="N434" s="761"/>
      <c r="O434" s="761" t="s">
        <v>62</v>
      </c>
      <c r="P434" s="3" t="s">
        <v>2765</v>
      </c>
      <c r="Q434" s="3"/>
      <c r="R434" s="3"/>
      <c r="S434" s="3" t="s">
        <v>130</v>
      </c>
      <c r="T434" s="3"/>
      <c r="U434" s="762">
        <v>330.3</v>
      </c>
      <c r="V434" s="3"/>
      <c r="W434" s="761"/>
      <c r="X434" s="3" t="s">
        <v>1756</v>
      </c>
      <c r="Y434" s="761">
        <v>44881</v>
      </c>
      <c r="Z434" s="761" t="s">
        <v>62</v>
      </c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spans="2:39">
      <c r="B435" s="747">
        <v>11</v>
      </c>
      <c r="C435" s="748" t="s">
        <v>1792</v>
      </c>
      <c r="D435" s="789">
        <v>200100012</v>
      </c>
      <c r="E435" s="3">
        <v>112562</v>
      </c>
      <c r="F435" s="749">
        <v>34</v>
      </c>
      <c r="G435" s="3" t="s">
        <v>128</v>
      </c>
      <c r="H435" s="3"/>
      <c r="I435" s="762">
        <v>464.6</v>
      </c>
      <c r="J435" s="783"/>
      <c r="K435" s="3" t="s">
        <v>2747</v>
      </c>
      <c r="L435" s="790">
        <v>44886</v>
      </c>
      <c r="M435" s="761"/>
      <c r="N435" s="761"/>
      <c r="O435" s="761" t="s">
        <v>62</v>
      </c>
      <c r="P435" s="3" t="s">
        <v>2766</v>
      </c>
      <c r="Q435" s="3"/>
      <c r="R435" s="3"/>
      <c r="S435" s="3" t="s">
        <v>130</v>
      </c>
      <c r="T435" s="3"/>
      <c r="U435" s="762">
        <v>330.4</v>
      </c>
      <c r="V435" s="3"/>
      <c r="W435" s="761"/>
      <c r="X435" s="3" t="s">
        <v>1756</v>
      </c>
      <c r="Y435" s="761">
        <v>44882</v>
      </c>
      <c r="Z435" s="761" t="s">
        <v>62</v>
      </c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spans="2:39">
      <c r="B436" s="747">
        <v>11</v>
      </c>
      <c r="C436" s="748" t="s">
        <v>1792</v>
      </c>
      <c r="D436" s="789">
        <v>200100013</v>
      </c>
      <c r="E436" s="3">
        <v>112572</v>
      </c>
      <c r="F436" s="749">
        <v>35</v>
      </c>
      <c r="G436" s="3" t="s">
        <v>128</v>
      </c>
      <c r="H436" s="3"/>
      <c r="I436" s="762">
        <v>466.8</v>
      </c>
      <c r="J436" s="783"/>
      <c r="K436" s="3" t="s">
        <v>2747</v>
      </c>
      <c r="L436" s="790">
        <v>44886</v>
      </c>
      <c r="M436" s="761"/>
      <c r="N436" s="761"/>
      <c r="O436" s="761" t="s">
        <v>62</v>
      </c>
      <c r="P436" s="3" t="s">
        <v>2767</v>
      </c>
      <c r="Q436" s="3"/>
      <c r="R436" s="3"/>
      <c r="S436" s="3" t="s">
        <v>130</v>
      </c>
      <c r="T436" s="3"/>
      <c r="U436" s="762">
        <v>330.7</v>
      </c>
      <c r="V436" s="3"/>
      <c r="W436" s="761"/>
      <c r="X436" s="3" t="s">
        <v>1756</v>
      </c>
      <c r="Y436" s="761">
        <v>44883</v>
      </c>
      <c r="Z436" s="761" t="s">
        <v>62</v>
      </c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spans="2:39">
      <c r="B437" s="747">
        <v>11</v>
      </c>
      <c r="C437" s="748" t="s">
        <v>1792</v>
      </c>
      <c r="D437" s="789">
        <v>200100014</v>
      </c>
      <c r="E437" s="3">
        <v>112582</v>
      </c>
      <c r="F437" s="749">
        <v>36</v>
      </c>
      <c r="G437" s="3" t="s">
        <v>128</v>
      </c>
      <c r="H437" s="3"/>
      <c r="I437" s="762">
        <v>470.6</v>
      </c>
      <c r="J437" s="783"/>
      <c r="K437" s="3" t="s">
        <v>2747</v>
      </c>
      <c r="L437" s="790">
        <v>44886</v>
      </c>
      <c r="M437" s="761"/>
      <c r="N437" s="761"/>
      <c r="O437" s="761" t="s">
        <v>62</v>
      </c>
      <c r="P437" s="3" t="s">
        <v>2768</v>
      </c>
      <c r="Q437" s="3"/>
      <c r="R437" s="3"/>
      <c r="S437" s="3" t="s">
        <v>130</v>
      </c>
      <c r="T437" s="3"/>
      <c r="U437" s="762">
        <v>330.4</v>
      </c>
      <c r="V437" s="3"/>
      <c r="W437" s="761"/>
      <c r="X437" s="3" t="s">
        <v>1756</v>
      </c>
      <c r="Y437" s="761">
        <v>44886</v>
      </c>
      <c r="Z437" s="761" t="s">
        <v>62</v>
      </c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spans="2:39">
      <c r="B438" s="747">
        <v>11</v>
      </c>
      <c r="C438" s="748" t="s">
        <v>1792</v>
      </c>
      <c r="D438" s="789">
        <v>200100015</v>
      </c>
      <c r="E438" s="3">
        <v>112592</v>
      </c>
      <c r="F438" s="749">
        <v>37</v>
      </c>
      <c r="G438" s="3" t="s">
        <v>128</v>
      </c>
      <c r="H438" s="3"/>
      <c r="I438" s="762">
        <v>465.7</v>
      </c>
      <c r="J438" s="783"/>
      <c r="K438" s="3" t="s">
        <v>2747</v>
      </c>
      <c r="L438" s="790">
        <v>44886</v>
      </c>
      <c r="M438" s="761"/>
      <c r="N438" s="761"/>
      <c r="O438" s="761" t="s">
        <v>62</v>
      </c>
      <c r="P438" s="3" t="s">
        <v>2769</v>
      </c>
      <c r="Q438" s="3"/>
      <c r="R438" s="3"/>
      <c r="S438" s="3" t="s">
        <v>130</v>
      </c>
      <c r="T438" s="3"/>
      <c r="U438" s="762">
        <v>330.3</v>
      </c>
      <c r="V438" s="3"/>
      <c r="W438" s="761"/>
      <c r="X438" s="3" t="s">
        <v>1756</v>
      </c>
      <c r="Y438" s="761">
        <v>44886</v>
      </c>
      <c r="Z438" s="761" t="s">
        <v>62</v>
      </c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spans="2:39" s="705" customFormat="1" ht="18" customHeight="1">
      <c r="B439" s="731"/>
      <c r="C439" s="736" t="s">
        <v>1710</v>
      </c>
      <c r="D439" s="737"/>
      <c r="E439" s="738"/>
      <c r="F439" s="739"/>
      <c r="G439" s="740"/>
      <c r="H439" s="740"/>
      <c r="I439" s="740"/>
      <c r="J439" s="756"/>
      <c r="K439" s="756"/>
      <c r="L439" s="740"/>
      <c r="M439" s="740"/>
      <c r="N439" s="740"/>
      <c r="O439" s="757"/>
      <c r="P439" s="758"/>
      <c r="Q439" s="740"/>
      <c r="R439" s="740"/>
      <c r="S439" s="740"/>
      <c r="T439" s="740"/>
      <c r="U439" s="740"/>
      <c r="V439" s="740"/>
      <c r="W439" s="740"/>
      <c r="X439" s="740"/>
      <c r="Y439" s="740"/>
      <c r="Z439" s="757"/>
      <c r="AA439" s="771"/>
      <c r="AB439" s="771"/>
      <c r="AC439" s="771"/>
      <c r="AD439" s="771"/>
      <c r="AE439" s="771"/>
      <c r="AF439" s="771"/>
      <c r="AG439" s="775"/>
      <c r="AH439" s="771"/>
      <c r="AI439" s="771"/>
      <c r="AJ439" s="771"/>
      <c r="AK439" s="771"/>
      <c r="AL439" s="771"/>
      <c r="AM439" s="776"/>
    </row>
    <row r="440" spans="2:39">
      <c r="B440" s="747">
        <v>12</v>
      </c>
      <c r="C440" s="748" t="s">
        <v>1792</v>
      </c>
      <c r="D440" s="789">
        <v>200100152</v>
      </c>
      <c r="E440" s="3">
        <v>120402</v>
      </c>
      <c r="F440" s="749">
        <v>1</v>
      </c>
      <c r="G440" s="3" t="s">
        <v>128</v>
      </c>
      <c r="H440" s="3"/>
      <c r="I440" s="762">
        <v>462.8</v>
      </c>
      <c r="J440" s="783"/>
      <c r="K440" s="3" t="s">
        <v>2747</v>
      </c>
      <c r="L440" s="790">
        <v>44887</v>
      </c>
      <c r="M440" s="761"/>
      <c r="N440" s="761"/>
      <c r="O440" s="761" t="s">
        <v>62</v>
      </c>
      <c r="P440" s="3" t="s">
        <v>2770</v>
      </c>
      <c r="Q440" s="3"/>
      <c r="R440" s="3"/>
      <c r="S440" s="3" t="s">
        <v>130</v>
      </c>
      <c r="T440" s="3"/>
      <c r="U440" s="762">
        <v>330.4</v>
      </c>
      <c r="V440" s="3"/>
      <c r="W440" s="761"/>
      <c r="X440" s="3" t="s">
        <v>1756</v>
      </c>
      <c r="Y440" s="761">
        <v>44886</v>
      </c>
      <c r="Z440" s="761" t="s">
        <v>62</v>
      </c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spans="2:39">
      <c r="B441" s="747">
        <v>12</v>
      </c>
      <c r="C441" s="748" t="s">
        <v>1792</v>
      </c>
      <c r="D441" s="789">
        <v>200100153</v>
      </c>
      <c r="E441" s="3">
        <v>120412</v>
      </c>
      <c r="F441" s="749">
        <v>2</v>
      </c>
      <c r="G441" s="3" t="s">
        <v>128</v>
      </c>
      <c r="H441" s="3"/>
      <c r="I441" s="762">
        <v>463.9</v>
      </c>
      <c r="J441" s="783"/>
      <c r="K441" s="3" t="s">
        <v>2747</v>
      </c>
      <c r="L441" s="790">
        <v>44887</v>
      </c>
      <c r="M441" s="761"/>
      <c r="N441" s="761"/>
      <c r="O441" s="761" t="s">
        <v>62</v>
      </c>
      <c r="P441" s="3" t="s">
        <v>2771</v>
      </c>
      <c r="Q441" s="3"/>
      <c r="R441" s="3"/>
      <c r="S441" s="3" t="s">
        <v>130</v>
      </c>
      <c r="T441" s="3"/>
      <c r="U441" s="762">
        <v>330.3</v>
      </c>
      <c r="V441" s="3"/>
      <c r="W441" s="761"/>
      <c r="X441" s="3" t="s">
        <v>1756</v>
      </c>
      <c r="Y441" s="761">
        <v>44887</v>
      </c>
      <c r="Z441" s="761" t="s">
        <v>62</v>
      </c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spans="2:39">
      <c r="B442" s="747">
        <v>12</v>
      </c>
      <c r="C442" s="748" t="s">
        <v>1792</v>
      </c>
      <c r="D442" s="789">
        <v>200100154</v>
      </c>
      <c r="E442" s="3">
        <v>120422</v>
      </c>
      <c r="F442" s="749">
        <v>3</v>
      </c>
      <c r="G442" s="3" t="s">
        <v>128</v>
      </c>
      <c r="H442" s="3"/>
      <c r="I442" s="762">
        <v>462.3</v>
      </c>
      <c r="J442" s="783"/>
      <c r="K442" s="3" t="s">
        <v>2747</v>
      </c>
      <c r="L442" s="790">
        <v>44888</v>
      </c>
      <c r="M442" s="761"/>
      <c r="N442" s="761"/>
      <c r="O442" s="761" t="s">
        <v>62</v>
      </c>
      <c r="P442" s="3" t="s">
        <v>2772</v>
      </c>
      <c r="Q442" s="3"/>
      <c r="R442" s="3"/>
      <c r="S442" s="3" t="s">
        <v>130</v>
      </c>
      <c r="T442" s="3"/>
      <c r="U442" s="762">
        <v>330.3</v>
      </c>
      <c r="V442" s="3"/>
      <c r="W442" s="761"/>
      <c r="X442" s="3" t="s">
        <v>1756</v>
      </c>
      <c r="Y442" s="761">
        <v>44887</v>
      </c>
      <c r="Z442" s="761" t="s">
        <v>62</v>
      </c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spans="2:39">
      <c r="B443" s="747">
        <v>12</v>
      </c>
      <c r="C443" s="748" t="s">
        <v>1792</v>
      </c>
      <c r="D443" s="789">
        <v>200100155</v>
      </c>
      <c r="E443" s="3">
        <v>120432</v>
      </c>
      <c r="F443" s="749">
        <v>4</v>
      </c>
      <c r="G443" s="3" t="s">
        <v>128</v>
      </c>
      <c r="H443" s="3"/>
      <c r="I443" s="762">
        <v>463.5</v>
      </c>
      <c r="J443" s="783"/>
      <c r="K443" s="3" t="s">
        <v>2747</v>
      </c>
      <c r="L443" s="790">
        <v>44888</v>
      </c>
      <c r="M443" s="761"/>
      <c r="N443" s="761"/>
      <c r="O443" s="761" t="s">
        <v>62</v>
      </c>
      <c r="P443" s="3" t="s">
        <v>2773</v>
      </c>
      <c r="Q443" s="3"/>
      <c r="R443" s="3"/>
      <c r="S443" s="3" t="s">
        <v>130</v>
      </c>
      <c r="T443" s="3"/>
      <c r="U443" s="762">
        <v>330.3</v>
      </c>
      <c r="V443" s="3"/>
      <c r="W443" s="761"/>
      <c r="X443" s="3" t="s">
        <v>1756</v>
      </c>
      <c r="Y443" s="761">
        <v>44888</v>
      </c>
      <c r="Z443" s="761" t="s">
        <v>62</v>
      </c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spans="2:39">
      <c r="B444" s="747">
        <v>12</v>
      </c>
      <c r="C444" s="748" t="s">
        <v>1792</v>
      </c>
      <c r="D444" s="789">
        <v>200100156</v>
      </c>
      <c r="E444" s="3">
        <v>120442</v>
      </c>
      <c r="F444" s="749">
        <v>5</v>
      </c>
      <c r="G444" s="3" t="s">
        <v>128</v>
      </c>
      <c r="H444" s="3"/>
      <c r="I444" s="762">
        <v>465</v>
      </c>
      <c r="J444" s="783"/>
      <c r="K444" s="3" t="s">
        <v>2747</v>
      </c>
      <c r="L444" s="790">
        <v>44888</v>
      </c>
      <c r="M444" s="761"/>
      <c r="N444" s="761"/>
      <c r="O444" s="761" t="s">
        <v>62</v>
      </c>
      <c r="P444" s="3" t="s">
        <v>2774</v>
      </c>
      <c r="Q444" s="3"/>
      <c r="R444" s="3"/>
      <c r="S444" s="3" t="s">
        <v>130</v>
      </c>
      <c r="T444" s="3"/>
      <c r="U444" s="762">
        <v>330.2</v>
      </c>
      <c r="V444" s="3"/>
      <c r="W444" s="761"/>
      <c r="X444" s="3" t="s">
        <v>1756</v>
      </c>
      <c r="Y444" s="761">
        <v>44888</v>
      </c>
      <c r="Z444" s="761" t="s">
        <v>62</v>
      </c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spans="2:39">
      <c r="B445" s="747">
        <v>12</v>
      </c>
      <c r="C445" s="748" t="s">
        <v>1792</v>
      </c>
      <c r="D445" s="789">
        <v>200100316</v>
      </c>
      <c r="E445" s="3">
        <v>121552</v>
      </c>
      <c r="F445" s="749">
        <v>6</v>
      </c>
      <c r="G445" s="3" t="s">
        <v>128</v>
      </c>
      <c r="H445" s="3"/>
      <c r="I445" s="762">
        <v>460.1</v>
      </c>
      <c r="J445" s="783"/>
      <c r="K445" s="3" t="s">
        <v>2747</v>
      </c>
      <c r="L445" s="790">
        <v>44895</v>
      </c>
      <c r="M445" s="761"/>
      <c r="N445" s="761"/>
      <c r="O445" s="761" t="s">
        <v>62</v>
      </c>
      <c r="P445" s="3" t="s">
        <v>2775</v>
      </c>
      <c r="Q445" s="3"/>
      <c r="R445" s="3"/>
      <c r="S445" s="3" t="s">
        <v>130</v>
      </c>
      <c r="T445" s="3"/>
      <c r="U445" s="762">
        <v>330.1</v>
      </c>
      <c r="V445" s="3"/>
      <c r="W445" s="761"/>
      <c r="X445" s="3" t="s">
        <v>1756</v>
      </c>
      <c r="Y445" s="761">
        <v>44895</v>
      </c>
      <c r="Z445" s="761" t="s">
        <v>62</v>
      </c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spans="2:39">
      <c r="B446" s="747">
        <v>12</v>
      </c>
      <c r="C446" s="748" t="s">
        <v>1792</v>
      </c>
      <c r="D446" s="789">
        <v>200100317</v>
      </c>
      <c r="E446" s="3">
        <v>121562</v>
      </c>
      <c r="F446" s="749">
        <v>7</v>
      </c>
      <c r="G446" s="3" t="s">
        <v>128</v>
      </c>
      <c r="H446" s="3"/>
      <c r="I446" s="786">
        <v>465.1</v>
      </c>
      <c r="J446" s="783"/>
      <c r="K446" s="3" t="s">
        <v>2067</v>
      </c>
      <c r="L446" s="790">
        <v>44896</v>
      </c>
      <c r="M446" s="761"/>
      <c r="N446" s="761"/>
      <c r="O446" s="761" t="s">
        <v>62</v>
      </c>
      <c r="P446" s="3" t="s">
        <v>2776</v>
      </c>
      <c r="Q446" s="3"/>
      <c r="R446" s="3"/>
      <c r="S446" s="3" t="s">
        <v>130</v>
      </c>
      <c r="T446" s="3"/>
      <c r="U446" s="762">
        <v>330.2</v>
      </c>
      <c r="V446" s="3"/>
      <c r="W446" s="761"/>
      <c r="X446" s="3" t="s">
        <v>1756</v>
      </c>
      <c r="Y446" s="761">
        <v>44895</v>
      </c>
      <c r="Z446" s="761" t="s">
        <v>62</v>
      </c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spans="2:39">
      <c r="B447" s="747">
        <v>12</v>
      </c>
      <c r="C447" s="748" t="s">
        <v>1792</v>
      </c>
      <c r="D447" s="789">
        <v>200100318</v>
      </c>
      <c r="E447" s="3">
        <v>121572</v>
      </c>
      <c r="F447" s="749">
        <v>8</v>
      </c>
      <c r="G447" s="3" t="s">
        <v>128</v>
      </c>
      <c r="H447" s="3"/>
      <c r="I447" s="786">
        <v>469.1</v>
      </c>
      <c r="J447" s="783"/>
      <c r="K447" s="3" t="s">
        <v>2067</v>
      </c>
      <c r="L447" s="790">
        <v>44896</v>
      </c>
      <c r="M447" s="761"/>
      <c r="N447" s="761"/>
      <c r="O447" s="761" t="s">
        <v>62</v>
      </c>
      <c r="P447" s="3" t="s">
        <v>2777</v>
      </c>
      <c r="Q447" s="3"/>
      <c r="R447" s="3"/>
      <c r="S447" s="3" t="s">
        <v>130</v>
      </c>
      <c r="T447" s="3"/>
      <c r="U447" s="785">
        <v>330.2</v>
      </c>
      <c r="V447" s="3"/>
      <c r="W447" s="761"/>
      <c r="X447" s="3" t="s">
        <v>2067</v>
      </c>
      <c r="Y447" s="761">
        <v>44896</v>
      </c>
      <c r="Z447" s="761" t="s">
        <v>62</v>
      </c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spans="2:39">
      <c r="B448" s="747">
        <v>12</v>
      </c>
      <c r="C448" s="748" t="s">
        <v>1792</v>
      </c>
      <c r="D448" s="789">
        <v>200100331</v>
      </c>
      <c r="E448" s="3">
        <v>121792</v>
      </c>
      <c r="F448" s="749">
        <v>9</v>
      </c>
      <c r="G448" s="3" t="s">
        <v>128</v>
      </c>
      <c r="H448" s="3"/>
      <c r="I448" s="786">
        <f>152.1+153.7+154.6</f>
        <v>460.4</v>
      </c>
      <c r="J448" s="783"/>
      <c r="K448" s="3" t="s">
        <v>2067</v>
      </c>
      <c r="L448" s="790">
        <v>44897</v>
      </c>
      <c r="M448" s="761"/>
      <c r="N448" s="761"/>
      <c r="O448" s="761" t="s">
        <v>62</v>
      </c>
      <c r="P448" s="3" t="s">
        <v>2778</v>
      </c>
      <c r="Q448" s="3"/>
      <c r="R448" s="3"/>
      <c r="S448" s="3" t="s">
        <v>130</v>
      </c>
      <c r="T448" s="3"/>
      <c r="U448" s="786">
        <v>330.1</v>
      </c>
      <c r="V448" s="3"/>
      <c r="W448" s="761"/>
      <c r="X448" s="3" t="s">
        <v>2067</v>
      </c>
      <c r="Y448" s="761">
        <v>44897</v>
      </c>
      <c r="Z448" s="761" t="s">
        <v>62</v>
      </c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spans="1:39">
      <c r="B449" s="747">
        <v>12</v>
      </c>
      <c r="C449" s="748" t="s">
        <v>1792</v>
      </c>
      <c r="D449" s="789">
        <v>200100332</v>
      </c>
      <c r="E449" s="3">
        <v>121802</v>
      </c>
      <c r="F449" s="749">
        <v>10</v>
      </c>
      <c r="G449" s="3" t="s">
        <v>128</v>
      </c>
      <c r="H449" s="3"/>
      <c r="I449" s="786">
        <v>464.5</v>
      </c>
      <c r="J449" s="783"/>
      <c r="K449" s="3" t="s">
        <v>2067</v>
      </c>
      <c r="L449" s="790">
        <v>44900</v>
      </c>
      <c r="M449" s="761"/>
      <c r="N449" s="761"/>
      <c r="O449" s="761" t="s">
        <v>62</v>
      </c>
      <c r="P449" s="3" t="s">
        <v>2779</v>
      </c>
      <c r="Q449" s="3"/>
      <c r="R449" s="3"/>
      <c r="S449" s="3" t="s">
        <v>130</v>
      </c>
      <c r="T449" s="3"/>
      <c r="U449" s="786">
        <v>330.3</v>
      </c>
      <c r="V449" s="3"/>
      <c r="W449" s="761"/>
      <c r="X449" s="3" t="s">
        <v>2067</v>
      </c>
      <c r="Y449" s="761">
        <v>44897</v>
      </c>
      <c r="Z449" s="761" t="s">
        <v>62</v>
      </c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spans="1:39">
      <c r="B450" s="747">
        <v>12</v>
      </c>
      <c r="C450" s="748" t="s">
        <v>1792</v>
      </c>
      <c r="D450" s="789">
        <v>200100333</v>
      </c>
      <c r="E450" s="3">
        <v>121812</v>
      </c>
      <c r="F450" s="749">
        <v>11</v>
      </c>
      <c r="G450" s="3" t="s">
        <v>128</v>
      </c>
      <c r="H450" s="3"/>
      <c r="I450" s="786">
        <f>158.3+155.8+154.8</f>
        <v>468.90000000000003</v>
      </c>
      <c r="J450" s="783"/>
      <c r="K450" s="3" t="s">
        <v>2067</v>
      </c>
      <c r="L450" s="790">
        <v>44901</v>
      </c>
      <c r="M450" s="761"/>
      <c r="N450" s="761"/>
      <c r="O450" s="761" t="s">
        <v>62</v>
      </c>
      <c r="P450" s="3" t="s">
        <v>2780</v>
      </c>
      <c r="Q450" s="3"/>
      <c r="R450" s="3"/>
      <c r="S450" s="3" t="s">
        <v>130</v>
      </c>
      <c r="T450" s="3"/>
      <c r="U450" s="786">
        <v>329.7</v>
      </c>
      <c r="V450" s="3"/>
      <c r="W450" s="761"/>
      <c r="X450" s="3" t="s">
        <v>2067</v>
      </c>
      <c r="Y450" s="761">
        <v>44900</v>
      </c>
      <c r="Z450" s="761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spans="1:39">
      <c r="B451" s="792">
        <v>12</v>
      </c>
      <c r="C451" s="793" t="s">
        <v>1792</v>
      </c>
      <c r="D451" s="794">
        <v>200100366</v>
      </c>
      <c r="E451" s="13">
        <v>122382</v>
      </c>
      <c r="F451" s="795">
        <v>12</v>
      </c>
      <c r="G451" s="13" t="s">
        <v>2781</v>
      </c>
      <c r="H451" s="13"/>
      <c r="I451" s="810">
        <v>454.32</v>
      </c>
      <c r="J451" s="811"/>
      <c r="K451" s="13" t="s">
        <v>2067</v>
      </c>
      <c r="L451" s="812">
        <v>44910</v>
      </c>
      <c r="M451" s="813"/>
      <c r="N451" s="813"/>
      <c r="O451" s="813" t="s">
        <v>62</v>
      </c>
      <c r="P451" s="13" t="s">
        <v>2782</v>
      </c>
      <c r="Q451" s="13"/>
      <c r="R451" s="13"/>
      <c r="S451" s="13"/>
      <c r="T451" s="810"/>
      <c r="U451" s="13"/>
      <c r="V451" s="13"/>
      <c r="W451" s="813"/>
      <c r="X451" s="813"/>
      <c r="Y451" s="813"/>
      <c r="Z451" s="813"/>
      <c r="AA451" s="826"/>
      <c r="AB451" s="826"/>
      <c r="AC451" s="826"/>
      <c r="AD451" s="826"/>
      <c r="AE451" s="826"/>
      <c r="AF451" s="826"/>
      <c r="AG451" s="826"/>
      <c r="AH451" s="826"/>
      <c r="AI451" s="826"/>
      <c r="AJ451" s="826"/>
      <c r="AK451" s="826"/>
      <c r="AL451" s="826"/>
      <c r="AM451" s="826"/>
    </row>
    <row r="452" spans="1:39" s="706" customFormat="1" ht="28.05" customHeight="1">
      <c r="A452" s="796"/>
      <c r="B452" s="797" t="s">
        <v>13</v>
      </c>
      <c r="C452" s="798" t="s">
        <v>2783</v>
      </c>
      <c r="D452" s="797"/>
      <c r="E452" s="797"/>
      <c r="P452" s="797"/>
      <c r="Q452" s="797"/>
    </row>
    <row r="453" spans="1:39">
      <c r="B453" s="799">
        <v>1</v>
      </c>
      <c r="C453" s="800" t="s">
        <v>1792</v>
      </c>
      <c r="D453" s="801">
        <v>200100395</v>
      </c>
      <c r="E453" s="1485" t="s">
        <v>2784</v>
      </c>
      <c r="F453" s="802">
        <v>1</v>
      </c>
      <c r="G453" s="8" t="s">
        <v>2781</v>
      </c>
      <c r="H453" s="803"/>
      <c r="I453" s="814">
        <v>465.48</v>
      </c>
      <c r="J453" s="803"/>
      <c r="K453" s="8" t="s">
        <v>2067</v>
      </c>
      <c r="L453" s="815">
        <v>44910</v>
      </c>
      <c r="M453" s="803"/>
      <c r="N453" s="803"/>
      <c r="O453" s="759" t="s">
        <v>62</v>
      </c>
      <c r="P453" s="8" t="s">
        <v>2785</v>
      </c>
      <c r="Q453" s="803"/>
      <c r="R453" s="1540" t="s">
        <v>2786</v>
      </c>
      <c r="S453" s="1541"/>
      <c r="T453" s="1541"/>
      <c r="U453" s="1541"/>
      <c r="V453" s="1541"/>
      <c r="W453" s="1542"/>
      <c r="X453" s="759"/>
      <c r="Y453" s="759"/>
      <c r="Z453" s="761" t="s">
        <v>62</v>
      </c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</row>
    <row r="454" spans="1:39">
      <c r="B454" s="747">
        <v>1</v>
      </c>
      <c r="C454" s="748" t="s">
        <v>1792</v>
      </c>
      <c r="D454" s="789">
        <v>200100396</v>
      </c>
      <c r="E454" s="1469" t="s">
        <v>2787</v>
      </c>
      <c r="F454" s="749">
        <v>2</v>
      </c>
      <c r="G454" s="3" t="s">
        <v>2781</v>
      </c>
      <c r="H454" s="804"/>
      <c r="I454" s="786">
        <v>464.54</v>
      </c>
      <c r="J454" s="804"/>
      <c r="K454" s="3" t="s">
        <v>2067</v>
      </c>
      <c r="L454" s="790">
        <v>44911</v>
      </c>
      <c r="M454" s="804"/>
      <c r="N454" s="804"/>
      <c r="O454" s="761" t="s">
        <v>62</v>
      </c>
      <c r="P454" s="3" t="s">
        <v>2788</v>
      </c>
      <c r="Q454" s="804"/>
      <c r="R454" s="1543"/>
      <c r="S454" s="1544"/>
      <c r="T454" s="1544"/>
      <c r="U454" s="1544"/>
      <c r="V454" s="1544"/>
      <c r="W454" s="1545"/>
      <c r="X454" s="761"/>
      <c r="Y454" s="761"/>
      <c r="Z454" s="761" t="s">
        <v>62</v>
      </c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spans="1:39">
      <c r="B455" s="747">
        <v>1</v>
      </c>
      <c r="C455" s="748" t="s">
        <v>1792</v>
      </c>
      <c r="D455" s="789">
        <v>200100480</v>
      </c>
      <c r="E455" s="1469" t="s">
        <v>2789</v>
      </c>
      <c r="F455" s="749">
        <v>3</v>
      </c>
      <c r="G455" s="3" t="s">
        <v>128</v>
      </c>
      <c r="H455" s="804"/>
      <c r="I455" s="786">
        <v>462</v>
      </c>
      <c r="J455" s="804"/>
      <c r="K455" s="3" t="s">
        <v>2067</v>
      </c>
      <c r="L455" s="790">
        <v>44911</v>
      </c>
      <c r="M455" s="804"/>
      <c r="N455" s="804"/>
      <c r="O455" s="761" t="s">
        <v>62</v>
      </c>
      <c r="P455" s="3" t="s">
        <v>2790</v>
      </c>
      <c r="Q455" s="804"/>
      <c r="R455" s="825"/>
      <c r="S455" s="3" t="s">
        <v>130</v>
      </c>
      <c r="T455" s="825"/>
      <c r="U455" s="786">
        <v>330.3</v>
      </c>
      <c r="V455" s="825"/>
      <c r="W455" s="825"/>
      <c r="X455" s="3" t="s">
        <v>2067</v>
      </c>
      <c r="Y455" s="761">
        <v>44911</v>
      </c>
      <c r="Z455" s="761" t="s">
        <v>62</v>
      </c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spans="1:39">
      <c r="B456" s="747">
        <v>1</v>
      </c>
      <c r="C456" s="748" t="s">
        <v>1792</v>
      </c>
      <c r="D456" s="789">
        <v>200100481</v>
      </c>
      <c r="E456" s="1469" t="s">
        <v>2791</v>
      </c>
      <c r="F456" s="749">
        <v>4</v>
      </c>
      <c r="G456" s="3" t="s">
        <v>60</v>
      </c>
      <c r="H456" s="804"/>
      <c r="I456" s="786">
        <v>461.3</v>
      </c>
      <c r="J456" s="804"/>
      <c r="K456" s="3" t="s">
        <v>2067</v>
      </c>
      <c r="L456" s="790">
        <v>44914</v>
      </c>
      <c r="M456" s="804"/>
      <c r="N456" s="804"/>
      <c r="O456" s="761" t="s">
        <v>62</v>
      </c>
      <c r="P456" s="3" t="s">
        <v>2792</v>
      </c>
      <c r="Q456" s="804"/>
      <c r="R456" s="825"/>
      <c r="S456" s="3" t="s">
        <v>130</v>
      </c>
      <c r="T456" s="825"/>
      <c r="U456" s="786">
        <v>330.3</v>
      </c>
      <c r="V456" s="825"/>
      <c r="W456" s="825"/>
      <c r="X456" s="3" t="s">
        <v>2067</v>
      </c>
      <c r="Y456" s="761">
        <v>44911</v>
      </c>
      <c r="Z456" s="761" t="s">
        <v>62</v>
      </c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spans="1:39">
      <c r="B457" s="747">
        <v>1</v>
      </c>
      <c r="C457" s="748" t="s">
        <v>1792</v>
      </c>
      <c r="D457" s="789">
        <v>200100482</v>
      </c>
      <c r="E457" s="1469" t="s">
        <v>2793</v>
      </c>
      <c r="F457" s="749">
        <v>5</v>
      </c>
      <c r="G457" s="3" t="s">
        <v>60</v>
      </c>
      <c r="H457" s="804"/>
      <c r="I457" s="786">
        <v>464.6</v>
      </c>
      <c r="J457" s="804"/>
      <c r="K457" s="3" t="s">
        <v>2067</v>
      </c>
      <c r="L457" s="790">
        <v>44914</v>
      </c>
      <c r="M457" s="804"/>
      <c r="N457" s="804"/>
      <c r="O457" s="761" t="s">
        <v>62</v>
      </c>
      <c r="P457" s="3" t="s">
        <v>2794</v>
      </c>
      <c r="Q457" s="804"/>
      <c r="R457" s="825"/>
      <c r="S457" s="3" t="s">
        <v>130</v>
      </c>
      <c r="T457" s="825"/>
      <c r="U457" s="786">
        <v>330.3</v>
      </c>
      <c r="V457" s="825"/>
      <c r="W457" s="825"/>
      <c r="X457" s="3" t="s">
        <v>2067</v>
      </c>
      <c r="Y457" s="761">
        <v>44915</v>
      </c>
      <c r="Z457" s="761" t="s">
        <v>62</v>
      </c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spans="1:39">
      <c r="B458" s="747">
        <v>1</v>
      </c>
      <c r="C458" s="748" t="s">
        <v>1792</v>
      </c>
      <c r="D458" s="789">
        <v>200100483</v>
      </c>
      <c r="E458" s="1469" t="s">
        <v>2795</v>
      </c>
      <c r="F458" s="749">
        <v>6</v>
      </c>
      <c r="G458" s="3" t="s">
        <v>60</v>
      </c>
      <c r="H458" s="804"/>
      <c r="I458" s="786">
        <v>459</v>
      </c>
      <c r="J458" s="804"/>
      <c r="K458" s="3" t="s">
        <v>2067</v>
      </c>
      <c r="L458" s="790">
        <v>44915</v>
      </c>
      <c r="M458" s="804"/>
      <c r="N458" s="804"/>
      <c r="O458" s="761" t="s">
        <v>62</v>
      </c>
      <c r="P458" s="3" t="s">
        <v>2796</v>
      </c>
      <c r="Q458" s="804"/>
      <c r="R458" s="825"/>
      <c r="S458" s="3" t="s">
        <v>130</v>
      </c>
      <c r="T458" s="825"/>
      <c r="U458" s="786">
        <v>330.4</v>
      </c>
      <c r="V458" s="825"/>
      <c r="W458" s="825"/>
      <c r="X458" s="3" t="s">
        <v>2067</v>
      </c>
      <c r="Y458" s="761">
        <v>44915</v>
      </c>
      <c r="Z458" s="761" t="s">
        <v>62</v>
      </c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spans="1:39">
      <c r="B459" s="747">
        <v>1</v>
      </c>
      <c r="C459" s="748" t="s">
        <v>1792</v>
      </c>
      <c r="D459" s="789">
        <v>200100484</v>
      </c>
      <c r="E459" s="1469" t="s">
        <v>2797</v>
      </c>
      <c r="F459" s="749">
        <v>7</v>
      </c>
      <c r="G459" s="3" t="s">
        <v>128</v>
      </c>
      <c r="H459" s="804"/>
      <c r="I459" s="786">
        <v>464.1</v>
      </c>
      <c r="J459" s="804"/>
      <c r="K459" s="3" t="s">
        <v>2067</v>
      </c>
      <c r="L459" s="790">
        <v>44915</v>
      </c>
      <c r="M459" s="804"/>
      <c r="N459" s="804"/>
      <c r="O459" s="761" t="s">
        <v>62</v>
      </c>
      <c r="P459" s="3" t="s">
        <v>2798</v>
      </c>
      <c r="Q459" s="804"/>
      <c r="R459" s="825"/>
      <c r="S459" s="3" t="s">
        <v>130</v>
      </c>
      <c r="T459" s="825"/>
      <c r="U459" s="786">
        <v>330.3</v>
      </c>
      <c r="V459" s="825"/>
      <c r="W459" s="825"/>
      <c r="X459" s="3" t="s">
        <v>2067</v>
      </c>
      <c r="Y459" s="761">
        <v>44915</v>
      </c>
      <c r="Z459" s="761" t="s">
        <v>62</v>
      </c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spans="1:39">
      <c r="B460" s="747">
        <v>1</v>
      </c>
      <c r="C460" s="748" t="s">
        <v>1792</v>
      </c>
      <c r="D460" s="789">
        <v>200100485</v>
      </c>
      <c r="E460" s="1469" t="s">
        <v>2799</v>
      </c>
      <c r="F460" s="749">
        <v>8</v>
      </c>
      <c r="G460" s="3" t="s">
        <v>128</v>
      </c>
      <c r="H460" s="804"/>
      <c r="I460" s="786">
        <v>459.7</v>
      </c>
      <c r="J460" s="804"/>
      <c r="K460" s="3" t="s">
        <v>2067</v>
      </c>
      <c r="L460" s="790">
        <v>44926</v>
      </c>
      <c r="M460" s="804"/>
      <c r="N460" s="804"/>
      <c r="O460" s="761" t="s">
        <v>62</v>
      </c>
      <c r="P460" s="3" t="s">
        <v>2800</v>
      </c>
      <c r="Q460" s="804"/>
      <c r="R460" s="825"/>
      <c r="S460" s="3" t="s">
        <v>130</v>
      </c>
      <c r="T460" s="825"/>
      <c r="U460" s="786">
        <v>330.6</v>
      </c>
      <c r="V460" s="825"/>
      <c r="W460" s="825"/>
      <c r="X460" s="3" t="s">
        <v>2067</v>
      </c>
      <c r="Y460" s="761">
        <v>44926</v>
      </c>
      <c r="Z460" s="761" t="s">
        <v>62</v>
      </c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spans="1:39">
      <c r="B461" s="747">
        <v>1</v>
      </c>
      <c r="C461" s="748" t="s">
        <v>1792</v>
      </c>
      <c r="D461" s="789">
        <v>200100486</v>
      </c>
      <c r="E461" s="1469" t="s">
        <v>2801</v>
      </c>
      <c r="F461" s="749">
        <v>9</v>
      </c>
      <c r="G461" s="3" t="s">
        <v>128</v>
      </c>
      <c r="H461" s="804"/>
      <c r="I461" s="786">
        <v>461.5</v>
      </c>
      <c r="J461" s="804"/>
      <c r="K461" s="3" t="s">
        <v>2067</v>
      </c>
      <c r="L461" s="790">
        <v>44926</v>
      </c>
      <c r="M461" s="804"/>
      <c r="N461" s="804"/>
      <c r="O461" s="761" t="s">
        <v>62</v>
      </c>
      <c r="P461" s="3" t="s">
        <v>2802</v>
      </c>
      <c r="Q461" s="804"/>
      <c r="R461" s="825"/>
      <c r="S461" s="3" t="s">
        <v>130</v>
      </c>
      <c r="T461" s="825"/>
      <c r="U461" s="786">
        <v>330.6</v>
      </c>
      <c r="V461" s="825"/>
      <c r="W461" s="825"/>
      <c r="X461" s="3" t="s">
        <v>2067</v>
      </c>
      <c r="Y461" s="761">
        <v>44926</v>
      </c>
      <c r="Z461" s="761" t="s">
        <v>62</v>
      </c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spans="1:39">
      <c r="B462" s="747">
        <v>1</v>
      </c>
      <c r="C462" s="748" t="s">
        <v>1792</v>
      </c>
      <c r="D462" s="789">
        <v>200100665</v>
      </c>
      <c r="E462" s="1469" t="s">
        <v>2803</v>
      </c>
      <c r="F462" s="749">
        <v>10</v>
      </c>
      <c r="G462" s="3" t="s">
        <v>128</v>
      </c>
      <c r="H462" s="804"/>
      <c r="I462" s="786">
        <v>462.5</v>
      </c>
      <c r="J462" s="804"/>
      <c r="K462" s="3" t="s">
        <v>2094</v>
      </c>
      <c r="L462" s="790">
        <v>44929</v>
      </c>
      <c r="M462" s="804"/>
      <c r="N462" s="804"/>
      <c r="O462" s="761" t="s">
        <v>62</v>
      </c>
      <c r="P462" s="3" t="s">
        <v>2804</v>
      </c>
      <c r="Q462" s="804"/>
      <c r="R462" s="825"/>
      <c r="S462" s="3" t="s">
        <v>130</v>
      </c>
      <c r="T462" s="825"/>
      <c r="U462" s="785">
        <v>330.2</v>
      </c>
      <c r="V462" s="825"/>
      <c r="W462" s="825"/>
      <c r="X462" s="3" t="s">
        <v>2094</v>
      </c>
      <c r="Y462" s="761">
        <v>44928</v>
      </c>
      <c r="Z462" s="761" t="s">
        <v>62</v>
      </c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spans="1:39">
      <c r="B463" s="747">
        <v>1</v>
      </c>
      <c r="C463" s="748" t="s">
        <v>1792</v>
      </c>
      <c r="D463" s="789">
        <v>200100666</v>
      </c>
      <c r="E463" s="1469" t="s">
        <v>2805</v>
      </c>
      <c r="F463" s="749">
        <v>11</v>
      </c>
      <c r="G463" s="3" t="s">
        <v>128</v>
      </c>
      <c r="H463" s="804"/>
      <c r="I463" s="785">
        <v>465.3</v>
      </c>
      <c r="J463" s="804"/>
      <c r="K463" s="3" t="s">
        <v>2094</v>
      </c>
      <c r="L463" s="790">
        <v>44929</v>
      </c>
      <c r="M463" s="804"/>
      <c r="N463" s="804"/>
      <c r="O463" s="761" t="s">
        <v>62</v>
      </c>
      <c r="P463" s="3" t="s">
        <v>2806</v>
      </c>
      <c r="Q463" s="804"/>
      <c r="R463" s="825"/>
      <c r="S463" s="3" t="s">
        <v>130</v>
      </c>
      <c r="T463" s="825"/>
      <c r="U463" s="785">
        <v>330.6</v>
      </c>
      <c r="V463" s="825"/>
      <c r="W463" s="825"/>
      <c r="X463" s="3" t="s">
        <v>2094</v>
      </c>
      <c r="Y463" s="761">
        <v>44929</v>
      </c>
      <c r="Z463" s="761" t="s">
        <v>62</v>
      </c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spans="1:39">
      <c r="B464" s="747">
        <v>1</v>
      </c>
      <c r="C464" s="748" t="s">
        <v>1792</v>
      </c>
      <c r="D464" s="789">
        <v>200100667</v>
      </c>
      <c r="E464" s="1469" t="s">
        <v>2807</v>
      </c>
      <c r="F464" s="749">
        <v>12</v>
      </c>
      <c r="G464" s="3" t="s">
        <v>128</v>
      </c>
      <c r="H464" s="804"/>
      <c r="I464" s="785">
        <v>463.9</v>
      </c>
      <c r="J464" s="804"/>
      <c r="K464" s="3" t="s">
        <v>2094</v>
      </c>
      <c r="L464" s="790">
        <v>44929</v>
      </c>
      <c r="M464" s="804"/>
      <c r="N464" s="804"/>
      <c r="O464" s="761" t="s">
        <v>62</v>
      </c>
      <c r="P464" s="3" t="s">
        <v>2808</v>
      </c>
      <c r="Q464" s="804"/>
      <c r="R464" s="825"/>
      <c r="S464" s="3" t="s">
        <v>130</v>
      </c>
      <c r="T464" s="825"/>
      <c r="U464" s="3">
        <v>330.4</v>
      </c>
      <c r="V464" s="825"/>
      <c r="W464" s="825"/>
      <c r="X464" s="3" t="s">
        <v>2094</v>
      </c>
      <c r="Y464" s="761">
        <v>44929</v>
      </c>
      <c r="Z464" s="761" t="s">
        <v>62</v>
      </c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spans="2:39">
      <c r="B465" s="747">
        <v>1</v>
      </c>
      <c r="C465" s="748" t="s">
        <v>1792</v>
      </c>
      <c r="D465" s="789">
        <v>200100669</v>
      </c>
      <c r="E465" s="1469" t="s">
        <v>2809</v>
      </c>
      <c r="F465" s="749">
        <v>13</v>
      </c>
      <c r="G465" s="3" t="s">
        <v>128</v>
      </c>
      <c r="H465" s="804"/>
      <c r="I465" s="786">
        <v>469.3</v>
      </c>
      <c r="J465" s="804"/>
      <c r="K465" s="3" t="s">
        <v>2094</v>
      </c>
      <c r="L465" s="790">
        <v>44930</v>
      </c>
      <c r="M465" s="804"/>
      <c r="N465" s="804"/>
      <c r="O465" s="761" t="s">
        <v>62</v>
      </c>
      <c r="P465" s="3" t="s">
        <v>2810</v>
      </c>
      <c r="Q465" s="804"/>
      <c r="R465" s="825"/>
      <c r="S465" s="3" t="s">
        <v>130</v>
      </c>
      <c r="T465" s="825"/>
      <c r="U465" s="762">
        <v>330.1</v>
      </c>
      <c r="V465" s="825"/>
      <c r="W465" s="825"/>
      <c r="X465" s="3" t="s">
        <v>2094</v>
      </c>
      <c r="Y465" s="761">
        <v>44930</v>
      </c>
      <c r="Z465" s="761" t="s">
        <v>62</v>
      </c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spans="2:39">
      <c r="B466" s="747">
        <v>1</v>
      </c>
      <c r="C466" s="748" t="s">
        <v>1792</v>
      </c>
      <c r="D466" s="789">
        <v>200100670</v>
      </c>
      <c r="E466" s="1469" t="s">
        <v>2811</v>
      </c>
      <c r="F466" s="749">
        <v>14</v>
      </c>
      <c r="G466" s="3" t="s">
        <v>128</v>
      </c>
      <c r="H466" s="804"/>
      <c r="I466" s="786">
        <v>467.2</v>
      </c>
      <c r="J466" s="804"/>
      <c r="K466" s="3" t="s">
        <v>2094</v>
      </c>
      <c r="L466" s="790">
        <v>44930</v>
      </c>
      <c r="M466" s="804"/>
      <c r="N466" s="804"/>
      <c r="O466" s="761" t="s">
        <v>62</v>
      </c>
      <c r="P466" s="3" t="s">
        <v>2812</v>
      </c>
      <c r="Q466" s="804"/>
      <c r="R466" s="825"/>
      <c r="S466" s="3" t="s">
        <v>130</v>
      </c>
      <c r="T466" s="825"/>
      <c r="U466" s="762">
        <v>330</v>
      </c>
      <c r="V466" s="825"/>
      <c r="W466" s="825"/>
      <c r="X466" s="3" t="s">
        <v>2094</v>
      </c>
      <c r="Y466" s="761">
        <v>44930</v>
      </c>
      <c r="Z466" s="761" t="s">
        <v>62</v>
      </c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spans="2:39">
      <c r="B467" s="747">
        <v>1</v>
      </c>
      <c r="C467" s="748" t="s">
        <v>1792</v>
      </c>
      <c r="D467" s="789">
        <v>200100671</v>
      </c>
      <c r="E467" s="1469" t="s">
        <v>2813</v>
      </c>
      <c r="F467" s="749">
        <v>15</v>
      </c>
      <c r="G467" s="3" t="s">
        <v>128</v>
      </c>
      <c r="H467" s="804"/>
      <c r="I467" s="786">
        <v>460.4</v>
      </c>
      <c r="J467" s="804"/>
      <c r="K467" s="3" t="s">
        <v>2094</v>
      </c>
      <c r="L467" s="790">
        <v>44931</v>
      </c>
      <c r="M467" s="804"/>
      <c r="N467" s="804"/>
      <c r="O467" s="761" t="s">
        <v>62</v>
      </c>
      <c r="P467" s="3" t="s">
        <v>2814</v>
      </c>
      <c r="Q467" s="804"/>
      <c r="R467" s="825"/>
      <c r="S467" s="3" t="s">
        <v>130</v>
      </c>
      <c r="T467" s="825"/>
      <c r="U467" s="786">
        <v>330.2</v>
      </c>
      <c r="V467" s="825"/>
      <c r="W467" s="825"/>
      <c r="X467" s="3" t="s">
        <v>2094</v>
      </c>
      <c r="Y467" s="761">
        <v>44931</v>
      </c>
      <c r="Z467" s="761" t="s">
        <v>62</v>
      </c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spans="2:39">
      <c r="B468" s="747">
        <v>1</v>
      </c>
      <c r="C468" s="748" t="s">
        <v>1792</v>
      </c>
      <c r="D468" s="789">
        <v>200100672</v>
      </c>
      <c r="E468" s="1469" t="s">
        <v>2815</v>
      </c>
      <c r="F468" s="749">
        <v>16</v>
      </c>
      <c r="G468" s="3" t="s">
        <v>128</v>
      </c>
      <c r="H468" s="804"/>
      <c r="I468" s="786">
        <v>464.9</v>
      </c>
      <c r="J468" s="804"/>
      <c r="K468" s="3" t="s">
        <v>2094</v>
      </c>
      <c r="L468" s="790">
        <v>44931</v>
      </c>
      <c r="M468" s="804"/>
      <c r="N468" s="804"/>
      <c r="O468" s="761" t="s">
        <v>62</v>
      </c>
      <c r="P468" s="3" t="s">
        <v>2816</v>
      </c>
      <c r="Q468" s="804"/>
      <c r="R468" s="825"/>
      <c r="S468" s="3" t="s">
        <v>130</v>
      </c>
      <c r="T468" s="825"/>
      <c r="U468" s="786">
        <v>330.1</v>
      </c>
      <c r="V468" s="825"/>
      <c r="W468" s="825"/>
      <c r="X468" s="3" t="s">
        <v>2094</v>
      </c>
      <c r="Y468" s="761">
        <v>44931</v>
      </c>
      <c r="Z468" s="761" t="s">
        <v>62</v>
      </c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spans="2:39">
      <c r="B469" s="747">
        <v>1</v>
      </c>
      <c r="C469" s="748" t="s">
        <v>1792</v>
      </c>
      <c r="D469" s="3">
        <v>200100726</v>
      </c>
      <c r="E469" s="1469" t="s">
        <v>2817</v>
      </c>
      <c r="F469" s="749">
        <v>17</v>
      </c>
      <c r="G469" s="3" t="s">
        <v>128</v>
      </c>
      <c r="H469" s="804"/>
      <c r="I469" s="786">
        <v>463.6</v>
      </c>
      <c r="J469" s="804"/>
      <c r="K469" s="3" t="s">
        <v>2094</v>
      </c>
      <c r="L469" s="790">
        <v>44932</v>
      </c>
      <c r="M469" s="804"/>
      <c r="N469" s="804"/>
      <c r="O469" s="761" t="s">
        <v>62</v>
      </c>
      <c r="P469" s="3" t="s">
        <v>2818</v>
      </c>
      <c r="Q469" s="804"/>
      <c r="R469" s="825"/>
      <c r="S469" s="3" t="s">
        <v>130</v>
      </c>
      <c r="T469" s="825"/>
      <c r="U469" s="786">
        <v>330</v>
      </c>
      <c r="V469" s="825"/>
      <c r="W469" s="825"/>
      <c r="X469" s="3" t="s">
        <v>2094</v>
      </c>
      <c r="Y469" s="761">
        <v>44932</v>
      </c>
      <c r="Z469" s="761" t="s">
        <v>62</v>
      </c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spans="2:39">
      <c r="B470" s="747">
        <v>1</v>
      </c>
      <c r="C470" s="748" t="s">
        <v>1792</v>
      </c>
      <c r="D470" s="3">
        <v>200100727</v>
      </c>
      <c r="E470" s="1469" t="s">
        <v>2819</v>
      </c>
      <c r="F470" s="749">
        <v>18</v>
      </c>
      <c r="G470" s="3" t="s">
        <v>128</v>
      </c>
      <c r="H470" s="804"/>
      <c r="I470" s="786">
        <v>464.5</v>
      </c>
      <c r="J470" s="804"/>
      <c r="K470" s="3" t="s">
        <v>2094</v>
      </c>
      <c r="L470" s="790">
        <v>44932</v>
      </c>
      <c r="M470" s="804"/>
      <c r="N470" s="804"/>
      <c r="O470" s="761" t="s">
        <v>62</v>
      </c>
      <c r="P470" s="3" t="s">
        <v>2820</v>
      </c>
      <c r="Q470" s="804"/>
      <c r="R470" s="825"/>
      <c r="S470" s="3" t="s">
        <v>130</v>
      </c>
      <c r="T470" s="825"/>
      <c r="U470" s="786">
        <v>330.4</v>
      </c>
      <c r="V470" s="825"/>
      <c r="W470" s="825"/>
      <c r="X470" s="3" t="s">
        <v>2094</v>
      </c>
      <c r="Y470" s="761">
        <v>44932</v>
      </c>
      <c r="Z470" s="761" t="s">
        <v>62</v>
      </c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spans="2:39">
      <c r="B471" s="747">
        <v>1</v>
      </c>
      <c r="C471" s="748" t="s">
        <v>1792</v>
      </c>
      <c r="D471" s="3">
        <v>200100728</v>
      </c>
      <c r="E471" s="1469" t="s">
        <v>2821</v>
      </c>
      <c r="F471" s="749">
        <v>19</v>
      </c>
      <c r="G471" s="3" t="s">
        <v>128</v>
      </c>
      <c r="H471" s="804"/>
      <c r="I471" s="786">
        <v>464.1</v>
      </c>
      <c r="J471" s="804"/>
      <c r="K471" s="3" t="s">
        <v>2094</v>
      </c>
      <c r="L471" s="790">
        <v>44935</v>
      </c>
      <c r="M471" s="804"/>
      <c r="N471" s="804"/>
      <c r="O471" s="761" t="s">
        <v>62</v>
      </c>
      <c r="P471" s="3" t="s">
        <v>2822</v>
      </c>
      <c r="Q471" s="804"/>
      <c r="R471" s="825"/>
      <c r="S471" s="3" t="s">
        <v>130</v>
      </c>
      <c r="T471" s="825"/>
      <c r="U471" s="786">
        <v>329.9</v>
      </c>
      <c r="V471" s="825"/>
      <c r="W471" s="825"/>
      <c r="X471" s="3" t="s">
        <v>2094</v>
      </c>
      <c r="Y471" s="761">
        <v>44935</v>
      </c>
      <c r="Z471" s="761" t="s">
        <v>62</v>
      </c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spans="2:39">
      <c r="B472" s="747">
        <v>1</v>
      </c>
      <c r="C472" s="748" t="s">
        <v>1792</v>
      </c>
      <c r="D472" s="3">
        <v>200100729</v>
      </c>
      <c r="E472" s="1469" t="s">
        <v>2823</v>
      </c>
      <c r="F472" s="749">
        <v>20</v>
      </c>
      <c r="G472" s="3" t="s">
        <v>128</v>
      </c>
      <c r="H472" s="804"/>
      <c r="I472" s="786">
        <v>459.4</v>
      </c>
      <c r="J472" s="804"/>
      <c r="K472" s="3" t="s">
        <v>2094</v>
      </c>
      <c r="L472" s="790">
        <v>44935</v>
      </c>
      <c r="M472" s="804"/>
      <c r="N472" s="804"/>
      <c r="O472" s="761" t="s">
        <v>62</v>
      </c>
      <c r="P472" s="3" t="s">
        <v>2824</v>
      </c>
      <c r="Q472" s="804"/>
      <c r="R472" s="825"/>
      <c r="S472" s="3" t="s">
        <v>130</v>
      </c>
      <c r="T472" s="825"/>
      <c r="U472" s="786">
        <v>330.6</v>
      </c>
      <c r="V472" s="825"/>
      <c r="W472" s="825"/>
      <c r="X472" s="3" t="s">
        <v>2094</v>
      </c>
      <c r="Y472" s="761">
        <v>44935</v>
      </c>
      <c r="Z472" s="761" t="s">
        <v>62</v>
      </c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spans="2:39">
      <c r="B473" s="747">
        <v>1</v>
      </c>
      <c r="C473" s="748" t="s">
        <v>1792</v>
      </c>
      <c r="D473" s="3">
        <v>200100730</v>
      </c>
      <c r="E473" s="1469" t="s">
        <v>2825</v>
      </c>
      <c r="F473" s="749">
        <v>21</v>
      </c>
      <c r="G473" s="3" t="s">
        <v>128</v>
      </c>
      <c r="H473" s="804"/>
      <c r="I473" s="786">
        <v>469.7</v>
      </c>
      <c r="J473" s="804"/>
      <c r="K473" s="3" t="s">
        <v>2094</v>
      </c>
      <c r="L473" s="790">
        <v>44935</v>
      </c>
      <c r="M473" s="804"/>
      <c r="N473" s="804"/>
      <c r="O473" s="761" t="s">
        <v>62</v>
      </c>
      <c r="P473" s="3" t="s">
        <v>2826</v>
      </c>
      <c r="Q473" s="804"/>
      <c r="R473" s="825"/>
      <c r="S473" s="3" t="s">
        <v>130</v>
      </c>
      <c r="T473" s="825"/>
      <c r="U473" s="786">
        <v>330.6</v>
      </c>
      <c r="V473" s="825"/>
      <c r="W473" s="825"/>
      <c r="X473" s="3" t="s">
        <v>2094</v>
      </c>
      <c r="Y473" s="761">
        <v>44935</v>
      </c>
      <c r="Z473" s="761" t="s">
        <v>62</v>
      </c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spans="2:39">
      <c r="B474" s="747">
        <v>1</v>
      </c>
      <c r="C474" s="748" t="s">
        <v>1792</v>
      </c>
      <c r="D474" s="3">
        <v>200100764</v>
      </c>
      <c r="E474" s="1469" t="s">
        <v>2827</v>
      </c>
      <c r="F474" s="749">
        <v>22</v>
      </c>
      <c r="G474" s="3" t="s">
        <v>128</v>
      </c>
      <c r="H474" s="804"/>
      <c r="I474" s="762">
        <v>467.6</v>
      </c>
      <c r="J474" s="804"/>
      <c r="K474" s="3" t="s">
        <v>2094</v>
      </c>
      <c r="L474" s="790">
        <v>44935</v>
      </c>
      <c r="M474" s="804"/>
      <c r="N474" s="804"/>
      <c r="O474" s="761" t="s">
        <v>62</v>
      </c>
      <c r="P474" s="3" t="s">
        <v>2828</v>
      </c>
      <c r="Q474" s="804"/>
      <c r="R474" s="825"/>
      <c r="S474" s="3" t="s">
        <v>130</v>
      </c>
      <c r="T474" s="825"/>
      <c r="U474" s="786">
        <v>330</v>
      </c>
      <c r="V474" s="825"/>
      <c r="W474" s="825"/>
      <c r="X474" s="3" t="s">
        <v>2094</v>
      </c>
      <c r="Y474" s="761">
        <v>44936</v>
      </c>
      <c r="Z474" s="761" t="s">
        <v>62</v>
      </c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spans="2:39">
      <c r="B475" s="747">
        <v>1</v>
      </c>
      <c r="C475" s="748" t="s">
        <v>1792</v>
      </c>
      <c r="D475" s="3">
        <v>200100765</v>
      </c>
      <c r="E475" s="1469" t="s">
        <v>2829</v>
      </c>
      <c r="F475" s="749">
        <v>23</v>
      </c>
      <c r="G475" s="3" t="s">
        <v>128</v>
      </c>
      <c r="H475" s="804"/>
      <c r="I475" s="762">
        <v>465.9</v>
      </c>
      <c r="J475" s="804"/>
      <c r="K475" s="3" t="s">
        <v>2094</v>
      </c>
      <c r="L475" s="790">
        <v>44935</v>
      </c>
      <c r="M475" s="804"/>
      <c r="N475" s="804"/>
      <c r="O475" s="761" t="s">
        <v>62</v>
      </c>
      <c r="P475" s="3" t="s">
        <v>2830</v>
      </c>
      <c r="Q475" s="804"/>
      <c r="R475" s="825"/>
      <c r="S475" s="3" t="s">
        <v>130</v>
      </c>
      <c r="T475" s="825"/>
      <c r="U475" s="786">
        <v>329.7</v>
      </c>
      <c r="V475" s="825"/>
      <c r="W475" s="825"/>
      <c r="X475" s="3" t="s">
        <v>2094</v>
      </c>
      <c r="Y475" s="761">
        <v>44936</v>
      </c>
      <c r="Z475" s="761" t="s">
        <v>62</v>
      </c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spans="2:39">
      <c r="B476" s="747">
        <v>1</v>
      </c>
      <c r="C476" s="748" t="s">
        <v>1792</v>
      </c>
      <c r="D476" s="3">
        <v>200100766</v>
      </c>
      <c r="E476" s="1469" t="s">
        <v>2831</v>
      </c>
      <c r="F476" s="749">
        <v>24</v>
      </c>
      <c r="G476" s="3" t="s">
        <v>128</v>
      </c>
      <c r="H476" s="804"/>
      <c r="I476" s="786">
        <v>464.1</v>
      </c>
      <c r="J476" s="804"/>
      <c r="K476" s="3" t="s">
        <v>2094</v>
      </c>
      <c r="L476" s="790">
        <v>44936</v>
      </c>
      <c r="M476" s="804"/>
      <c r="N476" s="804"/>
      <c r="O476" s="761" t="s">
        <v>62</v>
      </c>
      <c r="P476" s="3" t="s">
        <v>2832</v>
      </c>
      <c r="Q476" s="804"/>
      <c r="R476" s="825"/>
      <c r="S476" s="3" t="s">
        <v>130</v>
      </c>
      <c r="T476" s="825"/>
      <c r="U476" s="786">
        <v>330.4</v>
      </c>
      <c r="V476" s="825"/>
      <c r="W476" s="825"/>
      <c r="X476" s="3" t="s">
        <v>2094</v>
      </c>
      <c r="Y476" s="761">
        <v>44937</v>
      </c>
      <c r="Z476" s="761" t="s">
        <v>62</v>
      </c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spans="2:39">
      <c r="B477" s="747">
        <v>1</v>
      </c>
      <c r="C477" s="748" t="s">
        <v>1792</v>
      </c>
      <c r="D477" s="3">
        <v>200100746</v>
      </c>
      <c r="E477" s="1469" t="s">
        <v>2833</v>
      </c>
      <c r="F477" s="749">
        <v>25</v>
      </c>
      <c r="G477" s="3" t="s">
        <v>128</v>
      </c>
      <c r="H477" s="804"/>
      <c r="I477" s="786">
        <v>463</v>
      </c>
      <c r="J477" s="804"/>
      <c r="K477" s="3" t="s">
        <v>2094</v>
      </c>
      <c r="L477" s="790">
        <v>44936</v>
      </c>
      <c r="M477" s="804"/>
      <c r="N477" s="804"/>
      <c r="O477" s="761" t="s">
        <v>62</v>
      </c>
      <c r="P477" s="3" t="s">
        <v>2834</v>
      </c>
      <c r="Q477" s="804"/>
      <c r="R477" s="825"/>
      <c r="S477" s="3" t="s">
        <v>130</v>
      </c>
      <c r="T477" s="825"/>
      <c r="U477" s="786">
        <v>329.8</v>
      </c>
      <c r="V477" s="825"/>
      <c r="W477" s="825"/>
      <c r="X477" s="3" t="s">
        <v>2094</v>
      </c>
      <c r="Y477" s="761">
        <v>44937</v>
      </c>
      <c r="Z477" s="761" t="s">
        <v>62</v>
      </c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spans="2:39">
      <c r="B478" s="747">
        <v>1</v>
      </c>
      <c r="C478" s="748" t="s">
        <v>1792</v>
      </c>
      <c r="D478" s="3">
        <v>200100747</v>
      </c>
      <c r="E478" s="1469" t="s">
        <v>2835</v>
      </c>
      <c r="F478" s="749">
        <v>26</v>
      </c>
      <c r="G478" s="3" t="s">
        <v>128</v>
      </c>
      <c r="H478" s="804"/>
      <c r="I478" s="786">
        <v>460.4</v>
      </c>
      <c r="J478" s="804"/>
      <c r="K478" s="3" t="s">
        <v>2094</v>
      </c>
      <c r="L478" s="790">
        <v>44936</v>
      </c>
      <c r="M478" s="804"/>
      <c r="N478" s="804"/>
      <c r="O478" s="761" t="s">
        <v>62</v>
      </c>
      <c r="P478" s="3" t="s">
        <v>2836</v>
      </c>
      <c r="Q478" s="804"/>
      <c r="R478" s="825"/>
      <c r="S478" s="3" t="s">
        <v>130</v>
      </c>
      <c r="T478" s="825"/>
      <c r="U478" s="786">
        <v>329.9</v>
      </c>
      <c r="V478" s="825"/>
      <c r="W478" s="825"/>
      <c r="X478" s="3" t="s">
        <v>2094</v>
      </c>
      <c r="Y478" s="761">
        <v>44937</v>
      </c>
      <c r="Z478" s="761" t="s">
        <v>62</v>
      </c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spans="2:39">
      <c r="B479" s="747">
        <v>1</v>
      </c>
      <c r="C479" s="748" t="s">
        <v>1792</v>
      </c>
      <c r="D479" s="3">
        <v>200100748</v>
      </c>
      <c r="E479" s="1469" t="s">
        <v>2837</v>
      </c>
      <c r="F479" s="749">
        <v>27</v>
      </c>
      <c r="G479" s="3" t="s">
        <v>128</v>
      </c>
      <c r="H479" s="804"/>
      <c r="I479" s="786">
        <v>464.2</v>
      </c>
      <c r="J479" s="804"/>
      <c r="K479" s="3" t="s">
        <v>2094</v>
      </c>
      <c r="L479" s="790">
        <v>44936</v>
      </c>
      <c r="M479" s="804"/>
      <c r="N479" s="804"/>
      <c r="O479" s="761" t="s">
        <v>62</v>
      </c>
      <c r="P479" s="3" t="s">
        <v>2838</v>
      </c>
      <c r="Q479" s="804"/>
      <c r="R479" s="825"/>
      <c r="S479" s="3" t="s">
        <v>130</v>
      </c>
      <c r="T479" s="825"/>
      <c r="U479" s="786">
        <v>330.5</v>
      </c>
      <c r="V479" s="825"/>
      <c r="W479" s="825"/>
      <c r="X479" s="3" t="s">
        <v>2094</v>
      </c>
      <c r="Y479" s="761">
        <v>44937</v>
      </c>
      <c r="Z479" s="761" t="s">
        <v>62</v>
      </c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spans="2:39">
      <c r="B480" s="747">
        <v>1</v>
      </c>
      <c r="C480" s="748" t="s">
        <v>1792</v>
      </c>
      <c r="D480" s="3">
        <v>200100749</v>
      </c>
      <c r="E480" s="1469" t="s">
        <v>2839</v>
      </c>
      <c r="F480" s="749">
        <v>28</v>
      </c>
      <c r="G480" s="3" t="s">
        <v>128</v>
      </c>
      <c r="H480" s="804"/>
      <c r="I480" s="762">
        <v>464.9</v>
      </c>
      <c r="J480" s="804"/>
      <c r="K480" s="3" t="s">
        <v>2094</v>
      </c>
      <c r="L480" s="790">
        <v>44936</v>
      </c>
      <c r="M480" s="804"/>
      <c r="N480" s="804"/>
      <c r="O480" s="761" t="s">
        <v>62</v>
      </c>
      <c r="P480" s="3" t="s">
        <v>2840</v>
      </c>
      <c r="Q480" s="804"/>
      <c r="R480" s="825"/>
      <c r="S480" s="3" t="s">
        <v>130</v>
      </c>
      <c r="T480" s="825"/>
      <c r="U480" s="786">
        <v>330</v>
      </c>
      <c r="V480" s="825"/>
      <c r="W480" s="825"/>
      <c r="X480" s="3" t="s">
        <v>2094</v>
      </c>
      <c r="Y480" s="761">
        <v>44937</v>
      </c>
      <c r="Z480" s="761" t="s">
        <v>62</v>
      </c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spans="1:39">
      <c r="B481" s="747">
        <v>1</v>
      </c>
      <c r="C481" s="748" t="s">
        <v>1792</v>
      </c>
      <c r="D481" s="3">
        <v>200100750</v>
      </c>
      <c r="E481" s="1469" t="s">
        <v>2841</v>
      </c>
      <c r="F481" s="749">
        <v>29</v>
      </c>
      <c r="G481" s="3" t="s">
        <v>128</v>
      </c>
      <c r="H481" s="804"/>
      <c r="I481" s="762">
        <v>463.7</v>
      </c>
      <c r="J481" s="804"/>
      <c r="K481" s="3" t="s">
        <v>2094</v>
      </c>
      <c r="L481" s="790">
        <v>44936</v>
      </c>
      <c r="M481" s="804"/>
      <c r="N481" s="804"/>
      <c r="O481" s="761" t="s">
        <v>62</v>
      </c>
      <c r="P481" s="3" t="s">
        <v>2842</v>
      </c>
      <c r="Q481" s="804"/>
      <c r="R481" s="825"/>
      <c r="S481" s="3" t="s">
        <v>130</v>
      </c>
      <c r="T481" s="825"/>
      <c r="U481" s="762">
        <v>329.9</v>
      </c>
      <c r="V481" s="825"/>
      <c r="W481" s="825"/>
      <c r="X481" s="3" t="s">
        <v>2094</v>
      </c>
      <c r="Y481" s="761">
        <v>44937</v>
      </c>
      <c r="Z481" s="761" t="s">
        <v>62</v>
      </c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spans="1:39">
      <c r="B482" s="747">
        <v>1</v>
      </c>
      <c r="C482" s="748" t="s">
        <v>1792</v>
      </c>
      <c r="D482" s="3">
        <v>200100751</v>
      </c>
      <c r="E482" s="1469" t="s">
        <v>2843</v>
      </c>
      <c r="F482" s="749">
        <v>30</v>
      </c>
      <c r="G482" s="3" t="s">
        <v>128</v>
      </c>
      <c r="H482" s="804"/>
      <c r="I482" s="786">
        <v>457.3</v>
      </c>
      <c r="J482" s="804"/>
      <c r="K482" s="3" t="s">
        <v>2094</v>
      </c>
      <c r="L482" s="790">
        <v>44937</v>
      </c>
      <c r="M482" s="804"/>
      <c r="N482" s="804"/>
      <c r="O482" s="761" t="s">
        <v>62</v>
      </c>
      <c r="P482" s="3" t="s">
        <v>2844</v>
      </c>
      <c r="Q482" s="804"/>
      <c r="R482" s="825"/>
      <c r="S482" s="3" t="s">
        <v>130</v>
      </c>
      <c r="T482" s="825"/>
      <c r="U482" s="3">
        <v>329.9</v>
      </c>
      <c r="V482" s="825"/>
      <c r="W482" s="825"/>
      <c r="X482" s="3" t="s">
        <v>2094</v>
      </c>
      <c r="Y482" s="761">
        <v>44937</v>
      </c>
      <c r="Z482" s="761" t="s">
        <v>62</v>
      </c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spans="1:39">
      <c r="B483" s="747">
        <v>1</v>
      </c>
      <c r="C483" s="748" t="s">
        <v>1792</v>
      </c>
      <c r="D483" s="3">
        <v>200100752</v>
      </c>
      <c r="E483" s="1469" t="s">
        <v>2845</v>
      </c>
      <c r="F483" s="749">
        <v>31</v>
      </c>
      <c r="G483" s="3" t="s">
        <v>128</v>
      </c>
      <c r="H483" s="804"/>
      <c r="I483" s="762">
        <v>464.7</v>
      </c>
      <c r="J483" s="804"/>
      <c r="K483" s="3" t="s">
        <v>2094</v>
      </c>
      <c r="L483" s="790">
        <v>44937</v>
      </c>
      <c r="M483" s="804"/>
      <c r="N483" s="804"/>
      <c r="O483" s="761" t="s">
        <v>62</v>
      </c>
      <c r="P483" s="3" t="s">
        <v>2846</v>
      </c>
      <c r="Q483" s="804"/>
      <c r="R483" s="825"/>
      <c r="S483" s="3" t="s">
        <v>130</v>
      </c>
      <c r="T483" s="825"/>
      <c r="U483" s="786">
        <v>330.2</v>
      </c>
      <c r="V483" s="825"/>
      <c r="W483" s="825"/>
      <c r="X483" s="3" t="s">
        <v>2094</v>
      </c>
      <c r="Y483" s="761">
        <v>44938</v>
      </c>
      <c r="Z483" s="761" t="s">
        <v>62</v>
      </c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spans="1:39">
      <c r="B484" s="747">
        <v>1</v>
      </c>
      <c r="C484" s="748" t="s">
        <v>1792</v>
      </c>
      <c r="D484" s="3">
        <v>200100753</v>
      </c>
      <c r="E484" s="1469" t="s">
        <v>2847</v>
      </c>
      <c r="F484" s="749">
        <v>32</v>
      </c>
      <c r="G484" s="3" t="s">
        <v>128</v>
      </c>
      <c r="H484" s="804"/>
      <c r="I484" s="786">
        <v>466.7</v>
      </c>
      <c r="J484" s="804"/>
      <c r="K484" s="3" t="s">
        <v>2094</v>
      </c>
      <c r="L484" s="790">
        <v>44938</v>
      </c>
      <c r="M484" s="804"/>
      <c r="N484" s="804"/>
      <c r="O484" s="761" t="s">
        <v>62</v>
      </c>
      <c r="P484" s="3" t="s">
        <v>2848</v>
      </c>
      <c r="Q484" s="804"/>
      <c r="R484" s="825"/>
      <c r="S484" s="3" t="s">
        <v>130</v>
      </c>
      <c r="T484" s="825"/>
      <c r="U484" s="786">
        <v>330.2</v>
      </c>
      <c r="V484" s="825"/>
      <c r="W484" s="825"/>
      <c r="X484" s="3" t="s">
        <v>2094</v>
      </c>
      <c r="Y484" s="761">
        <v>44938</v>
      </c>
      <c r="Z484" s="761" t="s">
        <v>62</v>
      </c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spans="1:39">
      <c r="B485" s="747">
        <v>1</v>
      </c>
      <c r="C485" s="748" t="s">
        <v>1792</v>
      </c>
      <c r="D485" s="3">
        <v>200100754</v>
      </c>
      <c r="E485" s="1469" t="s">
        <v>2849</v>
      </c>
      <c r="F485" s="749">
        <v>33</v>
      </c>
      <c r="G485" s="3" t="s">
        <v>128</v>
      </c>
      <c r="H485" s="804"/>
      <c r="I485" s="786">
        <v>464.3</v>
      </c>
      <c r="J485" s="804"/>
      <c r="K485" s="3" t="s">
        <v>2094</v>
      </c>
      <c r="L485" s="790">
        <v>44938</v>
      </c>
      <c r="M485" s="804"/>
      <c r="N485" s="804"/>
      <c r="O485" s="761" t="s">
        <v>62</v>
      </c>
      <c r="P485" s="3" t="s">
        <v>2850</v>
      </c>
      <c r="Q485" s="804"/>
      <c r="R485" s="825"/>
      <c r="S485" s="3" t="s">
        <v>130</v>
      </c>
      <c r="T485" s="825"/>
      <c r="U485" s="786">
        <v>330.1</v>
      </c>
      <c r="V485" s="825"/>
      <c r="W485" s="825"/>
      <c r="X485" s="3" t="s">
        <v>2094</v>
      </c>
      <c r="Y485" s="761">
        <v>44938</v>
      </c>
      <c r="Z485" s="761" t="s">
        <v>62</v>
      </c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spans="1:39">
      <c r="B486" s="747">
        <v>1</v>
      </c>
      <c r="C486" s="748" t="s">
        <v>1792</v>
      </c>
      <c r="D486" s="3">
        <v>200100755</v>
      </c>
      <c r="E486" s="1469" t="s">
        <v>2851</v>
      </c>
      <c r="F486" s="749">
        <v>34</v>
      </c>
      <c r="G486" s="3" t="s">
        <v>128</v>
      </c>
      <c r="H486" s="804"/>
      <c r="I486" s="762">
        <v>461.9</v>
      </c>
      <c r="J486" s="804"/>
      <c r="K486" s="3" t="s">
        <v>2094</v>
      </c>
      <c r="L486" s="790">
        <v>44943</v>
      </c>
      <c r="M486" s="804"/>
      <c r="N486" s="804"/>
      <c r="O486" s="761" t="s">
        <v>62</v>
      </c>
      <c r="P486" s="3" t="s">
        <v>2852</v>
      </c>
      <c r="Q486" s="804"/>
      <c r="R486" s="825"/>
      <c r="S486" s="3" t="s">
        <v>130</v>
      </c>
      <c r="T486" s="825"/>
      <c r="U486" s="786">
        <v>330.1</v>
      </c>
      <c r="V486" s="825"/>
      <c r="W486" s="825"/>
      <c r="X486" s="3" t="s">
        <v>2094</v>
      </c>
      <c r="Y486" s="761">
        <v>44938</v>
      </c>
      <c r="Z486" s="761" t="s">
        <v>62</v>
      </c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spans="1:39">
      <c r="B487" s="747">
        <v>1</v>
      </c>
      <c r="C487" s="748" t="s">
        <v>1792</v>
      </c>
      <c r="D487" s="3">
        <v>200100756</v>
      </c>
      <c r="E487" s="1469" t="s">
        <v>2853</v>
      </c>
      <c r="F487" s="749">
        <v>35</v>
      </c>
      <c r="G487" s="3" t="s">
        <v>128</v>
      </c>
      <c r="H487" s="804"/>
      <c r="I487" s="762">
        <v>467.1</v>
      </c>
      <c r="J487" s="804"/>
      <c r="K487" s="3" t="s">
        <v>2094</v>
      </c>
      <c r="L487" s="790">
        <v>44943</v>
      </c>
      <c r="M487" s="804"/>
      <c r="N487" s="804"/>
      <c r="O487" s="761" t="s">
        <v>62</v>
      </c>
      <c r="P487" s="3" t="s">
        <v>2854</v>
      </c>
      <c r="Q487" s="804"/>
      <c r="R487" s="825"/>
      <c r="S487" s="3" t="s">
        <v>130</v>
      </c>
      <c r="T487" s="825"/>
      <c r="U487" s="786">
        <v>329.9</v>
      </c>
      <c r="V487" s="825"/>
      <c r="W487" s="825"/>
      <c r="X487" s="3" t="s">
        <v>2094</v>
      </c>
      <c r="Y487" s="761">
        <v>44939</v>
      </c>
      <c r="Z487" s="761" t="s">
        <v>62</v>
      </c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spans="1:39">
      <c r="B488" s="747">
        <v>1</v>
      </c>
      <c r="C488" s="748" t="s">
        <v>1792</v>
      </c>
      <c r="D488" s="3">
        <v>200100757</v>
      </c>
      <c r="E488" s="1469" t="s">
        <v>2855</v>
      </c>
      <c r="F488" s="749">
        <v>36</v>
      </c>
      <c r="G488" s="3" t="s">
        <v>128</v>
      </c>
      <c r="H488" s="804"/>
      <c r="I488" s="816">
        <v>463.5</v>
      </c>
      <c r="J488" s="804"/>
      <c r="K488" s="3" t="s">
        <v>2094</v>
      </c>
      <c r="L488" s="790">
        <v>44944</v>
      </c>
      <c r="M488" s="804"/>
      <c r="N488" s="804"/>
      <c r="O488" s="761" t="s">
        <v>62</v>
      </c>
      <c r="P488" s="3" t="s">
        <v>2856</v>
      </c>
      <c r="Q488" s="804"/>
      <c r="R488" s="825"/>
      <c r="S488" s="3" t="s">
        <v>130</v>
      </c>
      <c r="T488" s="825"/>
      <c r="U488" s="786">
        <v>329.9</v>
      </c>
      <c r="V488" s="825"/>
      <c r="W488" s="825"/>
      <c r="X488" s="3" t="s">
        <v>2094</v>
      </c>
      <c r="Y488" s="761">
        <v>44939</v>
      </c>
      <c r="Z488" s="761" t="s">
        <v>62</v>
      </c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spans="1:39" s="707" customFormat="1">
      <c r="A489"/>
      <c r="B489" s="805" t="s">
        <v>13</v>
      </c>
      <c r="C489" s="806" t="s">
        <v>1723</v>
      </c>
      <c r="D489" s="807"/>
      <c r="E489" s="807"/>
      <c r="F489" s="808"/>
      <c r="G489" s="807"/>
      <c r="H489" s="809"/>
      <c r="I489" s="817"/>
      <c r="J489" s="809"/>
      <c r="K489" s="807"/>
      <c r="L489" s="818"/>
      <c r="M489" s="809"/>
      <c r="N489" s="809"/>
      <c r="O489" s="819"/>
      <c r="P489" s="807"/>
      <c r="Q489" s="809"/>
      <c r="R489" s="807"/>
      <c r="S489" s="807"/>
      <c r="T489" s="807"/>
      <c r="U489" s="807"/>
      <c r="V489" s="807"/>
      <c r="W489" s="807"/>
      <c r="X489" s="819"/>
      <c r="Y489" s="819"/>
      <c r="Z489" s="819"/>
      <c r="AA489" s="710"/>
      <c r="AB489" s="710"/>
      <c r="AC489" s="710"/>
      <c r="AD489" s="710"/>
      <c r="AE489" s="710"/>
      <c r="AF489" s="710"/>
      <c r="AG489" s="710"/>
      <c r="AH489" s="710"/>
      <c r="AI489" s="710"/>
      <c r="AJ489" s="710"/>
      <c r="AK489" s="710"/>
      <c r="AL489" s="710"/>
      <c r="AM489" s="710"/>
    </row>
    <row r="490" spans="1:39">
      <c r="B490" s="747" t="s">
        <v>163</v>
      </c>
      <c r="C490" s="748" t="s">
        <v>1792</v>
      </c>
      <c r="D490" s="3">
        <v>200100968</v>
      </c>
      <c r="E490" s="1469" t="s">
        <v>2857</v>
      </c>
      <c r="F490" s="749">
        <v>1</v>
      </c>
      <c r="G490" s="3" t="s">
        <v>128</v>
      </c>
      <c r="H490" s="804"/>
      <c r="I490" s="786">
        <v>462.2</v>
      </c>
      <c r="J490" s="804"/>
      <c r="K490" s="3" t="s">
        <v>2125</v>
      </c>
      <c r="L490" s="790">
        <v>44960</v>
      </c>
      <c r="M490" s="804"/>
      <c r="N490" s="804"/>
      <c r="O490" s="761" t="s">
        <v>62</v>
      </c>
      <c r="P490" s="3" t="s">
        <v>2858</v>
      </c>
      <c r="Q490" s="804"/>
      <c r="R490" s="825"/>
      <c r="S490" s="3" t="s">
        <v>130</v>
      </c>
      <c r="T490" s="825"/>
      <c r="U490" s="786">
        <v>330</v>
      </c>
      <c r="V490" s="825"/>
      <c r="W490" s="825"/>
      <c r="X490" s="3" t="s">
        <v>2125</v>
      </c>
      <c r="Y490" s="761">
        <v>44959</v>
      </c>
      <c r="Z490" s="761" t="s">
        <v>62</v>
      </c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spans="1:39">
      <c r="B491" s="747" t="s">
        <v>163</v>
      </c>
      <c r="C491" s="748" t="s">
        <v>1792</v>
      </c>
      <c r="D491" s="3">
        <v>200100969</v>
      </c>
      <c r="E491" s="1469" t="s">
        <v>2859</v>
      </c>
      <c r="F491" s="749">
        <f t="shared" ref="F491:F504" si="5">F490+1</f>
        <v>2</v>
      </c>
      <c r="G491" s="3" t="s">
        <v>128</v>
      </c>
      <c r="H491" s="804"/>
      <c r="I491" s="786">
        <v>466.3</v>
      </c>
      <c r="J491" s="804"/>
      <c r="K491" s="3" t="s">
        <v>2125</v>
      </c>
      <c r="L491" s="790">
        <v>44960</v>
      </c>
      <c r="M491" s="804"/>
      <c r="N491" s="804"/>
      <c r="O491" s="761" t="s">
        <v>62</v>
      </c>
      <c r="P491" s="3" t="s">
        <v>2860</v>
      </c>
      <c r="Q491" s="804"/>
      <c r="R491" s="825"/>
      <c r="S491" s="3" t="s">
        <v>130</v>
      </c>
      <c r="T491" s="825"/>
      <c r="U491" s="786">
        <v>329.9</v>
      </c>
      <c r="V491" s="825"/>
      <c r="W491" s="825"/>
      <c r="X491" s="3" t="s">
        <v>2125</v>
      </c>
      <c r="Y491" s="761">
        <v>44959</v>
      </c>
      <c r="Z491" s="761" t="s">
        <v>62</v>
      </c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spans="1:39">
      <c r="B492" s="747" t="s">
        <v>163</v>
      </c>
      <c r="C492" s="748" t="s">
        <v>1792</v>
      </c>
      <c r="D492" s="3">
        <v>200100970</v>
      </c>
      <c r="E492" s="1469" t="s">
        <v>2861</v>
      </c>
      <c r="F492" s="749">
        <f t="shared" si="5"/>
        <v>3</v>
      </c>
      <c r="G492" s="3" t="s">
        <v>128</v>
      </c>
      <c r="H492" s="804"/>
      <c r="I492" s="786">
        <v>464.6</v>
      </c>
      <c r="J492" s="804"/>
      <c r="K492" s="3" t="s">
        <v>2125</v>
      </c>
      <c r="L492" s="790">
        <v>44960</v>
      </c>
      <c r="M492" s="804"/>
      <c r="N492" s="804"/>
      <c r="O492" s="761" t="s">
        <v>62</v>
      </c>
      <c r="P492" s="3" t="s">
        <v>2862</v>
      </c>
      <c r="Q492" s="804"/>
      <c r="R492" s="825"/>
      <c r="S492" s="3" t="s">
        <v>130</v>
      </c>
      <c r="T492" s="825"/>
      <c r="U492" s="786">
        <v>330.1</v>
      </c>
      <c r="V492" s="825"/>
      <c r="W492" s="825"/>
      <c r="X492" s="3" t="s">
        <v>2125</v>
      </c>
      <c r="Y492" s="761">
        <v>44959</v>
      </c>
      <c r="Z492" s="761" t="s">
        <v>62</v>
      </c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spans="1:39">
      <c r="B493" s="747" t="s">
        <v>163</v>
      </c>
      <c r="C493" s="748" t="s">
        <v>1792</v>
      </c>
      <c r="D493" s="3">
        <v>200100971</v>
      </c>
      <c r="E493" s="1469" t="s">
        <v>2863</v>
      </c>
      <c r="F493" s="749">
        <f t="shared" si="5"/>
        <v>4</v>
      </c>
      <c r="G493" s="3" t="s">
        <v>128</v>
      </c>
      <c r="H493" s="804"/>
      <c r="I493" s="786">
        <v>461.7</v>
      </c>
      <c r="J493" s="804"/>
      <c r="K493" s="3" t="s">
        <v>2125</v>
      </c>
      <c r="L493" s="790">
        <v>44963</v>
      </c>
      <c r="M493" s="804"/>
      <c r="N493" s="804"/>
      <c r="O493" s="761" t="s">
        <v>62</v>
      </c>
      <c r="P493" s="3" t="s">
        <v>2864</v>
      </c>
      <c r="Q493" s="804"/>
      <c r="R493" s="825"/>
      <c r="S493" s="3" t="s">
        <v>130</v>
      </c>
      <c r="T493" s="825"/>
      <c r="U493" s="786">
        <v>330</v>
      </c>
      <c r="V493" s="825"/>
      <c r="W493" s="825"/>
      <c r="X493" s="3" t="s">
        <v>2125</v>
      </c>
      <c r="Y493" s="761">
        <v>44959</v>
      </c>
      <c r="Z493" s="761" t="s">
        <v>62</v>
      </c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spans="1:39">
      <c r="B494" s="747" t="s">
        <v>163</v>
      </c>
      <c r="C494" s="748" t="s">
        <v>1792</v>
      </c>
      <c r="D494" s="3">
        <v>200100972</v>
      </c>
      <c r="E494" s="1469" t="s">
        <v>2865</v>
      </c>
      <c r="F494" s="749">
        <f t="shared" si="5"/>
        <v>5</v>
      </c>
      <c r="G494" s="3" t="s">
        <v>128</v>
      </c>
      <c r="H494" s="804"/>
      <c r="I494" s="786">
        <v>464.4</v>
      </c>
      <c r="J494" s="804"/>
      <c r="K494" s="3" t="s">
        <v>2125</v>
      </c>
      <c r="L494" s="790">
        <v>44963</v>
      </c>
      <c r="M494" s="804"/>
      <c r="N494" s="804"/>
      <c r="O494" s="761" t="s">
        <v>62</v>
      </c>
      <c r="P494" s="3" t="s">
        <v>2866</v>
      </c>
      <c r="Q494" s="804"/>
      <c r="R494" s="825"/>
      <c r="S494" s="3" t="s">
        <v>130</v>
      </c>
      <c r="T494" s="825"/>
      <c r="U494" s="786">
        <v>329.3</v>
      </c>
      <c r="V494" s="825"/>
      <c r="W494" s="825"/>
      <c r="X494" s="3" t="s">
        <v>2125</v>
      </c>
      <c r="Y494" s="761">
        <v>44963</v>
      </c>
      <c r="Z494" s="761" t="s">
        <v>62</v>
      </c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spans="1:39">
      <c r="B495" s="747" t="s">
        <v>163</v>
      </c>
      <c r="C495" s="748" t="s">
        <v>1792</v>
      </c>
      <c r="D495" s="3">
        <v>200101000</v>
      </c>
      <c r="E495" s="1469" t="s">
        <v>2867</v>
      </c>
      <c r="F495" s="749">
        <f t="shared" si="5"/>
        <v>6</v>
      </c>
      <c r="G495" s="3" t="s">
        <v>128</v>
      </c>
      <c r="H495" s="804"/>
      <c r="I495" s="786">
        <v>465.8</v>
      </c>
      <c r="J495" s="804"/>
      <c r="K495" s="3" t="s">
        <v>2125</v>
      </c>
      <c r="L495" s="790">
        <v>44963</v>
      </c>
      <c r="M495" s="804"/>
      <c r="N495" s="804"/>
      <c r="O495" s="761" t="s">
        <v>62</v>
      </c>
      <c r="P495" s="3" t="s">
        <v>2868</v>
      </c>
      <c r="Q495" s="804"/>
      <c r="R495" s="825"/>
      <c r="S495" s="3" t="s">
        <v>130</v>
      </c>
      <c r="T495" s="825"/>
      <c r="U495" s="786">
        <v>329.7</v>
      </c>
      <c r="V495" s="825"/>
      <c r="W495" s="825"/>
      <c r="X495" s="3" t="s">
        <v>2125</v>
      </c>
      <c r="Y495" s="761">
        <v>44963</v>
      </c>
      <c r="Z495" s="761" t="s">
        <v>62</v>
      </c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spans="1:39">
      <c r="B496" s="747" t="s">
        <v>163</v>
      </c>
      <c r="C496" s="748" t="s">
        <v>1792</v>
      </c>
      <c r="D496" s="3">
        <v>200101001</v>
      </c>
      <c r="E496" s="1469" t="s">
        <v>2869</v>
      </c>
      <c r="F496" s="749">
        <f t="shared" si="5"/>
        <v>7</v>
      </c>
      <c r="G496" s="3" t="s">
        <v>128</v>
      </c>
      <c r="H496" s="804"/>
      <c r="I496" s="786">
        <v>462.9</v>
      </c>
      <c r="J496" s="804"/>
      <c r="K496" s="3" t="s">
        <v>2125</v>
      </c>
      <c r="L496" s="790">
        <v>44963</v>
      </c>
      <c r="M496" s="804"/>
      <c r="N496" s="804"/>
      <c r="O496" s="761" t="s">
        <v>62</v>
      </c>
      <c r="P496" s="3" t="s">
        <v>2870</v>
      </c>
      <c r="Q496" s="804"/>
      <c r="R496" s="825"/>
      <c r="S496" s="3" t="s">
        <v>130</v>
      </c>
      <c r="T496" s="825"/>
      <c r="U496" s="786">
        <v>329.2</v>
      </c>
      <c r="V496" s="825"/>
      <c r="W496" s="825"/>
      <c r="X496" s="3" t="s">
        <v>2125</v>
      </c>
      <c r="Y496" s="761">
        <v>44963</v>
      </c>
      <c r="Z496" s="761" t="s">
        <v>62</v>
      </c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spans="1:39">
      <c r="B497" s="747" t="s">
        <v>163</v>
      </c>
      <c r="C497" s="748" t="s">
        <v>1792</v>
      </c>
      <c r="D497" s="3">
        <v>200101002</v>
      </c>
      <c r="E497" s="1469" t="s">
        <v>2871</v>
      </c>
      <c r="F497" s="749">
        <f t="shared" si="5"/>
        <v>8</v>
      </c>
      <c r="G497" s="3" t="s">
        <v>128</v>
      </c>
      <c r="H497" s="804"/>
      <c r="I497" s="786">
        <v>460.7</v>
      </c>
      <c r="J497" s="804"/>
      <c r="K497" s="3" t="s">
        <v>2125</v>
      </c>
      <c r="L497" s="790">
        <v>44965</v>
      </c>
      <c r="M497" s="804"/>
      <c r="N497" s="804"/>
      <c r="O497" s="761" t="s">
        <v>62</v>
      </c>
      <c r="P497" s="3" t="s">
        <v>2872</v>
      </c>
      <c r="Q497" s="804"/>
      <c r="R497" s="825"/>
      <c r="S497" s="3" t="s">
        <v>130</v>
      </c>
      <c r="T497" s="825"/>
      <c r="U497" s="786">
        <v>329.7</v>
      </c>
      <c r="V497" s="825"/>
      <c r="W497" s="825"/>
      <c r="X497" s="3" t="s">
        <v>2125</v>
      </c>
      <c r="Y497" s="761">
        <v>44963</v>
      </c>
      <c r="Z497" s="761" t="s">
        <v>62</v>
      </c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spans="1:39">
      <c r="B498" s="747" t="s">
        <v>163</v>
      </c>
      <c r="C498" s="748" t="s">
        <v>1792</v>
      </c>
      <c r="D498" s="3">
        <v>200101003</v>
      </c>
      <c r="E498" s="1469" t="s">
        <v>2873</v>
      </c>
      <c r="F498" s="749">
        <f t="shared" si="5"/>
        <v>9</v>
      </c>
      <c r="G498" s="3" t="s">
        <v>128</v>
      </c>
      <c r="H498" s="804"/>
      <c r="I498" s="786">
        <v>466.2</v>
      </c>
      <c r="J498" s="804"/>
      <c r="K498" s="3" t="s">
        <v>2125</v>
      </c>
      <c r="L498" s="790">
        <v>44966</v>
      </c>
      <c r="M498" s="804"/>
      <c r="N498" s="804"/>
      <c r="O498" s="761" t="s">
        <v>62</v>
      </c>
      <c r="P498" s="3" t="s">
        <v>2874</v>
      </c>
      <c r="Q498" s="804"/>
      <c r="R498" s="825"/>
      <c r="S498" s="3" t="s">
        <v>130</v>
      </c>
      <c r="T498" s="825"/>
      <c r="U498" s="786">
        <v>329.9</v>
      </c>
      <c r="V498" s="825"/>
      <c r="W498" s="825"/>
      <c r="X498" s="3" t="s">
        <v>2125</v>
      </c>
      <c r="Y498" s="761">
        <v>44965</v>
      </c>
      <c r="Z498" s="761" t="s">
        <v>62</v>
      </c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spans="1:39">
      <c r="B499" s="747" t="s">
        <v>163</v>
      </c>
      <c r="C499" s="748" t="s">
        <v>1792</v>
      </c>
      <c r="D499" s="3">
        <v>200101004</v>
      </c>
      <c r="E499" s="1469" t="s">
        <v>2875</v>
      </c>
      <c r="F499" s="749">
        <f t="shared" si="5"/>
        <v>10</v>
      </c>
      <c r="G499" s="3" t="s">
        <v>128</v>
      </c>
      <c r="H499" s="804"/>
      <c r="I499" s="786">
        <v>464.5</v>
      </c>
      <c r="J499" s="804"/>
      <c r="K499" s="3" t="s">
        <v>2125</v>
      </c>
      <c r="L499" s="790">
        <v>44966</v>
      </c>
      <c r="M499" s="804"/>
      <c r="N499" s="804"/>
      <c r="O499" s="761" t="s">
        <v>62</v>
      </c>
      <c r="P499" s="3" t="s">
        <v>2876</v>
      </c>
      <c r="Q499" s="804"/>
      <c r="R499" s="825"/>
      <c r="S499" s="3" t="s">
        <v>130</v>
      </c>
      <c r="T499" s="825"/>
      <c r="U499" s="786">
        <v>329.6</v>
      </c>
      <c r="V499" s="825"/>
      <c r="W499" s="825"/>
      <c r="X499" s="3" t="s">
        <v>2125</v>
      </c>
      <c r="Y499" s="761">
        <v>44965</v>
      </c>
      <c r="Z499" s="761" t="s">
        <v>62</v>
      </c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spans="1:39">
      <c r="B500" s="747" t="s">
        <v>163</v>
      </c>
      <c r="C500" s="748" t="s">
        <v>1792</v>
      </c>
      <c r="D500" s="3">
        <v>200101005</v>
      </c>
      <c r="E500" s="1469" t="s">
        <v>2877</v>
      </c>
      <c r="F500" s="749">
        <f t="shared" si="5"/>
        <v>11</v>
      </c>
      <c r="G500" s="3" t="s">
        <v>128</v>
      </c>
      <c r="H500" s="804"/>
      <c r="I500" s="786">
        <v>463.1</v>
      </c>
      <c r="J500" s="804"/>
      <c r="K500" s="3" t="s">
        <v>2125</v>
      </c>
      <c r="L500" s="790">
        <v>44967</v>
      </c>
      <c r="M500" s="804"/>
      <c r="N500" s="804"/>
      <c r="O500" s="761" t="s">
        <v>62</v>
      </c>
      <c r="P500" s="3" t="s">
        <v>2878</v>
      </c>
      <c r="Q500" s="804"/>
      <c r="R500" s="825"/>
      <c r="S500" s="3" t="s">
        <v>130</v>
      </c>
      <c r="T500" s="825"/>
      <c r="U500" s="786">
        <v>330.3</v>
      </c>
      <c r="V500" s="825"/>
      <c r="W500" s="825"/>
      <c r="X500" s="3" t="s">
        <v>2125</v>
      </c>
      <c r="Y500" s="761">
        <v>44965</v>
      </c>
      <c r="Z500" s="761" t="s">
        <v>62</v>
      </c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spans="1:39">
      <c r="B501" s="747" t="s">
        <v>163</v>
      </c>
      <c r="C501" s="748" t="s">
        <v>1792</v>
      </c>
      <c r="D501" s="3">
        <v>200101048</v>
      </c>
      <c r="E501" s="1469" t="s">
        <v>2879</v>
      </c>
      <c r="F501" s="749">
        <f t="shared" si="5"/>
        <v>12</v>
      </c>
      <c r="G501" s="3" t="s">
        <v>128</v>
      </c>
      <c r="H501" s="804"/>
      <c r="I501" s="786">
        <v>468.6</v>
      </c>
      <c r="J501" s="804"/>
      <c r="K501" s="3" t="s">
        <v>2125</v>
      </c>
      <c r="L501" s="790">
        <v>44967</v>
      </c>
      <c r="M501" s="804"/>
      <c r="N501" s="804"/>
      <c r="O501" s="761" t="s">
        <v>62</v>
      </c>
      <c r="P501" s="3" t="s">
        <v>2880</v>
      </c>
      <c r="Q501" s="804"/>
      <c r="R501" s="825"/>
      <c r="S501" s="3" t="s">
        <v>130</v>
      </c>
      <c r="T501" s="825"/>
      <c r="U501" s="786">
        <v>329.7</v>
      </c>
      <c r="V501" s="825"/>
      <c r="W501" s="825"/>
      <c r="X501" s="3" t="s">
        <v>2125</v>
      </c>
      <c r="Y501" s="761">
        <v>44967</v>
      </c>
      <c r="Z501" s="761" t="s">
        <v>62</v>
      </c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spans="1:39">
      <c r="B502" s="747" t="s">
        <v>163</v>
      </c>
      <c r="C502" s="748" t="s">
        <v>1792</v>
      </c>
      <c r="D502" s="3">
        <v>200101049</v>
      </c>
      <c r="E502" s="1469" t="s">
        <v>2881</v>
      </c>
      <c r="F502" s="749">
        <f t="shared" si="5"/>
        <v>13</v>
      </c>
      <c r="G502" s="3" t="s">
        <v>128</v>
      </c>
      <c r="H502" s="804"/>
      <c r="I502" s="786">
        <v>465.2</v>
      </c>
      <c r="J502" s="804"/>
      <c r="K502" s="3" t="s">
        <v>2125</v>
      </c>
      <c r="L502" s="790">
        <v>44967</v>
      </c>
      <c r="M502" s="804"/>
      <c r="N502" s="804"/>
      <c r="O502" s="761" t="s">
        <v>62</v>
      </c>
      <c r="P502" s="3" t="s">
        <v>2882</v>
      </c>
      <c r="Q502" s="804"/>
      <c r="R502" s="825"/>
      <c r="S502" s="3" t="s">
        <v>130</v>
      </c>
      <c r="T502" s="825"/>
      <c r="U502" s="786">
        <v>329.7</v>
      </c>
      <c r="V502" s="825"/>
      <c r="W502" s="825"/>
      <c r="X502" s="3" t="s">
        <v>2125</v>
      </c>
      <c r="Y502" s="761">
        <v>44967</v>
      </c>
      <c r="Z502" s="761" t="s">
        <v>62</v>
      </c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spans="1:39">
      <c r="B503" s="747" t="s">
        <v>163</v>
      </c>
      <c r="C503" s="748" t="s">
        <v>1792</v>
      </c>
      <c r="D503" s="3">
        <v>200101050</v>
      </c>
      <c r="E503" s="1469" t="s">
        <v>2883</v>
      </c>
      <c r="F503" s="749">
        <f t="shared" si="5"/>
        <v>14</v>
      </c>
      <c r="G503" s="3" t="s">
        <v>128</v>
      </c>
      <c r="H503" s="804"/>
      <c r="I503" s="786">
        <v>470.1</v>
      </c>
      <c r="J503" s="804"/>
      <c r="K503" s="3" t="s">
        <v>2125</v>
      </c>
      <c r="L503" s="790">
        <v>44967</v>
      </c>
      <c r="M503" s="804"/>
      <c r="N503" s="804"/>
      <c r="O503" s="761" t="s">
        <v>62</v>
      </c>
      <c r="P503" s="3" t="s">
        <v>2884</v>
      </c>
      <c r="Q503" s="804"/>
      <c r="R503" s="825"/>
      <c r="S503" s="3" t="s">
        <v>130</v>
      </c>
      <c r="T503" s="825"/>
      <c r="U503" s="786">
        <v>329.7</v>
      </c>
      <c r="V503" s="825"/>
      <c r="W503" s="825"/>
      <c r="X503" s="3" t="s">
        <v>2125</v>
      </c>
      <c r="Y503" s="761">
        <v>44967</v>
      </c>
      <c r="Z503" s="761" t="s">
        <v>62</v>
      </c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spans="1:39">
      <c r="B504" s="747" t="s">
        <v>163</v>
      </c>
      <c r="C504" s="748" t="s">
        <v>1792</v>
      </c>
      <c r="D504" s="3">
        <v>200101051</v>
      </c>
      <c r="E504" s="1469" t="s">
        <v>2885</v>
      </c>
      <c r="F504" s="749">
        <f t="shared" si="5"/>
        <v>15</v>
      </c>
      <c r="G504" s="3" t="s">
        <v>128</v>
      </c>
      <c r="H504" s="804"/>
      <c r="I504" s="786">
        <v>458.66</v>
      </c>
      <c r="J504" s="804"/>
      <c r="K504" s="3" t="s">
        <v>2125</v>
      </c>
      <c r="L504" s="790">
        <v>44970</v>
      </c>
      <c r="M504" s="804"/>
      <c r="N504" s="804"/>
      <c r="O504" s="761" t="s">
        <v>62</v>
      </c>
      <c r="P504" s="3" t="s">
        <v>2886</v>
      </c>
      <c r="Q504" s="804"/>
      <c r="R504" s="825"/>
      <c r="S504" s="3" t="s">
        <v>130</v>
      </c>
      <c r="T504" s="825"/>
      <c r="U504" s="786">
        <f>330</f>
        <v>330</v>
      </c>
      <c r="V504" s="825"/>
      <c r="W504" s="825"/>
      <c r="X504" s="3" t="s">
        <v>2125</v>
      </c>
      <c r="Y504" s="761">
        <v>44970</v>
      </c>
      <c r="Z504" s="761" t="s">
        <v>62</v>
      </c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spans="1:39" s="707" customFormat="1">
      <c r="A505"/>
      <c r="B505" s="805" t="s">
        <v>13</v>
      </c>
      <c r="C505" s="806" t="s">
        <v>1716</v>
      </c>
      <c r="D505" s="807"/>
      <c r="E505" s="807"/>
      <c r="F505" s="808"/>
      <c r="G505" s="807"/>
      <c r="H505" s="809"/>
      <c r="I505" s="820"/>
      <c r="J505" s="809"/>
      <c r="K505" s="807"/>
      <c r="L505" s="818"/>
      <c r="M505" s="809"/>
      <c r="N505" s="809"/>
      <c r="O505" s="819"/>
      <c r="P505" s="807"/>
      <c r="Q505" s="809"/>
      <c r="R505" s="807"/>
      <c r="S505" s="807"/>
      <c r="T505" s="807"/>
      <c r="U505" s="820"/>
      <c r="V505" s="807"/>
      <c r="W505" s="807"/>
      <c r="X505" s="807"/>
      <c r="Y505" s="819"/>
      <c r="Z505" s="819"/>
      <c r="AA505" s="710"/>
      <c r="AB505" s="710"/>
      <c r="AC505" s="710"/>
      <c r="AD505" s="710"/>
      <c r="AE505" s="710"/>
      <c r="AF505" s="710"/>
      <c r="AG505" s="710"/>
      <c r="AH505" s="710"/>
      <c r="AI505" s="710"/>
      <c r="AJ505" s="710"/>
      <c r="AK505" s="710"/>
      <c r="AL505" s="710"/>
      <c r="AM505" s="710"/>
    </row>
    <row r="506" spans="1:39">
      <c r="B506" s="747">
        <v>3</v>
      </c>
      <c r="C506" s="748" t="s">
        <v>1792</v>
      </c>
      <c r="D506" s="3">
        <v>200101171</v>
      </c>
      <c r="E506" s="1469" t="s">
        <v>2887</v>
      </c>
      <c r="F506" s="749">
        <v>1</v>
      </c>
      <c r="G506" s="3" t="s">
        <v>128</v>
      </c>
      <c r="H506" s="804"/>
      <c r="I506" s="786">
        <v>463</v>
      </c>
      <c r="J506" s="804"/>
      <c r="K506" s="3" t="s">
        <v>2125</v>
      </c>
      <c r="L506" s="790">
        <v>44974</v>
      </c>
      <c r="M506" s="804"/>
      <c r="N506" s="804"/>
      <c r="O506" s="761" t="s">
        <v>62</v>
      </c>
      <c r="P506" s="3" t="s">
        <v>2888</v>
      </c>
      <c r="Q506" s="804"/>
      <c r="R506" s="825"/>
      <c r="S506" s="3" t="s">
        <v>130</v>
      </c>
      <c r="T506" s="825"/>
      <c r="U506" s="786">
        <v>329.7</v>
      </c>
      <c r="V506" s="825"/>
      <c r="W506" s="825"/>
      <c r="X506" s="3" t="s">
        <v>2125</v>
      </c>
      <c r="Y506" s="761">
        <v>44974</v>
      </c>
      <c r="Z506" s="761" t="s">
        <v>62</v>
      </c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spans="1:39">
      <c r="B507" s="747">
        <v>3</v>
      </c>
      <c r="C507" s="748" t="s">
        <v>1792</v>
      </c>
      <c r="D507" s="3">
        <v>200101172</v>
      </c>
      <c r="E507" s="1469" t="s">
        <v>2889</v>
      </c>
      <c r="F507" s="749">
        <v>2</v>
      </c>
      <c r="G507" s="3" t="s">
        <v>128</v>
      </c>
      <c r="H507" s="804"/>
      <c r="I507" s="786">
        <v>466.3</v>
      </c>
      <c r="J507" s="804"/>
      <c r="K507" s="3" t="s">
        <v>2125</v>
      </c>
      <c r="L507" s="790">
        <v>44974</v>
      </c>
      <c r="M507" s="804"/>
      <c r="N507" s="804"/>
      <c r="O507" s="761" t="s">
        <v>62</v>
      </c>
      <c r="P507" s="3" t="s">
        <v>2890</v>
      </c>
      <c r="Q507" s="804"/>
      <c r="R507" s="825"/>
      <c r="S507" s="3" t="s">
        <v>130</v>
      </c>
      <c r="T507" s="825"/>
      <c r="U507" s="786">
        <v>329.8</v>
      </c>
      <c r="V507" s="825"/>
      <c r="W507" s="825"/>
      <c r="X507" s="3" t="s">
        <v>2125</v>
      </c>
      <c r="Y507" s="761">
        <v>44974</v>
      </c>
      <c r="Z507" s="761" t="s">
        <v>62</v>
      </c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spans="1:39">
      <c r="B508" s="747">
        <v>3</v>
      </c>
      <c r="C508" s="748" t="s">
        <v>1792</v>
      </c>
      <c r="D508" s="3">
        <v>200101173</v>
      </c>
      <c r="E508" s="1469" t="s">
        <v>2891</v>
      </c>
      <c r="F508" s="749">
        <v>3</v>
      </c>
      <c r="G508" s="3" t="s">
        <v>1726</v>
      </c>
      <c r="H508" s="804"/>
      <c r="I508" s="786">
        <v>463.4</v>
      </c>
      <c r="J508" s="804"/>
      <c r="K508" s="3" t="s">
        <v>2125</v>
      </c>
      <c r="L508" s="790">
        <v>44978</v>
      </c>
      <c r="M508" s="804"/>
      <c r="N508" s="804"/>
      <c r="O508" s="761" t="s">
        <v>62</v>
      </c>
      <c r="P508" s="3" t="s">
        <v>2892</v>
      </c>
      <c r="Q508" s="804"/>
      <c r="R508" s="825"/>
      <c r="S508" s="3" t="s">
        <v>130</v>
      </c>
      <c r="T508" s="825"/>
      <c r="U508" s="786">
        <v>330</v>
      </c>
      <c r="V508" s="825"/>
      <c r="W508" s="825"/>
      <c r="X508" s="3" t="s">
        <v>2125</v>
      </c>
      <c r="Y508" s="761">
        <v>44974</v>
      </c>
      <c r="Z508" s="761" t="s">
        <v>62</v>
      </c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spans="1:39">
      <c r="B509" s="747">
        <v>3</v>
      </c>
      <c r="C509" s="748" t="s">
        <v>1792</v>
      </c>
      <c r="D509" s="3">
        <v>200101174</v>
      </c>
      <c r="E509" s="1469" t="s">
        <v>2893</v>
      </c>
      <c r="F509" s="749">
        <v>4</v>
      </c>
      <c r="G509" s="3" t="s">
        <v>1726</v>
      </c>
      <c r="H509" s="804"/>
      <c r="I509" s="786">
        <v>467.2</v>
      </c>
      <c r="J509" s="804"/>
      <c r="K509" s="3" t="s">
        <v>2125</v>
      </c>
      <c r="L509" s="790">
        <v>44978</v>
      </c>
      <c r="M509" s="804"/>
      <c r="N509" s="804"/>
      <c r="O509" s="761" t="s">
        <v>62</v>
      </c>
      <c r="P509" s="3" t="s">
        <v>2894</v>
      </c>
      <c r="Q509" s="804"/>
      <c r="R509" s="825"/>
      <c r="S509" s="3" t="s">
        <v>130</v>
      </c>
      <c r="T509" s="825"/>
      <c r="U509" s="786">
        <v>329.7</v>
      </c>
      <c r="V509" s="825"/>
      <c r="W509" s="825"/>
      <c r="X509" s="3" t="s">
        <v>2125</v>
      </c>
      <c r="Y509" s="761">
        <v>44977</v>
      </c>
      <c r="Z509" s="761" t="s">
        <v>62</v>
      </c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spans="1:39">
      <c r="B510" s="747">
        <v>3</v>
      </c>
      <c r="C510" s="748" t="s">
        <v>1792</v>
      </c>
      <c r="D510" s="3">
        <v>200101175</v>
      </c>
      <c r="E510" s="1469" t="s">
        <v>2895</v>
      </c>
      <c r="F510" s="749">
        <v>5</v>
      </c>
      <c r="G510" s="3" t="s">
        <v>1726</v>
      </c>
      <c r="H510" s="804"/>
      <c r="I510" s="786">
        <v>465.6</v>
      </c>
      <c r="J510" s="804"/>
      <c r="K510" s="3" t="s">
        <v>2125</v>
      </c>
      <c r="L510" s="790">
        <v>44978</v>
      </c>
      <c r="M510" s="804"/>
      <c r="N510" s="804"/>
      <c r="O510" s="761" t="s">
        <v>62</v>
      </c>
      <c r="P510" s="3" t="s">
        <v>2896</v>
      </c>
      <c r="Q510" s="804"/>
      <c r="R510" s="825"/>
      <c r="S510" s="3" t="s">
        <v>130</v>
      </c>
      <c r="T510" s="825"/>
      <c r="U510" s="786">
        <v>329.8</v>
      </c>
      <c r="V510" s="825"/>
      <c r="W510" s="825"/>
      <c r="X510" s="3" t="s">
        <v>2125</v>
      </c>
      <c r="Y510" s="761">
        <v>44977</v>
      </c>
      <c r="Z510" s="761" t="s">
        <v>62</v>
      </c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spans="1:39">
      <c r="B511" s="747">
        <v>3</v>
      </c>
      <c r="C511" s="748" t="s">
        <v>1792</v>
      </c>
      <c r="D511" s="3">
        <v>200101176</v>
      </c>
      <c r="E511" s="1469" t="s">
        <v>2897</v>
      </c>
      <c r="F511" s="749">
        <v>6</v>
      </c>
      <c r="G511" s="3" t="s">
        <v>1726</v>
      </c>
      <c r="H511" s="804"/>
      <c r="I511" s="786">
        <v>466.3</v>
      </c>
      <c r="J511" s="804"/>
      <c r="K511" s="3" t="s">
        <v>2125</v>
      </c>
      <c r="L511" s="790">
        <v>44978</v>
      </c>
      <c r="M511" s="804"/>
      <c r="N511" s="804"/>
      <c r="O511" s="761" t="s">
        <v>62</v>
      </c>
      <c r="P511" s="3" t="s">
        <v>2898</v>
      </c>
      <c r="Q511" s="804"/>
      <c r="R511" s="825"/>
      <c r="S511" s="3" t="s">
        <v>130</v>
      </c>
      <c r="T511" s="825"/>
      <c r="U511" s="786">
        <v>330.1</v>
      </c>
      <c r="V511" s="825"/>
      <c r="W511" s="825"/>
      <c r="X511" s="3" t="s">
        <v>2125</v>
      </c>
      <c r="Y511" s="761">
        <v>44978</v>
      </c>
      <c r="Z511" s="761" t="s">
        <v>62</v>
      </c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spans="1:39">
      <c r="B512" s="747">
        <v>3</v>
      </c>
      <c r="C512" s="748" t="s">
        <v>1792</v>
      </c>
      <c r="D512" s="3">
        <v>200101177</v>
      </c>
      <c r="E512" s="1469" t="s">
        <v>2899</v>
      </c>
      <c r="F512" s="749">
        <v>7</v>
      </c>
      <c r="G512" s="3" t="s">
        <v>128</v>
      </c>
      <c r="H512" s="804"/>
      <c r="I512" s="786">
        <v>461.1</v>
      </c>
      <c r="J512" s="804"/>
      <c r="K512" s="3" t="s">
        <v>2125</v>
      </c>
      <c r="L512" s="790">
        <v>44979</v>
      </c>
      <c r="M512" s="804"/>
      <c r="N512" s="804"/>
      <c r="O512" s="761" t="s">
        <v>62</v>
      </c>
      <c r="P512" s="3" t="s">
        <v>2900</v>
      </c>
      <c r="Q512" s="804"/>
      <c r="R512" s="825"/>
      <c r="S512" s="3" t="s">
        <v>130</v>
      </c>
      <c r="T512" s="825"/>
      <c r="U512" s="786">
        <v>330.5</v>
      </c>
      <c r="V512" s="825"/>
      <c r="W512" s="825"/>
      <c r="X512" s="3" t="s">
        <v>2125</v>
      </c>
      <c r="Y512" s="761">
        <v>44979</v>
      </c>
      <c r="Z512" s="761" t="s">
        <v>62</v>
      </c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spans="2:39">
      <c r="B513" s="747">
        <v>3</v>
      </c>
      <c r="C513" s="748" t="s">
        <v>1792</v>
      </c>
      <c r="D513" s="3">
        <v>200101236</v>
      </c>
      <c r="E513" s="1469" t="s">
        <v>2901</v>
      </c>
      <c r="F513" s="749">
        <v>8</v>
      </c>
      <c r="G513" s="3" t="s">
        <v>128</v>
      </c>
      <c r="H513" s="804"/>
      <c r="I513" s="816">
        <v>466</v>
      </c>
      <c r="J513" s="804"/>
      <c r="K513" s="3" t="s">
        <v>2125</v>
      </c>
      <c r="L513" s="790">
        <v>44979</v>
      </c>
      <c r="M513" s="804"/>
      <c r="N513" s="804"/>
      <c r="O513" s="761" t="s">
        <v>62</v>
      </c>
      <c r="P513" s="3" t="s">
        <v>2902</v>
      </c>
      <c r="Q513" s="804"/>
      <c r="R513" s="825"/>
      <c r="S513" s="3" t="s">
        <v>130</v>
      </c>
      <c r="T513" s="825"/>
      <c r="U513" s="786">
        <v>329.9</v>
      </c>
      <c r="V513" s="825"/>
      <c r="W513" s="825"/>
      <c r="X513" s="3" t="s">
        <v>2125</v>
      </c>
      <c r="Y513" s="761">
        <v>44979</v>
      </c>
      <c r="Z513" s="761" t="s">
        <v>62</v>
      </c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spans="2:39">
      <c r="B514" s="747">
        <v>3</v>
      </c>
      <c r="C514" s="748" t="s">
        <v>1792</v>
      </c>
      <c r="D514" s="3">
        <v>200101086</v>
      </c>
      <c r="E514" s="1469" t="s">
        <v>2903</v>
      </c>
      <c r="F514" s="749">
        <v>9</v>
      </c>
      <c r="G514" s="3" t="s">
        <v>128</v>
      </c>
      <c r="H514" s="804"/>
      <c r="I514" s="3">
        <v>468.8</v>
      </c>
      <c r="J514" s="804"/>
      <c r="K514" s="3" t="s">
        <v>2125</v>
      </c>
      <c r="L514" s="790">
        <v>44979</v>
      </c>
      <c r="M514" s="804"/>
      <c r="N514" s="804"/>
      <c r="O514" s="761" t="s">
        <v>62</v>
      </c>
      <c r="P514" s="3" t="s">
        <v>2904</v>
      </c>
      <c r="Q514" s="804"/>
      <c r="R514" s="825"/>
      <c r="S514" s="3" t="s">
        <v>130</v>
      </c>
      <c r="T514" s="825"/>
      <c r="U514" s="3">
        <v>329.8</v>
      </c>
      <c r="V514" s="825"/>
      <c r="W514" s="825"/>
      <c r="X514" s="3" t="s">
        <v>2125</v>
      </c>
      <c r="Y514" s="761">
        <v>44979</v>
      </c>
      <c r="Z514" s="761" t="s">
        <v>62</v>
      </c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spans="2:39">
      <c r="B515" s="747">
        <v>3</v>
      </c>
      <c r="C515" s="748" t="s">
        <v>1792</v>
      </c>
      <c r="D515" s="3">
        <v>200101087</v>
      </c>
      <c r="E515" s="1469" t="s">
        <v>2905</v>
      </c>
      <c r="F515" s="749">
        <v>10</v>
      </c>
      <c r="G515" s="3" t="s">
        <v>128</v>
      </c>
      <c r="H515" s="804"/>
      <c r="I515" s="786">
        <v>468</v>
      </c>
      <c r="J515" s="804"/>
      <c r="K515" s="791" t="s">
        <v>2125</v>
      </c>
      <c r="L515" s="790">
        <v>44980</v>
      </c>
      <c r="M515" s="804"/>
      <c r="N515" s="804"/>
      <c r="O515" s="761" t="s">
        <v>62</v>
      </c>
      <c r="P515" s="3" t="s">
        <v>2906</v>
      </c>
      <c r="Q515" s="804"/>
      <c r="R515" s="825"/>
      <c r="S515" s="3" t="s">
        <v>130</v>
      </c>
      <c r="T515" s="825"/>
      <c r="U515" s="786">
        <v>329.8</v>
      </c>
      <c r="V515" s="825"/>
      <c r="W515" s="825"/>
      <c r="X515" s="3" t="s">
        <v>2125</v>
      </c>
      <c r="Y515" s="761">
        <v>44980</v>
      </c>
      <c r="Z515" s="761" t="s">
        <v>62</v>
      </c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spans="2:39">
      <c r="B516" s="747">
        <v>3</v>
      </c>
      <c r="C516" s="748" t="s">
        <v>1792</v>
      </c>
      <c r="D516" s="3">
        <v>200101088</v>
      </c>
      <c r="E516" s="1469" t="s">
        <v>2907</v>
      </c>
      <c r="F516" s="749">
        <v>11</v>
      </c>
      <c r="G516" s="3" t="s">
        <v>128</v>
      </c>
      <c r="H516" s="804"/>
      <c r="I516" s="786">
        <v>462.05</v>
      </c>
      <c r="J516" s="804"/>
      <c r="K516" s="827" t="s">
        <v>2125</v>
      </c>
      <c r="L516" s="790">
        <v>44981</v>
      </c>
      <c r="M516" s="804"/>
      <c r="N516" s="804"/>
      <c r="O516" s="761" t="s">
        <v>62</v>
      </c>
      <c r="P516" s="3" t="s">
        <v>2908</v>
      </c>
      <c r="Q516" s="804"/>
      <c r="R516" s="825"/>
      <c r="S516" s="3" t="s">
        <v>130</v>
      </c>
      <c r="T516" s="825"/>
      <c r="U516" s="786">
        <v>329.7</v>
      </c>
      <c r="V516" s="825"/>
      <c r="W516" s="825"/>
      <c r="X516" s="3" t="s">
        <v>2125</v>
      </c>
      <c r="Y516" s="761">
        <v>44980</v>
      </c>
      <c r="Z516" s="761" t="s">
        <v>62</v>
      </c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spans="2:39">
      <c r="B517" s="747">
        <v>3</v>
      </c>
      <c r="C517" s="748" t="s">
        <v>1792</v>
      </c>
      <c r="D517" s="3">
        <v>200101089</v>
      </c>
      <c r="E517" s="1469" t="s">
        <v>2909</v>
      </c>
      <c r="F517" s="749">
        <v>12</v>
      </c>
      <c r="G517" s="3" t="s">
        <v>128</v>
      </c>
      <c r="H517" s="804"/>
      <c r="I517" s="786">
        <v>465.15</v>
      </c>
      <c r="J517" s="804"/>
      <c r="K517" s="827" t="s">
        <v>2125</v>
      </c>
      <c r="L517" s="790">
        <v>44981</v>
      </c>
      <c r="M517" s="804"/>
      <c r="N517" s="804"/>
      <c r="O517" s="761" t="s">
        <v>62</v>
      </c>
      <c r="P517" s="3" t="s">
        <v>2910</v>
      </c>
      <c r="Q517" s="804"/>
      <c r="R517" s="825"/>
      <c r="S517" s="3" t="s">
        <v>130</v>
      </c>
      <c r="T517" s="825"/>
      <c r="U517" s="786">
        <v>330.25</v>
      </c>
      <c r="V517" s="825"/>
      <c r="W517" s="825"/>
      <c r="X517" s="3" t="s">
        <v>2125</v>
      </c>
      <c r="Y517" s="761">
        <v>44981</v>
      </c>
      <c r="Z517" s="761" t="s">
        <v>62</v>
      </c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spans="2:39">
      <c r="B518" s="747">
        <v>3</v>
      </c>
      <c r="C518" s="748" t="s">
        <v>1792</v>
      </c>
      <c r="D518" s="3">
        <v>200101090</v>
      </c>
      <c r="E518" s="1469" t="s">
        <v>2911</v>
      </c>
      <c r="F518" s="749">
        <v>13</v>
      </c>
      <c r="G518" s="3" t="s">
        <v>128</v>
      </c>
      <c r="H518" s="804"/>
      <c r="I518" s="786">
        <v>466.48</v>
      </c>
      <c r="J518" s="804"/>
      <c r="K518" s="827" t="s">
        <v>2125</v>
      </c>
      <c r="L518" s="790">
        <v>44981</v>
      </c>
      <c r="M518" s="804"/>
      <c r="N518" s="804"/>
      <c r="O518" s="761" t="s">
        <v>62</v>
      </c>
      <c r="P518" s="3" t="s">
        <v>2912</v>
      </c>
      <c r="Q518" s="804"/>
      <c r="R518" s="825"/>
      <c r="S518" s="3" t="s">
        <v>130</v>
      </c>
      <c r="T518" s="825"/>
      <c r="U518" s="786">
        <v>329.82</v>
      </c>
      <c r="V518" s="825"/>
      <c r="W518" s="825"/>
      <c r="X518" s="3" t="s">
        <v>2125</v>
      </c>
      <c r="Y518" s="761">
        <v>44981</v>
      </c>
      <c r="Z518" s="761" t="s">
        <v>62</v>
      </c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spans="2:39">
      <c r="B519" s="747">
        <v>3</v>
      </c>
      <c r="C519" s="748" t="s">
        <v>1792</v>
      </c>
      <c r="D519" s="3">
        <v>200101194</v>
      </c>
      <c r="E519" s="3">
        <v>31323</v>
      </c>
      <c r="F519" s="749">
        <v>14</v>
      </c>
      <c r="G519" s="3" t="s">
        <v>128</v>
      </c>
      <c r="H519" s="804"/>
      <c r="I519" s="786">
        <v>463.6</v>
      </c>
      <c r="J519" s="804"/>
      <c r="K519" s="827" t="s">
        <v>2125</v>
      </c>
      <c r="L519" s="790">
        <v>44985</v>
      </c>
      <c r="M519" s="804"/>
      <c r="N519" s="804"/>
      <c r="O519" s="761" t="s">
        <v>62</v>
      </c>
      <c r="P519" s="828" t="s">
        <v>2913</v>
      </c>
      <c r="Q519" s="804"/>
      <c r="R519" s="825"/>
      <c r="S519" s="3" t="s">
        <v>130</v>
      </c>
      <c r="T519" s="825"/>
      <c r="U519" s="786">
        <v>330.1</v>
      </c>
      <c r="V519" s="825"/>
      <c r="W519" s="825"/>
      <c r="X519" s="827" t="s">
        <v>2125</v>
      </c>
      <c r="Y519" s="790">
        <v>44985</v>
      </c>
      <c r="Z519" s="761" t="s">
        <v>62</v>
      </c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spans="2:39">
      <c r="B520" s="747">
        <v>3</v>
      </c>
      <c r="C520" s="748" t="s">
        <v>1792</v>
      </c>
      <c r="D520" s="3">
        <v>200101195</v>
      </c>
      <c r="E520" s="1469" t="s">
        <v>2914</v>
      </c>
      <c r="F520" s="749">
        <v>15</v>
      </c>
      <c r="G520" s="3" t="s">
        <v>128</v>
      </c>
      <c r="H520" s="804"/>
      <c r="I520" s="786">
        <v>464.9</v>
      </c>
      <c r="J520" s="804"/>
      <c r="K520" s="827" t="s">
        <v>2125</v>
      </c>
      <c r="L520" s="790">
        <v>44985</v>
      </c>
      <c r="M520" s="804"/>
      <c r="N520" s="804"/>
      <c r="O520" s="761" t="s">
        <v>62</v>
      </c>
      <c r="P520" s="3" t="s">
        <v>2915</v>
      </c>
      <c r="Q520" s="804"/>
      <c r="R520" s="825"/>
      <c r="S520" s="3" t="s">
        <v>130</v>
      </c>
      <c r="T520" s="825"/>
      <c r="U520" s="786">
        <f>329.9</f>
        <v>329.9</v>
      </c>
      <c r="V520" s="825"/>
      <c r="W520" s="825"/>
      <c r="X520" s="827" t="s">
        <v>2125</v>
      </c>
      <c r="Y520" s="790">
        <v>44985</v>
      </c>
      <c r="Z520" s="761" t="s">
        <v>62</v>
      </c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spans="2:39">
      <c r="B521" s="747">
        <v>3</v>
      </c>
      <c r="C521" s="748" t="s">
        <v>1792</v>
      </c>
      <c r="D521" s="3">
        <v>200101196</v>
      </c>
      <c r="E521" s="1469" t="s">
        <v>2916</v>
      </c>
      <c r="F521" s="749">
        <v>16</v>
      </c>
      <c r="G521" s="3" t="s">
        <v>128</v>
      </c>
      <c r="H521" s="804"/>
      <c r="I521" s="786">
        <v>465.7</v>
      </c>
      <c r="J521" s="804"/>
      <c r="K521" s="827" t="s">
        <v>2125</v>
      </c>
      <c r="L521" s="790">
        <v>44985</v>
      </c>
      <c r="M521" s="804"/>
      <c r="N521" s="804"/>
      <c r="O521" s="761" t="s">
        <v>62</v>
      </c>
      <c r="P521" s="3" t="s">
        <v>2917</v>
      </c>
      <c r="Q521" s="804"/>
      <c r="R521" s="825"/>
      <c r="S521" s="3" t="s">
        <v>130</v>
      </c>
      <c r="T521" s="825"/>
      <c r="U521" s="786">
        <v>330.1</v>
      </c>
      <c r="V521" s="825"/>
      <c r="W521" s="825"/>
      <c r="X521" s="827" t="s">
        <v>2125</v>
      </c>
      <c r="Y521" s="790">
        <v>44985</v>
      </c>
      <c r="Z521" s="761" t="s">
        <v>62</v>
      </c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spans="2:39">
      <c r="B522" s="747">
        <v>3</v>
      </c>
      <c r="C522" s="748" t="s">
        <v>1792</v>
      </c>
      <c r="D522" s="3">
        <v>200101263</v>
      </c>
      <c r="E522" s="1469" t="s">
        <v>2918</v>
      </c>
      <c r="F522" s="749">
        <v>17</v>
      </c>
      <c r="G522" s="3" t="s">
        <v>128</v>
      </c>
      <c r="H522" s="804"/>
      <c r="I522" s="785">
        <v>465.6</v>
      </c>
      <c r="J522" s="804"/>
      <c r="K522" s="827" t="s">
        <v>1716</v>
      </c>
      <c r="L522" s="790">
        <v>44986</v>
      </c>
      <c r="M522" s="804"/>
      <c r="N522" s="804"/>
      <c r="O522" s="761" t="s">
        <v>62</v>
      </c>
      <c r="P522" s="3" t="s">
        <v>2919</v>
      </c>
      <c r="Q522" s="804"/>
      <c r="R522" s="825"/>
      <c r="S522" s="3" t="s">
        <v>130</v>
      </c>
      <c r="T522" s="825"/>
      <c r="U522" s="785">
        <v>330</v>
      </c>
      <c r="V522" s="825"/>
      <c r="W522" s="825"/>
      <c r="X522" s="3" t="s">
        <v>1716</v>
      </c>
      <c r="Y522" s="761">
        <v>44986</v>
      </c>
      <c r="Z522" s="761" t="s">
        <v>62</v>
      </c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spans="2:39">
      <c r="B523" s="747">
        <v>3</v>
      </c>
      <c r="C523" s="748" t="s">
        <v>1792</v>
      </c>
      <c r="D523" s="3">
        <v>200101264</v>
      </c>
      <c r="E523" s="1469" t="s">
        <v>2920</v>
      </c>
      <c r="F523" s="749">
        <v>18</v>
      </c>
      <c r="G523" s="3" t="s">
        <v>128</v>
      </c>
      <c r="H523" s="804"/>
      <c r="I523" s="785">
        <v>463.1</v>
      </c>
      <c r="J523" s="804"/>
      <c r="K523" s="827" t="s">
        <v>1716</v>
      </c>
      <c r="L523" s="790">
        <v>44986</v>
      </c>
      <c r="M523" s="804"/>
      <c r="N523" s="804"/>
      <c r="O523" s="761" t="s">
        <v>62</v>
      </c>
      <c r="P523" s="3" t="s">
        <v>2921</v>
      </c>
      <c r="Q523" s="804"/>
      <c r="R523" s="825"/>
      <c r="S523" s="3" t="s">
        <v>130</v>
      </c>
      <c r="T523" s="825"/>
      <c r="U523" s="786">
        <v>330.1</v>
      </c>
      <c r="V523" s="825"/>
      <c r="W523" s="825"/>
      <c r="X523" s="3" t="s">
        <v>1716</v>
      </c>
      <c r="Y523" s="761">
        <v>44986</v>
      </c>
      <c r="Z523" s="761" t="s">
        <v>62</v>
      </c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spans="2:39">
      <c r="B524" s="747">
        <v>3</v>
      </c>
      <c r="C524" s="748" t="s">
        <v>1792</v>
      </c>
      <c r="D524" s="3">
        <v>200101265</v>
      </c>
      <c r="E524" s="1469" t="s">
        <v>2922</v>
      </c>
      <c r="F524" s="749">
        <f>F523+1</f>
        <v>19</v>
      </c>
      <c r="G524" s="3" t="s">
        <v>128</v>
      </c>
      <c r="H524" s="804"/>
      <c r="I524" s="785">
        <v>466.8</v>
      </c>
      <c r="J524" s="804"/>
      <c r="K524" s="827" t="s">
        <v>1716</v>
      </c>
      <c r="L524" s="790">
        <v>44986</v>
      </c>
      <c r="M524" s="804"/>
      <c r="N524" s="804"/>
      <c r="O524" s="761" t="s">
        <v>62</v>
      </c>
      <c r="P524" s="3" t="s">
        <v>2923</v>
      </c>
      <c r="Q524" s="804"/>
      <c r="R524" s="825"/>
      <c r="S524" s="3" t="s">
        <v>130</v>
      </c>
      <c r="T524" s="825"/>
      <c r="U524" s="786">
        <v>330.3</v>
      </c>
      <c r="V524" s="825"/>
      <c r="W524" s="825"/>
      <c r="X524" s="3" t="s">
        <v>1716</v>
      </c>
      <c r="Y524" s="761">
        <v>44986</v>
      </c>
      <c r="Z524" s="761" t="s">
        <v>62</v>
      </c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spans="2:39">
      <c r="B525" s="747">
        <v>3</v>
      </c>
      <c r="C525" s="748" t="s">
        <v>1792</v>
      </c>
      <c r="D525" s="3">
        <v>200101266</v>
      </c>
      <c r="E525" s="1469" t="s">
        <v>2924</v>
      </c>
      <c r="F525" s="749">
        <f t="shared" ref="F525:F532" si="6">F524+1</f>
        <v>20</v>
      </c>
      <c r="G525" s="3" t="s">
        <v>128</v>
      </c>
      <c r="H525" s="804"/>
      <c r="I525" s="786">
        <v>463.8</v>
      </c>
      <c r="J525" s="804"/>
      <c r="K525" s="827" t="s">
        <v>1716</v>
      </c>
      <c r="L525" s="790">
        <v>44988</v>
      </c>
      <c r="M525" s="804"/>
      <c r="N525" s="804"/>
      <c r="O525" s="761" t="s">
        <v>62</v>
      </c>
      <c r="P525" s="3" t="s">
        <v>2925</v>
      </c>
      <c r="Q525" s="804"/>
      <c r="R525" s="825"/>
      <c r="S525" s="3" t="s">
        <v>130</v>
      </c>
      <c r="T525" s="825"/>
      <c r="U525" s="786">
        <v>330.3</v>
      </c>
      <c r="V525" s="825"/>
      <c r="W525" s="825"/>
      <c r="X525" s="3" t="s">
        <v>1716</v>
      </c>
      <c r="Y525" s="761">
        <v>44987</v>
      </c>
      <c r="Z525" s="761" t="s">
        <v>62</v>
      </c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spans="2:39">
      <c r="B526" s="747">
        <v>3</v>
      </c>
      <c r="C526" s="748" t="s">
        <v>1792</v>
      </c>
      <c r="D526" s="3">
        <v>200101267</v>
      </c>
      <c r="E526" s="1469" t="s">
        <v>2926</v>
      </c>
      <c r="F526" s="749">
        <f t="shared" si="6"/>
        <v>21</v>
      </c>
      <c r="G526" s="3" t="s">
        <v>128</v>
      </c>
      <c r="H526" s="804"/>
      <c r="I526" s="786">
        <v>467.5</v>
      </c>
      <c r="J526" s="804"/>
      <c r="K526" s="827" t="s">
        <v>1716</v>
      </c>
      <c r="L526" s="790">
        <v>44988</v>
      </c>
      <c r="M526" s="804"/>
      <c r="N526" s="804"/>
      <c r="O526" s="761" t="s">
        <v>62</v>
      </c>
      <c r="P526" s="3" t="s">
        <v>2927</v>
      </c>
      <c r="Q526" s="804"/>
      <c r="R526" s="825"/>
      <c r="S526" s="3" t="s">
        <v>130</v>
      </c>
      <c r="T526" s="825"/>
      <c r="U526" s="786">
        <v>330.3</v>
      </c>
      <c r="V526" s="825"/>
      <c r="W526" s="825"/>
      <c r="X526" s="3" t="s">
        <v>1716</v>
      </c>
      <c r="Y526" s="761">
        <v>44987</v>
      </c>
      <c r="Z526" s="761" t="s">
        <v>62</v>
      </c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spans="2:39">
      <c r="B527" s="747">
        <v>3</v>
      </c>
      <c r="C527" s="748" t="s">
        <v>1792</v>
      </c>
      <c r="D527" s="3">
        <v>200101268</v>
      </c>
      <c r="E527" s="1469" t="s">
        <v>2928</v>
      </c>
      <c r="F527" s="749">
        <f t="shared" si="6"/>
        <v>22</v>
      </c>
      <c r="G527" s="3" t="s">
        <v>128</v>
      </c>
      <c r="H527" s="804"/>
      <c r="I527" s="786">
        <v>465.3</v>
      </c>
      <c r="J527" s="804"/>
      <c r="K527" s="827" t="s">
        <v>1716</v>
      </c>
      <c r="L527" s="790">
        <v>44988</v>
      </c>
      <c r="M527" s="804"/>
      <c r="N527" s="804"/>
      <c r="O527" s="761" t="s">
        <v>62</v>
      </c>
      <c r="P527" s="3" t="s">
        <v>2929</v>
      </c>
      <c r="Q527" s="804"/>
      <c r="R527" s="825"/>
      <c r="S527" s="3" t="s">
        <v>130</v>
      </c>
      <c r="T527" s="825"/>
      <c r="U527" s="786">
        <v>330.2</v>
      </c>
      <c r="V527" s="825"/>
      <c r="W527" s="825"/>
      <c r="X527" s="3" t="s">
        <v>1716</v>
      </c>
      <c r="Y527" s="761">
        <v>44988</v>
      </c>
      <c r="Z527" s="761" t="s">
        <v>62</v>
      </c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spans="2:39">
      <c r="B528" s="747">
        <v>3</v>
      </c>
      <c r="C528" s="748" t="s">
        <v>1792</v>
      </c>
      <c r="D528" s="3">
        <v>200101269</v>
      </c>
      <c r="E528" s="1469" t="s">
        <v>2930</v>
      </c>
      <c r="F528" s="749">
        <f t="shared" si="6"/>
        <v>23</v>
      </c>
      <c r="G528" s="3" t="s">
        <v>128</v>
      </c>
      <c r="H528" s="804"/>
      <c r="I528" s="786">
        <v>464.5</v>
      </c>
      <c r="J528" s="804"/>
      <c r="K528" s="827" t="s">
        <v>1716</v>
      </c>
      <c r="L528" s="790">
        <v>44991</v>
      </c>
      <c r="M528" s="804"/>
      <c r="N528" s="804"/>
      <c r="O528" s="761" t="s">
        <v>62</v>
      </c>
      <c r="P528" s="3" t="s">
        <v>2931</v>
      </c>
      <c r="Q528" s="804"/>
      <c r="R528" s="825"/>
      <c r="S528" s="3" t="s">
        <v>130</v>
      </c>
      <c r="T528" s="825"/>
      <c r="U528" s="786">
        <v>330.3</v>
      </c>
      <c r="V528" s="825"/>
      <c r="W528" s="825"/>
      <c r="X528" s="3" t="s">
        <v>1716</v>
      </c>
      <c r="Y528" s="761">
        <v>44988</v>
      </c>
      <c r="Z528" s="761" t="s">
        <v>62</v>
      </c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spans="1:39">
      <c r="B529" s="747">
        <v>3</v>
      </c>
      <c r="C529" s="748" t="s">
        <v>1792</v>
      </c>
      <c r="D529" s="3">
        <v>200101270</v>
      </c>
      <c r="E529" s="1469" t="s">
        <v>2932</v>
      </c>
      <c r="F529" s="749">
        <f t="shared" si="6"/>
        <v>24</v>
      </c>
      <c r="G529" s="3" t="s">
        <v>128</v>
      </c>
      <c r="H529" s="804"/>
      <c r="I529" s="786">
        <v>467</v>
      </c>
      <c r="J529" s="804"/>
      <c r="K529" s="827" t="s">
        <v>1716</v>
      </c>
      <c r="L529" s="790">
        <v>44991</v>
      </c>
      <c r="M529" s="804"/>
      <c r="N529" s="804"/>
      <c r="O529" s="761" t="s">
        <v>62</v>
      </c>
      <c r="P529" s="3" t="s">
        <v>2933</v>
      </c>
      <c r="Q529" s="804"/>
      <c r="R529" s="825"/>
      <c r="S529" s="3" t="s">
        <v>130</v>
      </c>
      <c r="T529" s="825"/>
      <c r="U529" s="786">
        <v>330.1</v>
      </c>
      <c r="V529" s="825"/>
      <c r="W529" s="825"/>
      <c r="X529" s="3" t="s">
        <v>1716</v>
      </c>
      <c r="Y529" s="761">
        <v>44988</v>
      </c>
      <c r="Z529" s="761" t="s">
        <v>62</v>
      </c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spans="1:39">
      <c r="B530" s="747">
        <v>3</v>
      </c>
      <c r="C530" s="748" t="s">
        <v>1792</v>
      </c>
      <c r="D530" s="3">
        <v>200101271</v>
      </c>
      <c r="E530" s="1469" t="s">
        <v>2934</v>
      </c>
      <c r="F530" s="749">
        <f t="shared" si="6"/>
        <v>25</v>
      </c>
      <c r="G530" s="3" t="s">
        <v>128</v>
      </c>
      <c r="H530" s="804"/>
      <c r="I530" s="786">
        <v>464.3</v>
      </c>
      <c r="J530" s="804"/>
      <c r="K530" s="827" t="s">
        <v>1716</v>
      </c>
      <c r="L530" s="790">
        <v>44992</v>
      </c>
      <c r="M530" s="804"/>
      <c r="N530" s="804"/>
      <c r="O530" s="761" t="s">
        <v>62</v>
      </c>
      <c r="P530" s="3" t="s">
        <v>2935</v>
      </c>
      <c r="Q530" s="804"/>
      <c r="R530" s="825"/>
      <c r="S530" s="3" t="s">
        <v>130</v>
      </c>
      <c r="T530" s="825"/>
      <c r="U530" s="786">
        <v>330.1</v>
      </c>
      <c r="V530" s="825"/>
      <c r="W530" s="825"/>
      <c r="X530" s="3" t="s">
        <v>1716</v>
      </c>
      <c r="Y530" s="761">
        <v>44991</v>
      </c>
      <c r="Z530" s="761" t="s">
        <v>62</v>
      </c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spans="1:39">
      <c r="B531" s="747">
        <v>3</v>
      </c>
      <c r="C531" s="748" t="s">
        <v>1792</v>
      </c>
      <c r="D531" s="3">
        <v>200101259</v>
      </c>
      <c r="E531" s="1469" t="s">
        <v>2936</v>
      </c>
      <c r="F531" s="749">
        <f t="shared" si="6"/>
        <v>26</v>
      </c>
      <c r="G531" s="3" t="s">
        <v>128</v>
      </c>
      <c r="H531" s="804"/>
      <c r="I531" s="786">
        <v>467</v>
      </c>
      <c r="J531" s="804"/>
      <c r="K531" s="827" t="s">
        <v>1716</v>
      </c>
      <c r="L531" s="790">
        <v>44992</v>
      </c>
      <c r="M531" s="804"/>
      <c r="N531" s="804"/>
      <c r="O531" s="761" t="s">
        <v>62</v>
      </c>
      <c r="P531" s="3" t="s">
        <v>2937</v>
      </c>
      <c r="Q531" s="804"/>
      <c r="R531" s="825"/>
      <c r="S531" s="3" t="s">
        <v>130</v>
      </c>
      <c r="T531" s="825"/>
      <c r="U531" s="786">
        <v>329.8</v>
      </c>
      <c r="V531" s="825"/>
      <c r="W531" s="825"/>
      <c r="X531" s="3" t="s">
        <v>1716</v>
      </c>
      <c r="Y531" s="761">
        <v>44992</v>
      </c>
      <c r="Z531" s="761" t="s">
        <v>62</v>
      </c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spans="1:39">
      <c r="B532" s="747">
        <v>3</v>
      </c>
      <c r="C532" s="748" t="s">
        <v>1792</v>
      </c>
      <c r="D532" s="3">
        <v>200101340</v>
      </c>
      <c r="E532" s="1469" t="s">
        <v>2938</v>
      </c>
      <c r="F532" s="749">
        <f t="shared" si="6"/>
        <v>27</v>
      </c>
      <c r="G532" s="3" t="s">
        <v>128</v>
      </c>
      <c r="H532" s="804"/>
      <c r="I532" s="786">
        <v>466</v>
      </c>
      <c r="J532" s="804"/>
      <c r="K532" s="827" t="s">
        <v>1716</v>
      </c>
      <c r="L532" s="790">
        <v>44992</v>
      </c>
      <c r="M532" s="804"/>
      <c r="N532" s="804"/>
      <c r="O532" s="761" t="s">
        <v>62</v>
      </c>
      <c r="P532" s="3" t="s">
        <v>2939</v>
      </c>
      <c r="Q532" s="804"/>
      <c r="R532" s="825"/>
      <c r="S532" s="3" t="s">
        <v>130</v>
      </c>
      <c r="T532" s="825"/>
      <c r="U532" s="786">
        <v>329.8</v>
      </c>
      <c r="V532" s="825"/>
      <c r="W532" s="825"/>
      <c r="X532" s="3" t="s">
        <v>1716</v>
      </c>
      <c r="Y532" s="761">
        <v>44992</v>
      </c>
      <c r="Z532" s="761" t="s">
        <v>62</v>
      </c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spans="1:39">
      <c r="B533" s="747">
        <v>3</v>
      </c>
      <c r="C533" s="748" t="s">
        <v>1792</v>
      </c>
      <c r="D533" s="3">
        <v>200101365</v>
      </c>
      <c r="E533" s="1469" t="s">
        <v>2940</v>
      </c>
      <c r="F533" s="749">
        <f t="shared" ref="F533:F540" si="7">F532+1</f>
        <v>28</v>
      </c>
      <c r="G533" s="3" t="s">
        <v>128</v>
      </c>
      <c r="H533" s="804"/>
      <c r="I533" s="762">
        <v>467.6</v>
      </c>
      <c r="J533" s="804"/>
      <c r="K533" s="827" t="s">
        <v>1716</v>
      </c>
      <c r="L533" s="790">
        <v>44992</v>
      </c>
      <c r="M533" s="804"/>
      <c r="N533" s="804"/>
      <c r="O533" s="761" t="s">
        <v>62</v>
      </c>
      <c r="P533" s="3" t="s">
        <v>2941</v>
      </c>
      <c r="Q533" s="804"/>
      <c r="R533" s="825"/>
      <c r="S533" s="3" t="s">
        <v>130</v>
      </c>
      <c r="T533" s="825"/>
      <c r="U533" s="786">
        <f>330.1</f>
        <v>330.1</v>
      </c>
      <c r="V533" s="825"/>
      <c r="W533" s="825"/>
      <c r="X533" s="3" t="s">
        <v>1716</v>
      </c>
      <c r="Y533" s="761">
        <v>44993</v>
      </c>
      <c r="Z533" s="761" t="s">
        <v>62</v>
      </c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spans="1:39">
      <c r="B534" s="747">
        <v>3</v>
      </c>
      <c r="C534" s="748" t="s">
        <v>1792</v>
      </c>
      <c r="D534" s="3">
        <v>200101366</v>
      </c>
      <c r="E534" s="1469" t="s">
        <v>2942</v>
      </c>
      <c r="F534" s="749">
        <f t="shared" si="7"/>
        <v>29</v>
      </c>
      <c r="G534" s="3" t="s">
        <v>128</v>
      </c>
      <c r="H534" s="804"/>
      <c r="I534" s="786">
        <v>463.1</v>
      </c>
      <c r="J534" s="804"/>
      <c r="K534" s="827" t="s">
        <v>1716</v>
      </c>
      <c r="L534" s="790">
        <v>44993</v>
      </c>
      <c r="M534" s="804"/>
      <c r="N534" s="804"/>
      <c r="O534" s="761" t="s">
        <v>62</v>
      </c>
      <c r="P534" s="3" t="s">
        <v>2943</v>
      </c>
      <c r="Q534" s="804"/>
      <c r="R534" s="825"/>
      <c r="S534" s="3" t="s">
        <v>130</v>
      </c>
      <c r="T534" s="825"/>
      <c r="U534" s="786">
        <v>332</v>
      </c>
      <c r="V534" s="825"/>
      <c r="W534" s="825"/>
      <c r="X534" s="3" t="s">
        <v>1716</v>
      </c>
      <c r="Y534" s="761">
        <v>44993</v>
      </c>
      <c r="Z534" s="761" t="s">
        <v>62</v>
      </c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spans="1:39">
      <c r="B535" s="747">
        <v>3</v>
      </c>
      <c r="C535" s="748" t="s">
        <v>1792</v>
      </c>
      <c r="D535" s="3">
        <v>200101367</v>
      </c>
      <c r="E535" s="1469" t="s">
        <v>2944</v>
      </c>
      <c r="F535" s="749">
        <f t="shared" si="7"/>
        <v>30</v>
      </c>
      <c r="G535" s="3" t="s">
        <v>128</v>
      </c>
      <c r="H535" s="804"/>
      <c r="I535" s="786">
        <v>470.1</v>
      </c>
      <c r="J535" s="804"/>
      <c r="K535" s="827" t="s">
        <v>1716</v>
      </c>
      <c r="L535" s="790">
        <v>44993</v>
      </c>
      <c r="M535" s="804"/>
      <c r="N535" s="804"/>
      <c r="O535" s="761" t="s">
        <v>62</v>
      </c>
      <c r="P535" s="3" t="s">
        <v>2945</v>
      </c>
      <c r="Q535" s="804"/>
      <c r="R535" s="825"/>
      <c r="S535" s="3" t="s">
        <v>130</v>
      </c>
      <c r="T535" s="825"/>
      <c r="U535" s="786">
        <v>330.1</v>
      </c>
      <c r="V535" s="825"/>
      <c r="W535" s="825"/>
      <c r="X535" s="3" t="s">
        <v>1716</v>
      </c>
      <c r="Y535" s="761">
        <v>44994</v>
      </c>
      <c r="Z535" s="761" t="s">
        <v>62</v>
      </c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spans="1:39">
      <c r="B536" s="747">
        <v>3</v>
      </c>
      <c r="C536" s="748" t="s">
        <v>1792</v>
      </c>
      <c r="D536" s="3">
        <v>200101368</v>
      </c>
      <c r="E536" s="1469" t="s">
        <v>2946</v>
      </c>
      <c r="F536" s="749">
        <f t="shared" si="7"/>
        <v>31</v>
      </c>
      <c r="G536" s="3" t="s">
        <v>128</v>
      </c>
      <c r="H536" s="804"/>
      <c r="I536" s="786">
        <v>462.7</v>
      </c>
      <c r="J536" s="804"/>
      <c r="K536" s="827" t="s">
        <v>1716</v>
      </c>
      <c r="L536" s="790">
        <v>45000</v>
      </c>
      <c r="M536" s="804"/>
      <c r="N536" s="804"/>
      <c r="O536" s="761" t="s">
        <v>62</v>
      </c>
      <c r="P536" s="3" t="s">
        <v>2947</v>
      </c>
      <c r="Q536" s="804"/>
      <c r="R536" s="825"/>
      <c r="S536" s="3" t="s">
        <v>130</v>
      </c>
      <c r="T536" s="825"/>
      <c r="U536" s="786">
        <v>330</v>
      </c>
      <c r="V536" s="825"/>
      <c r="W536" s="825"/>
      <c r="X536" s="3" t="s">
        <v>1716</v>
      </c>
      <c r="Y536" s="761">
        <v>45001</v>
      </c>
      <c r="Z536" s="761" t="s">
        <v>62</v>
      </c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spans="1:39">
      <c r="B537" s="747">
        <v>3</v>
      </c>
      <c r="C537" s="748" t="s">
        <v>1792</v>
      </c>
      <c r="D537" s="3">
        <v>200101369</v>
      </c>
      <c r="E537" s="1469" t="s">
        <v>2948</v>
      </c>
      <c r="F537" s="749">
        <f t="shared" si="7"/>
        <v>32</v>
      </c>
      <c r="G537" s="3" t="s">
        <v>128</v>
      </c>
      <c r="H537" s="804"/>
      <c r="I537" s="786">
        <v>463.7</v>
      </c>
      <c r="J537" s="804"/>
      <c r="K537" s="827" t="s">
        <v>1716</v>
      </c>
      <c r="L537" s="790">
        <v>45001</v>
      </c>
      <c r="M537" s="804"/>
      <c r="N537" s="804"/>
      <c r="O537" s="761" t="s">
        <v>62</v>
      </c>
      <c r="P537" s="3" t="s">
        <v>2949</v>
      </c>
      <c r="Q537" s="804"/>
      <c r="R537" s="825"/>
      <c r="S537" s="3" t="s">
        <v>130</v>
      </c>
      <c r="T537" s="825"/>
      <c r="U537" s="786">
        <v>330.1</v>
      </c>
      <c r="V537" s="825"/>
      <c r="W537" s="825"/>
      <c r="X537" s="3" t="s">
        <v>1716</v>
      </c>
      <c r="Y537" s="761">
        <v>45001</v>
      </c>
      <c r="Z537" s="761" t="s">
        <v>62</v>
      </c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spans="1:39">
      <c r="B538" s="747">
        <v>3</v>
      </c>
      <c r="C538" s="748" t="s">
        <v>1792</v>
      </c>
      <c r="D538" s="3">
        <v>200101370</v>
      </c>
      <c r="E538" s="1469" t="s">
        <v>2950</v>
      </c>
      <c r="F538" s="749">
        <f t="shared" si="7"/>
        <v>33</v>
      </c>
      <c r="G538" s="3" t="s">
        <v>128</v>
      </c>
      <c r="H538" s="804"/>
      <c r="I538" s="786">
        <v>468.9</v>
      </c>
      <c r="J538" s="804"/>
      <c r="K538" s="827" t="s">
        <v>1716</v>
      </c>
      <c r="L538" s="790">
        <v>45002</v>
      </c>
      <c r="M538" s="804"/>
      <c r="N538" s="804"/>
      <c r="O538" s="761" t="s">
        <v>62</v>
      </c>
      <c r="P538" s="3" t="s">
        <v>2951</v>
      </c>
      <c r="Q538" s="804"/>
      <c r="R538" s="825"/>
      <c r="S538" s="3" t="s">
        <v>130</v>
      </c>
      <c r="T538" s="825"/>
      <c r="U538" s="786">
        <v>329.9</v>
      </c>
      <c r="V538" s="825"/>
      <c r="W538" s="825"/>
      <c r="X538" s="3" t="s">
        <v>1716</v>
      </c>
      <c r="Y538" s="761">
        <v>45001</v>
      </c>
      <c r="Z538" s="761" t="s">
        <v>62</v>
      </c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spans="1:39">
      <c r="B539" s="747">
        <v>3</v>
      </c>
      <c r="C539" s="748" t="s">
        <v>1792</v>
      </c>
      <c r="D539" s="3">
        <v>200101371</v>
      </c>
      <c r="E539" s="1469" t="s">
        <v>2952</v>
      </c>
      <c r="F539" s="749">
        <f t="shared" si="7"/>
        <v>34</v>
      </c>
      <c r="G539" s="3" t="s">
        <v>128</v>
      </c>
      <c r="H539" s="804"/>
      <c r="I539" s="786">
        <v>463.7</v>
      </c>
      <c r="J539" s="804"/>
      <c r="K539" s="827" t="s">
        <v>1716</v>
      </c>
      <c r="L539" s="790">
        <v>45002</v>
      </c>
      <c r="M539" s="804"/>
      <c r="N539" s="804"/>
      <c r="O539" s="761" t="s">
        <v>62</v>
      </c>
      <c r="P539" s="3" t="s">
        <v>2953</v>
      </c>
      <c r="Q539" s="804"/>
      <c r="R539" s="825"/>
      <c r="S539" s="3" t="s">
        <v>130</v>
      </c>
      <c r="T539" s="825"/>
      <c r="U539" s="786">
        <f>329.9</f>
        <v>329.9</v>
      </c>
      <c r="V539" s="825"/>
      <c r="W539" s="825"/>
      <c r="X539" s="3" t="s">
        <v>1716</v>
      </c>
      <c r="Y539" s="761">
        <v>45005</v>
      </c>
      <c r="Z539" s="761" t="s">
        <v>62</v>
      </c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spans="1:39">
      <c r="B540" s="747">
        <v>3</v>
      </c>
      <c r="C540" s="748" t="s">
        <v>1792</v>
      </c>
      <c r="D540" s="3">
        <v>200101345</v>
      </c>
      <c r="E540" s="1469" t="s">
        <v>2954</v>
      </c>
      <c r="F540" s="749">
        <f t="shared" si="7"/>
        <v>35</v>
      </c>
      <c r="G540" s="3" t="s">
        <v>128</v>
      </c>
      <c r="H540" s="804"/>
      <c r="I540" s="786">
        <v>458.93</v>
      </c>
      <c r="J540" s="804"/>
      <c r="K540" s="827" t="s">
        <v>1716</v>
      </c>
      <c r="L540" s="790">
        <v>45005</v>
      </c>
      <c r="M540" s="804"/>
      <c r="N540" s="804"/>
      <c r="O540" s="761" t="s">
        <v>62</v>
      </c>
      <c r="P540" s="3" t="s">
        <v>2955</v>
      </c>
      <c r="Q540" s="804"/>
      <c r="R540" s="825"/>
      <c r="S540" s="3" t="s">
        <v>130</v>
      </c>
      <c r="T540" s="825"/>
      <c r="U540" s="786">
        <v>330.2</v>
      </c>
      <c r="V540" s="825"/>
      <c r="W540" s="825"/>
      <c r="X540" s="3" t="s">
        <v>1716</v>
      </c>
      <c r="Y540" s="761">
        <v>45005</v>
      </c>
      <c r="Z540" s="761" t="s">
        <v>62</v>
      </c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spans="1:39" s="707" customFormat="1">
      <c r="A541"/>
      <c r="B541" s="805" t="s">
        <v>13</v>
      </c>
      <c r="C541" s="806" t="s">
        <v>2226</v>
      </c>
      <c r="D541" s="807"/>
      <c r="E541" s="807"/>
      <c r="F541" s="808"/>
      <c r="G541" s="807"/>
      <c r="H541" s="809"/>
      <c r="I541" s="820"/>
      <c r="J541" s="809"/>
      <c r="K541" s="829"/>
      <c r="L541" s="818"/>
      <c r="M541" s="809"/>
      <c r="N541" s="809"/>
      <c r="O541" s="819"/>
      <c r="P541" s="807"/>
      <c r="Q541" s="809"/>
      <c r="R541" s="807"/>
      <c r="S541" s="807"/>
      <c r="T541" s="807"/>
      <c r="U541" s="820"/>
      <c r="V541" s="807"/>
      <c r="W541" s="807"/>
      <c r="X541" s="807"/>
      <c r="Y541" s="819"/>
      <c r="Z541" s="819"/>
      <c r="AA541" s="710"/>
      <c r="AB541" s="710"/>
      <c r="AC541" s="710"/>
      <c r="AD541" s="710"/>
      <c r="AE541" s="710"/>
      <c r="AF541" s="710"/>
      <c r="AG541" s="710"/>
      <c r="AH541" s="710"/>
      <c r="AI541" s="710"/>
      <c r="AJ541" s="710"/>
      <c r="AK541" s="710"/>
      <c r="AL541" s="710"/>
      <c r="AM541" s="710"/>
    </row>
    <row r="542" spans="1:39">
      <c r="B542" s="747" t="s">
        <v>277</v>
      </c>
      <c r="C542" s="748" t="s">
        <v>1792</v>
      </c>
      <c r="D542" s="3">
        <v>200101479</v>
      </c>
      <c r="E542" s="1469" t="s">
        <v>2956</v>
      </c>
      <c r="F542" s="749">
        <v>1</v>
      </c>
      <c r="G542" s="3" t="s">
        <v>128</v>
      </c>
      <c r="H542" s="804"/>
      <c r="I542" s="786">
        <v>463.6</v>
      </c>
      <c r="J542" s="804"/>
      <c r="K542" s="827" t="s">
        <v>1716</v>
      </c>
      <c r="L542" s="790">
        <v>45005</v>
      </c>
      <c r="M542" s="804"/>
      <c r="N542" s="804"/>
      <c r="O542" s="761" t="s">
        <v>62</v>
      </c>
      <c r="P542" s="3" t="s">
        <v>2957</v>
      </c>
      <c r="Q542" s="804"/>
      <c r="R542" s="825"/>
      <c r="S542" s="3" t="s">
        <v>130</v>
      </c>
      <c r="T542" s="825"/>
      <c r="U542" s="786">
        <v>330.2</v>
      </c>
      <c r="V542" s="825"/>
      <c r="W542" s="825"/>
      <c r="X542" s="3" t="s">
        <v>1716</v>
      </c>
      <c r="Y542" s="761">
        <v>45008</v>
      </c>
      <c r="Z542" s="761" t="s">
        <v>62</v>
      </c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spans="1:39">
      <c r="B543" s="747" t="s">
        <v>277</v>
      </c>
      <c r="C543" s="748" t="s">
        <v>1792</v>
      </c>
      <c r="D543" s="3">
        <v>200101500</v>
      </c>
      <c r="E543" s="1469" t="s">
        <v>2958</v>
      </c>
      <c r="F543" s="749">
        <v>2</v>
      </c>
      <c r="G543" s="3" t="s">
        <v>128</v>
      </c>
      <c r="H543" s="804"/>
      <c r="I543" s="786">
        <v>466.7</v>
      </c>
      <c r="J543" s="804"/>
      <c r="K543" s="827" t="s">
        <v>1716</v>
      </c>
      <c r="L543" s="790">
        <v>45005</v>
      </c>
      <c r="M543" s="804"/>
      <c r="N543" s="804"/>
      <c r="O543" s="761" t="s">
        <v>62</v>
      </c>
      <c r="P543" s="3" t="s">
        <v>2959</v>
      </c>
      <c r="Q543" s="804"/>
      <c r="R543" s="825"/>
      <c r="S543" s="3" t="s">
        <v>130</v>
      </c>
      <c r="T543" s="825"/>
      <c r="U543" s="786">
        <v>330.2</v>
      </c>
      <c r="V543" s="825"/>
      <c r="W543" s="825"/>
      <c r="X543" s="3" t="s">
        <v>1716</v>
      </c>
      <c r="Y543" s="761">
        <v>45008</v>
      </c>
      <c r="Z543" s="761" t="s">
        <v>62</v>
      </c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spans="1:39">
      <c r="B544" s="747" t="s">
        <v>277</v>
      </c>
      <c r="C544" s="748" t="s">
        <v>1792</v>
      </c>
      <c r="D544" s="3">
        <v>200101501</v>
      </c>
      <c r="E544" s="1469" t="s">
        <v>2960</v>
      </c>
      <c r="F544" s="749">
        <v>3</v>
      </c>
      <c r="G544" s="3" t="s">
        <v>128</v>
      </c>
      <c r="H544" s="804"/>
      <c r="I544" s="786">
        <v>467.31</v>
      </c>
      <c r="J544" s="804"/>
      <c r="K544" s="827" t="s">
        <v>1716</v>
      </c>
      <c r="L544" s="790">
        <v>45005</v>
      </c>
      <c r="M544" s="804"/>
      <c r="N544" s="804"/>
      <c r="O544" s="761" t="s">
        <v>62</v>
      </c>
      <c r="P544" s="3" t="s">
        <v>2961</v>
      </c>
      <c r="Q544" s="804"/>
      <c r="R544" s="825"/>
      <c r="S544" s="3" t="s">
        <v>130</v>
      </c>
      <c r="T544" s="825"/>
      <c r="U544" s="786">
        <v>330.2</v>
      </c>
      <c r="V544" s="825"/>
      <c r="W544" s="825"/>
      <c r="X544" s="3" t="s">
        <v>1716</v>
      </c>
      <c r="Y544" s="761">
        <v>45008</v>
      </c>
      <c r="Z544" s="761" t="s">
        <v>62</v>
      </c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spans="1:39">
      <c r="B545" s="747" t="s">
        <v>277</v>
      </c>
      <c r="C545" s="748" t="s">
        <v>1792</v>
      </c>
      <c r="D545" s="3">
        <v>200101502</v>
      </c>
      <c r="E545" s="1469" t="s">
        <v>2962</v>
      </c>
      <c r="F545" s="749">
        <v>4</v>
      </c>
      <c r="G545" s="3" t="s">
        <v>128</v>
      </c>
      <c r="H545" s="804"/>
      <c r="I545" s="786">
        <v>465.12</v>
      </c>
      <c r="J545" s="804"/>
      <c r="K545" s="827" t="s">
        <v>1716</v>
      </c>
      <c r="L545" s="790">
        <v>45006</v>
      </c>
      <c r="M545" s="804"/>
      <c r="N545" s="804"/>
      <c r="O545" s="761" t="s">
        <v>62</v>
      </c>
      <c r="P545" s="3" t="s">
        <v>2963</v>
      </c>
      <c r="Q545" s="804"/>
      <c r="R545" s="825"/>
      <c r="S545" s="3" t="s">
        <v>130</v>
      </c>
      <c r="T545" s="825"/>
      <c r="U545" s="786">
        <v>330.1</v>
      </c>
      <c r="V545" s="825"/>
      <c r="W545" s="825"/>
      <c r="X545" s="3" t="s">
        <v>1716</v>
      </c>
      <c r="Y545" s="761">
        <v>45008</v>
      </c>
      <c r="Z545" s="761" t="s">
        <v>62</v>
      </c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spans="1:39">
      <c r="B546" s="747" t="s">
        <v>277</v>
      </c>
      <c r="C546" s="748" t="s">
        <v>1792</v>
      </c>
      <c r="D546" s="3">
        <v>200101521</v>
      </c>
      <c r="E546" s="1469" t="s">
        <v>2964</v>
      </c>
      <c r="F546" s="749">
        <v>5</v>
      </c>
      <c r="G546" s="3" t="s">
        <v>128</v>
      </c>
      <c r="H546" s="804"/>
      <c r="I546" s="786">
        <v>462.7</v>
      </c>
      <c r="J546" s="804"/>
      <c r="K546" s="827" t="s">
        <v>1716</v>
      </c>
      <c r="L546" s="790">
        <v>45015</v>
      </c>
      <c r="M546" s="804"/>
      <c r="N546" s="804"/>
      <c r="O546" s="761" t="s">
        <v>62</v>
      </c>
      <c r="P546" s="3" t="s">
        <v>2965</v>
      </c>
      <c r="Q546" s="804"/>
      <c r="R546" s="825"/>
      <c r="S546" s="3" t="s">
        <v>130</v>
      </c>
      <c r="T546" s="825"/>
      <c r="U546" s="786">
        <v>330.3</v>
      </c>
      <c r="V546" s="825"/>
      <c r="W546" s="825"/>
      <c r="X546" s="761" t="s">
        <v>1716</v>
      </c>
      <c r="Y546" s="761">
        <v>45015</v>
      </c>
      <c r="Z546" s="761" t="s">
        <v>62</v>
      </c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spans="1:39">
      <c r="B547" s="747" t="s">
        <v>277</v>
      </c>
      <c r="C547" s="748" t="s">
        <v>1792</v>
      </c>
      <c r="D547" s="3">
        <v>200101522</v>
      </c>
      <c r="E547" s="1469" t="s">
        <v>2966</v>
      </c>
      <c r="F547" s="749">
        <v>6</v>
      </c>
      <c r="G547" s="3" t="s">
        <v>128</v>
      </c>
      <c r="H547" s="804"/>
      <c r="I547" s="786">
        <v>467.8</v>
      </c>
      <c r="J547" s="804"/>
      <c r="K547" s="827" t="s">
        <v>1716</v>
      </c>
      <c r="L547" s="790">
        <v>45015</v>
      </c>
      <c r="M547" s="804"/>
      <c r="N547" s="804"/>
      <c r="O547" s="761" t="s">
        <v>62</v>
      </c>
      <c r="P547" s="3" t="s">
        <v>2967</v>
      </c>
      <c r="Q547" s="804"/>
      <c r="R547" s="825"/>
      <c r="S547" s="3" t="s">
        <v>130</v>
      </c>
      <c r="T547" s="825"/>
      <c r="U547" s="786">
        <v>330.1</v>
      </c>
      <c r="V547" s="825"/>
      <c r="W547" s="825"/>
      <c r="X547" s="761" t="s">
        <v>1716</v>
      </c>
      <c r="Y547" s="761">
        <v>45015</v>
      </c>
      <c r="Z547" s="761" t="s">
        <v>62</v>
      </c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spans="1:39">
      <c r="B548" s="747" t="s">
        <v>277</v>
      </c>
      <c r="C548" s="748" t="s">
        <v>1792</v>
      </c>
      <c r="D548" s="3">
        <v>200101523</v>
      </c>
      <c r="E548" s="1469" t="s">
        <v>2968</v>
      </c>
      <c r="F548" s="749">
        <v>7</v>
      </c>
      <c r="G548" s="3" t="s">
        <v>128</v>
      </c>
      <c r="H548" s="804"/>
      <c r="I548" s="786">
        <v>462.7</v>
      </c>
      <c r="J548" s="804"/>
      <c r="K548" s="827" t="s">
        <v>1716</v>
      </c>
      <c r="L548" s="790">
        <v>45015</v>
      </c>
      <c r="M548" s="804"/>
      <c r="N548" s="804"/>
      <c r="O548" s="761" t="s">
        <v>62</v>
      </c>
      <c r="P548" s="3" t="s">
        <v>2969</v>
      </c>
      <c r="Q548" s="804"/>
      <c r="R548" s="825"/>
      <c r="S548" s="3" t="s">
        <v>130</v>
      </c>
      <c r="T548" s="825"/>
      <c r="U548" s="786">
        <v>330.3</v>
      </c>
      <c r="V548" s="825"/>
      <c r="W548" s="825"/>
      <c r="X548" s="761" t="s">
        <v>1716</v>
      </c>
      <c r="Y548" s="761">
        <v>45015</v>
      </c>
      <c r="Z548" s="761" t="s">
        <v>62</v>
      </c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spans="1:39">
      <c r="B549" s="747" t="s">
        <v>277</v>
      </c>
      <c r="C549" s="748" t="s">
        <v>1792</v>
      </c>
      <c r="D549" s="3">
        <v>200101524</v>
      </c>
      <c r="E549" s="1469" t="s">
        <v>2970</v>
      </c>
      <c r="F549" s="749">
        <v>8</v>
      </c>
      <c r="G549" s="3" t="s">
        <v>128</v>
      </c>
      <c r="H549" s="804"/>
      <c r="I549" s="786">
        <v>471.1</v>
      </c>
      <c r="J549" s="804"/>
      <c r="K549" s="827" t="s">
        <v>1716</v>
      </c>
      <c r="L549" s="790">
        <v>45016</v>
      </c>
      <c r="M549" s="804"/>
      <c r="N549" s="804"/>
      <c r="O549" s="761" t="s">
        <v>62</v>
      </c>
      <c r="P549" s="3" t="s">
        <v>2971</v>
      </c>
      <c r="Q549" s="804"/>
      <c r="R549" s="825"/>
      <c r="S549" s="3" t="s">
        <v>130</v>
      </c>
      <c r="T549" s="825"/>
      <c r="U549" s="762">
        <v>330.2</v>
      </c>
      <c r="V549" s="825"/>
      <c r="W549" s="825"/>
      <c r="X549" s="761" t="s">
        <v>1716</v>
      </c>
      <c r="Y549" s="761">
        <v>45015</v>
      </c>
      <c r="Z549" s="761" t="s">
        <v>62</v>
      </c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spans="1:39">
      <c r="B550" s="747" t="s">
        <v>277</v>
      </c>
      <c r="C550" s="748" t="s">
        <v>1792</v>
      </c>
      <c r="D550" s="3">
        <v>200101525</v>
      </c>
      <c r="E550" s="1469" t="s">
        <v>2972</v>
      </c>
      <c r="F550" s="749">
        <v>9</v>
      </c>
      <c r="G550" s="3" t="s">
        <v>128</v>
      </c>
      <c r="H550" s="804"/>
      <c r="I550" s="786">
        <v>467.1</v>
      </c>
      <c r="J550" s="804"/>
      <c r="K550" s="827" t="s">
        <v>1716</v>
      </c>
      <c r="L550" s="790">
        <v>45016</v>
      </c>
      <c r="M550" s="804"/>
      <c r="N550" s="804"/>
      <c r="O550" s="761" t="s">
        <v>62</v>
      </c>
      <c r="P550" s="3" t="s">
        <v>2973</v>
      </c>
      <c r="Q550" s="804"/>
      <c r="R550" s="825"/>
      <c r="S550" s="3" t="s">
        <v>130</v>
      </c>
      <c r="T550" s="825"/>
      <c r="U550" s="3">
        <v>330.3</v>
      </c>
      <c r="V550" s="825"/>
      <c r="W550" s="825"/>
      <c r="X550" s="761" t="s">
        <v>1716</v>
      </c>
      <c r="Y550" s="761">
        <v>45016</v>
      </c>
      <c r="Z550" s="761" t="s">
        <v>62</v>
      </c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spans="1:39">
      <c r="B551" s="747" t="s">
        <v>277</v>
      </c>
      <c r="C551" s="748" t="s">
        <v>1792</v>
      </c>
      <c r="D551" s="3">
        <v>200101587</v>
      </c>
      <c r="E551" s="1469" t="s">
        <v>2974</v>
      </c>
      <c r="F551" s="749">
        <v>10</v>
      </c>
      <c r="G551" s="3" t="s">
        <v>128</v>
      </c>
      <c r="H551" s="804"/>
      <c r="I551" s="786">
        <v>466.7</v>
      </c>
      <c r="J551" s="804"/>
      <c r="K551" s="827" t="s">
        <v>1716</v>
      </c>
      <c r="L551" s="790">
        <v>45016</v>
      </c>
      <c r="M551" s="804"/>
      <c r="N551" s="804"/>
      <c r="O551" s="761" t="s">
        <v>62</v>
      </c>
      <c r="P551" s="3" t="s">
        <v>2975</v>
      </c>
      <c r="Q551" s="804"/>
      <c r="R551" s="825"/>
      <c r="S551" s="3" t="s">
        <v>130</v>
      </c>
      <c r="T551" s="825"/>
      <c r="U551" s="762">
        <v>330.2</v>
      </c>
      <c r="V551" s="825"/>
      <c r="W551" s="825"/>
      <c r="X551" s="761" t="s">
        <v>1716</v>
      </c>
      <c r="Y551" s="761">
        <v>45016</v>
      </c>
      <c r="Z551" s="761" t="s">
        <v>62</v>
      </c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spans="1:39">
      <c r="B552" s="747" t="s">
        <v>277</v>
      </c>
      <c r="C552" s="748" t="s">
        <v>1792</v>
      </c>
      <c r="D552" s="3">
        <v>200101588</v>
      </c>
      <c r="E552" s="1469" t="s">
        <v>2976</v>
      </c>
      <c r="F552" s="749">
        <v>11</v>
      </c>
      <c r="G552" s="3" t="s">
        <v>128</v>
      </c>
      <c r="H552" s="804"/>
      <c r="I552" s="786">
        <v>467.3</v>
      </c>
      <c r="J552" s="804"/>
      <c r="K552" s="827" t="s">
        <v>2272</v>
      </c>
      <c r="L552" s="790">
        <v>45019</v>
      </c>
      <c r="M552" s="804"/>
      <c r="N552" s="804"/>
      <c r="O552" s="761" t="s">
        <v>62</v>
      </c>
      <c r="P552" s="3" t="s">
        <v>2977</v>
      </c>
      <c r="Q552" s="804"/>
      <c r="R552" s="825"/>
      <c r="S552" s="3" t="s">
        <v>130</v>
      </c>
      <c r="T552" s="825"/>
      <c r="U552" s="762">
        <v>330.4</v>
      </c>
      <c r="V552" s="825"/>
      <c r="W552" s="825"/>
      <c r="X552" s="761" t="s">
        <v>1716</v>
      </c>
      <c r="Y552" s="761">
        <v>45016</v>
      </c>
      <c r="Z552" s="761" t="s">
        <v>62</v>
      </c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spans="1:39">
      <c r="B553" s="747" t="s">
        <v>277</v>
      </c>
      <c r="C553" s="748" t="s">
        <v>1792</v>
      </c>
      <c r="D553" s="3">
        <v>200101589</v>
      </c>
      <c r="E553" s="1469" t="s">
        <v>2978</v>
      </c>
      <c r="F553" s="749">
        <v>12</v>
      </c>
      <c r="G553" s="3" t="s">
        <v>128</v>
      </c>
      <c r="H553" s="804"/>
      <c r="I553" s="786">
        <v>468.6</v>
      </c>
      <c r="J553" s="804"/>
      <c r="K553" s="827" t="s">
        <v>2272</v>
      </c>
      <c r="L553" s="790">
        <v>45019</v>
      </c>
      <c r="M553" s="804"/>
      <c r="N553" s="804"/>
      <c r="O553" s="761" t="s">
        <v>62</v>
      </c>
      <c r="P553" s="3" t="s">
        <v>2979</v>
      </c>
      <c r="Q553" s="804"/>
      <c r="R553" s="825"/>
      <c r="S553" s="3" t="s">
        <v>130</v>
      </c>
      <c r="T553" s="825"/>
      <c r="U553" s="762">
        <v>330.4</v>
      </c>
      <c r="V553" s="825"/>
      <c r="W553" s="825"/>
      <c r="X553" s="761" t="s">
        <v>1716</v>
      </c>
      <c r="Y553" s="761">
        <v>45016</v>
      </c>
      <c r="Z553" s="761" t="s">
        <v>62</v>
      </c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spans="1:39" s="707" customFormat="1">
      <c r="A554"/>
      <c r="B554" s="805" t="s">
        <v>13</v>
      </c>
      <c r="C554" s="806" t="s">
        <v>1758</v>
      </c>
      <c r="D554" s="807"/>
      <c r="E554" s="807"/>
      <c r="F554" s="808"/>
      <c r="G554" s="807"/>
      <c r="H554" s="807"/>
      <c r="I554" s="820"/>
      <c r="J554" s="809"/>
      <c r="K554" s="829"/>
      <c r="L554" s="818"/>
      <c r="M554" s="809"/>
      <c r="N554" s="809"/>
      <c r="O554" s="819"/>
      <c r="P554" s="807"/>
      <c r="Q554" s="809"/>
      <c r="R554" s="807"/>
      <c r="S554" s="807"/>
      <c r="T554" s="807"/>
      <c r="U554" s="820"/>
      <c r="V554" s="807"/>
      <c r="W554" s="807"/>
      <c r="X554" s="819"/>
      <c r="Y554" s="819"/>
      <c r="Z554" s="819"/>
      <c r="AA554" s="710"/>
      <c r="AB554" s="710"/>
      <c r="AC554" s="710"/>
      <c r="AD554" s="710"/>
      <c r="AE554" s="710"/>
      <c r="AF554" s="710"/>
      <c r="AG554" s="710"/>
      <c r="AH554" s="710"/>
      <c r="AI554" s="710"/>
      <c r="AJ554" s="710"/>
      <c r="AK554" s="710"/>
      <c r="AL554" s="710"/>
      <c r="AM554" s="710"/>
    </row>
    <row r="555" spans="1:39">
      <c r="B555" s="747">
        <v>5</v>
      </c>
      <c r="C555" s="748" t="s">
        <v>1792</v>
      </c>
      <c r="D555" s="3">
        <v>200101655</v>
      </c>
      <c r="E555" s="1469" t="s">
        <v>2980</v>
      </c>
      <c r="F555" s="749">
        <v>1</v>
      </c>
      <c r="G555" s="1546" t="s">
        <v>2981</v>
      </c>
      <c r="H555" s="1547"/>
      <c r="I555" s="1547"/>
      <c r="J555" s="1547"/>
      <c r="K555" s="1547"/>
      <c r="L555" s="1547"/>
      <c r="M555" s="1547"/>
      <c r="N555" s="1547"/>
      <c r="O555" s="1547"/>
      <c r="P555" s="1547"/>
      <c r="Q555" s="1547"/>
      <c r="R555" s="1547"/>
      <c r="S555" s="1547"/>
      <c r="T555" s="1547"/>
      <c r="U555" s="1547"/>
      <c r="V555" s="1547"/>
      <c r="W555" s="1547"/>
      <c r="X555" s="1547"/>
      <c r="Y555" s="1548"/>
      <c r="Z555" s="152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spans="1:39">
      <c r="B556" s="747">
        <v>5</v>
      </c>
      <c r="C556" s="748" t="s">
        <v>1792</v>
      </c>
      <c r="D556" s="3">
        <v>200101656</v>
      </c>
      <c r="E556" s="1469" t="s">
        <v>2982</v>
      </c>
      <c r="F556" s="749">
        <v>2</v>
      </c>
      <c r="G556" s="1549"/>
      <c r="H556" s="1550"/>
      <c r="I556" s="1550"/>
      <c r="J556" s="1550"/>
      <c r="K556" s="1550"/>
      <c r="L556" s="1550"/>
      <c r="M556" s="1550"/>
      <c r="N556" s="1550"/>
      <c r="O556" s="1550"/>
      <c r="P556" s="1550"/>
      <c r="Q556" s="1550"/>
      <c r="R556" s="1550"/>
      <c r="S556" s="1550"/>
      <c r="T556" s="1550"/>
      <c r="U556" s="1550"/>
      <c r="V556" s="1550"/>
      <c r="W556" s="1550"/>
      <c r="X556" s="1550"/>
      <c r="Y556" s="1551"/>
      <c r="Z556" s="1530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spans="1:39">
      <c r="B557" s="747">
        <v>5</v>
      </c>
      <c r="C557" s="748" t="s">
        <v>1792</v>
      </c>
      <c r="D557" s="3">
        <v>200101657</v>
      </c>
      <c r="E557" s="1469" t="s">
        <v>2983</v>
      </c>
      <c r="F557" s="749">
        <v>3</v>
      </c>
      <c r="G557" s="1552"/>
      <c r="H557" s="1553"/>
      <c r="I557" s="1553"/>
      <c r="J557" s="1553"/>
      <c r="K557" s="1553"/>
      <c r="L557" s="1553"/>
      <c r="M557" s="1553"/>
      <c r="N557" s="1553"/>
      <c r="O557" s="1553"/>
      <c r="P557" s="1553"/>
      <c r="Q557" s="1553"/>
      <c r="R557" s="1553"/>
      <c r="S557" s="1553"/>
      <c r="T557" s="1553"/>
      <c r="U557" s="1553"/>
      <c r="V557" s="1553"/>
      <c r="W557" s="1553"/>
      <c r="X557" s="1553"/>
      <c r="Y557" s="1554"/>
      <c r="Z557" s="1531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spans="1:39">
      <c r="B558" s="747">
        <v>5</v>
      </c>
      <c r="C558" s="748" t="s">
        <v>1792</v>
      </c>
      <c r="D558" s="3">
        <v>200101745</v>
      </c>
      <c r="E558" s="1469" t="s">
        <v>2984</v>
      </c>
      <c r="F558" s="749">
        <v>4</v>
      </c>
      <c r="G558" s="3" t="s">
        <v>128</v>
      </c>
      <c r="H558" s="804"/>
      <c r="I558" s="830">
        <v>463.6</v>
      </c>
      <c r="J558" s="804"/>
      <c r="K558" s="827" t="s">
        <v>2272</v>
      </c>
      <c r="L558" s="790">
        <v>45033</v>
      </c>
      <c r="M558" s="804"/>
      <c r="N558" s="804"/>
      <c r="O558" s="761" t="s">
        <v>62</v>
      </c>
      <c r="P558" s="3" t="s">
        <v>2985</v>
      </c>
      <c r="Q558" s="804"/>
      <c r="R558" s="825"/>
      <c r="S558" s="3" t="s">
        <v>130</v>
      </c>
      <c r="T558" s="825"/>
      <c r="U558" s="830">
        <v>330</v>
      </c>
      <c r="V558" s="825"/>
      <c r="W558" s="825"/>
      <c r="X558" s="761" t="s">
        <v>2272</v>
      </c>
      <c r="Y558" s="761">
        <v>45033</v>
      </c>
      <c r="Z558" s="761" t="s">
        <v>62</v>
      </c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spans="1:39">
      <c r="B559" s="747">
        <v>5</v>
      </c>
      <c r="C559" s="748" t="s">
        <v>1792</v>
      </c>
      <c r="D559" s="3">
        <v>200101746</v>
      </c>
      <c r="E559" s="1469" t="s">
        <v>2986</v>
      </c>
      <c r="F559" s="749">
        <v>5</v>
      </c>
      <c r="G559" s="3" t="s">
        <v>128</v>
      </c>
      <c r="H559" s="804"/>
      <c r="I559" s="830">
        <v>468</v>
      </c>
      <c r="J559" s="804"/>
      <c r="K559" s="827" t="s">
        <v>2272</v>
      </c>
      <c r="L559" s="790">
        <v>45033</v>
      </c>
      <c r="M559" s="804"/>
      <c r="N559" s="804"/>
      <c r="O559" s="761" t="s">
        <v>62</v>
      </c>
      <c r="P559" s="3" t="s">
        <v>2987</v>
      </c>
      <c r="Q559" s="804"/>
      <c r="R559" s="825"/>
      <c r="S559" s="3" t="s">
        <v>130</v>
      </c>
      <c r="T559" s="825"/>
      <c r="U559" s="830">
        <v>329.9</v>
      </c>
      <c r="V559" s="825"/>
      <c r="W559" s="825"/>
      <c r="X559" s="761" t="s">
        <v>2272</v>
      </c>
      <c r="Y559" s="761">
        <v>45033</v>
      </c>
      <c r="Z559" s="761" t="s">
        <v>62</v>
      </c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spans="1:39">
      <c r="B560" s="747">
        <v>5</v>
      </c>
      <c r="C560" s="748" t="s">
        <v>1792</v>
      </c>
      <c r="D560" s="3">
        <v>200101747</v>
      </c>
      <c r="E560" s="1469" t="s">
        <v>2988</v>
      </c>
      <c r="F560" s="749">
        <v>6</v>
      </c>
      <c r="G560" s="3" t="s">
        <v>128</v>
      </c>
      <c r="H560" s="804"/>
      <c r="I560" s="830">
        <v>463.4</v>
      </c>
      <c r="J560" s="804"/>
      <c r="K560" s="827" t="s">
        <v>2272</v>
      </c>
      <c r="L560" s="790">
        <v>45034</v>
      </c>
      <c r="M560" s="804"/>
      <c r="N560" s="804"/>
      <c r="O560" s="761" t="s">
        <v>62</v>
      </c>
      <c r="P560" s="3" t="s">
        <v>2989</v>
      </c>
      <c r="Q560" s="804"/>
      <c r="R560" s="825"/>
      <c r="S560" s="3" t="s">
        <v>130</v>
      </c>
      <c r="T560" s="825"/>
      <c r="U560" s="830">
        <v>330.1</v>
      </c>
      <c r="V560" s="825"/>
      <c r="W560" s="825"/>
      <c r="X560" s="761" t="s">
        <v>2272</v>
      </c>
      <c r="Y560" s="761">
        <v>45042</v>
      </c>
      <c r="Z560" s="761" t="s">
        <v>62</v>
      </c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spans="2:39">
      <c r="B561" s="747">
        <v>5</v>
      </c>
      <c r="C561" s="748" t="s">
        <v>1792</v>
      </c>
      <c r="D561" s="3">
        <v>200101748</v>
      </c>
      <c r="E561" s="1469" t="s">
        <v>2990</v>
      </c>
      <c r="F561" s="749">
        <v>7</v>
      </c>
      <c r="G561" s="3" t="s">
        <v>128</v>
      </c>
      <c r="H561" s="804"/>
      <c r="I561" s="830">
        <v>467.4</v>
      </c>
      <c r="J561" s="804"/>
      <c r="K561" s="827" t="s">
        <v>2272</v>
      </c>
      <c r="L561" s="790">
        <v>45034</v>
      </c>
      <c r="M561" s="804"/>
      <c r="N561" s="804"/>
      <c r="O561" s="761" t="s">
        <v>62</v>
      </c>
      <c r="P561" s="3" t="s">
        <v>2991</v>
      </c>
      <c r="Q561" s="804"/>
      <c r="R561" s="825"/>
      <c r="S561" s="3" t="s">
        <v>130</v>
      </c>
      <c r="T561" s="825"/>
      <c r="U561" s="830">
        <v>329.7</v>
      </c>
      <c r="V561" s="825"/>
      <c r="W561" s="825"/>
      <c r="X561" s="761" t="s">
        <v>2272</v>
      </c>
      <c r="Y561" s="761">
        <v>45042</v>
      </c>
      <c r="Z561" s="761" t="s">
        <v>62</v>
      </c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spans="2:39">
      <c r="B562" s="747">
        <v>5</v>
      </c>
      <c r="C562" s="748" t="s">
        <v>1792</v>
      </c>
      <c r="D562" s="3">
        <v>200101749</v>
      </c>
      <c r="E562" s="1469" t="s">
        <v>2992</v>
      </c>
      <c r="F562" s="749">
        <v>8</v>
      </c>
      <c r="G562" s="3" t="s">
        <v>128</v>
      </c>
      <c r="H562" s="804"/>
      <c r="I562" s="830">
        <v>466</v>
      </c>
      <c r="J562" s="804"/>
      <c r="K562" s="827" t="s">
        <v>2272</v>
      </c>
      <c r="L562" s="790">
        <v>45042</v>
      </c>
      <c r="M562" s="804"/>
      <c r="N562" s="804"/>
      <c r="O562" s="761" t="s">
        <v>62</v>
      </c>
      <c r="P562" s="3" t="s">
        <v>2993</v>
      </c>
      <c r="Q562" s="804"/>
      <c r="R562" s="825"/>
      <c r="S562" s="3" t="s">
        <v>130</v>
      </c>
      <c r="T562" s="825"/>
      <c r="U562" s="830">
        <v>329.7</v>
      </c>
      <c r="V562" s="825"/>
      <c r="W562" s="825"/>
      <c r="X562" s="761" t="s">
        <v>2272</v>
      </c>
      <c r="Y562" s="761">
        <v>45042</v>
      </c>
      <c r="Z562" s="761" t="s">
        <v>62</v>
      </c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spans="2:39">
      <c r="B563" s="747">
        <v>5</v>
      </c>
      <c r="C563" s="748" t="s">
        <v>1792</v>
      </c>
      <c r="D563" s="3">
        <v>200101842</v>
      </c>
      <c r="E563" s="1469" t="s">
        <v>2994</v>
      </c>
      <c r="F563" s="749">
        <v>9</v>
      </c>
      <c r="G563" s="3" t="s">
        <v>128</v>
      </c>
      <c r="H563" s="804"/>
      <c r="I563" s="830">
        <v>463</v>
      </c>
      <c r="J563" s="804"/>
      <c r="K563" s="827" t="s">
        <v>2272</v>
      </c>
      <c r="L563" s="790">
        <v>45043</v>
      </c>
      <c r="M563" s="804"/>
      <c r="N563" s="804"/>
      <c r="O563" s="761" t="s">
        <v>62</v>
      </c>
      <c r="P563" s="3" t="s">
        <v>2995</v>
      </c>
      <c r="Q563" s="804"/>
      <c r="R563" s="825"/>
      <c r="S563" s="3" t="s">
        <v>130</v>
      </c>
      <c r="T563" s="825"/>
      <c r="U563" s="830">
        <v>330.2</v>
      </c>
      <c r="V563" s="825"/>
      <c r="W563" s="825"/>
      <c r="X563" s="761" t="s">
        <v>2272</v>
      </c>
      <c r="Y563" s="761">
        <v>45043</v>
      </c>
      <c r="Z563" s="761" t="s">
        <v>62</v>
      </c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spans="2:39">
      <c r="B564" s="747">
        <v>5</v>
      </c>
      <c r="C564" s="748" t="s">
        <v>1792</v>
      </c>
      <c r="D564" s="3">
        <v>200101843</v>
      </c>
      <c r="E564" s="1469" t="s">
        <v>2996</v>
      </c>
      <c r="F564" s="749">
        <v>10</v>
      </c>
      <c r="G564" s="3" t="s">
        <v>128</v>
      </c>
      <c r="H564" s="804"/>
      <c r="I564" s="830">
        <v>470.3</v>
      </c>
      <c r="J564" s="804"/>
      <c r="K564" s="827" t="s">
        <v>2272</v>
      </c>
      <c r="L564" s="790">
        <v>45043</v>
      </c>
      <c r="M564" s="804"/>
      <c r="N564" s="804"/>
      <c r="O564" s="761" t="s">
        <v>62</v>
      </c>
      <c r="P564" s="3" t="s">
        <v>2997</v>
      </c>
      <c r="Q564" s="804"/>
      <c r="R564" s="825"/>
      <c r="S564" s="3" t="s">
        <v>130</v>
      </c>
      <c r="T564" s="825"/>
      <c r="U564" s="830">
        <v>330</v>
      </c>
      <c r="V564" s="825"/>
      <c r="W564" s="825"/>
      <c r="X564" s="761" t="s">
        <v>2272</v>
      </c>
      <c r="Y564" s="761">
        <v>45043</v>
      </c>
      <c r="Z564" s="761" t="s">
        <v>62</v>
      </c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spans="2:39">
      <c r="B565" s="747">
        <v>5</v>
      </c>
      <c r="C565" s="748" t="s">
        <v>1792</v>
      </c>
      <c r="D565" s="3">
        <v>200101824</v>
      </c>
      <c r="E565" s="1469" t="s">
        <v>2998</v>
      </c>
      <c r="F565" s="749">
        <v>11</v>
      </c>
      <c r="G565" s="3" t="s">
        <v>128</v>
      </c>
      <c r="H565" s="804"/>
      <c r="I565" s="830">
        <v>464.3</v>
      </c>
      <c r="J565" s="804"/>
      <c r="K565" s="827" t="s">
        <v>2272</v>
      </c>
      <c r="L565" s="790">
        <v>45044</v>
      </c>
      <c r="M565" s="804"/>
      <c r="N565" s="804"/>
      <c r="O565" s="761" t="s">
        <v>62</v>
      </c>
      <c r="P565" s="3" t="s">
        <v>2999</v>
      </c>
      <c r="Q565" s="804"/>
      <c r="R565" s="825"/>
      <c r="S565" s="3" t="s">
        <v>130</v>
      </c>
      <c r="T565" s="825"/>
      <c r="U565" s="830">
        <v>330.1</v>
      </c>
      <c r="V565" s="825"/>
      <c r="W565" s="825"/>
      <c r="X565" s="761" t="s">
        <v>2272</v>
      </c>
      <c r="Y565" s="761">
        <v>45043</v>
      </c>
      <c r="Z565" s="761" t="s">
        <v>62</v>
      </c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spans="2:39">
      <c r="B566" s="747">
        <v>5</v>
      </c>
      <c r="C566" s="748" t="s">
        <v>1792</v>
      </c>
      <c r="D566" s="3">
        <v>200101864</v>
      </c>
      <c r="E566" s="1469" t="s">
        <v>3000</v>
      </c>
      <c r="F566" s="749">
        <v>12</v>
      </c>
      <c r="G566" s="3" t="s">
        <v>128</v>
      </c>
      <c r="H566" s="804"/>
      <c r="I566" s="786">
        <v>466.1</v>
      </c>
      <c r="J566" s="804"/>
      <c r="K566" s="827" t="s">
        <v>2327</v>
      </c>
      <c r="L566" s="790">
        <v>45051</v>
      </c>
      <c r="M566" s="804"/>
      <c r="N566" s="804"/>
      <c r="O566" s="761" t="s">
        <v>62</v>
      </c>
      <c r="P566" s="3" t="s">
        <v>3001</v>
      </c>
      <c r="Q566" s="804"/>
      <c r="R566" s="825"/>
      <c r="S566" s="3" t="s">
        <v>130</v>
      </c>
      <c r="T566" s="825"/>
      <c r="U566" s="762">
        <v>330</v>
      </c>
      <c r="V566" s="825"/>
      <c r="W566" s="825"/>
      <c r="X566" s="761" t="s">
        <v>2327</v>
      </c>
      <c r="Y566" s="761">
        <v>45051</v>
      </c>
      <c r="Z566" s="761" t="s">
        <v>62</v>
      </c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spans="2:39">
      <c r="B567" s="747">
        <v>5</v>
      </c>
      <c r="C567" s="748" t="s">
        <v>1792</v>
      </c>
      <c r="D567" s="3">
        <v>200101865</v>
      </c>
      <c r="E567" s="1469" t="s">
        <v>3002</v>
      </c>
      <c r="F567" s="749">
        <v>13</v>
      </c>
      <c r="G567" s="3" t="s">
        <v>128</v>
      </c>
      <c r="H567" s="804"/>
      <c r="I567" s="786">
        <f>153.6+157+158</f>
        <v>468.6</v>
      </c>
      <c r="J567" s="804"/>
      <c r="K567" s="827" t="s">
        <v>2327</v>
      </c>
      <c r="L567" s="790">
        <v>45051</v>
      </c>
      <c r="M567" s="804"/>
      <c r="N567" s="804"/>
      <c r="O567" s="761" t="s">
        <v>62</v>
      </c>
      <c r="P567" s="3" t="s">
        <v>3003</v>
      </c>
      <c r="Q567" s="804"/>
      <c r="R567" s="825"/>
      <c r="S567" s="3" t="s">
        <v>130</v>
      </c>
      <c r="T567" s="825"/>
      <c r="U567" s="786">
        <v>330.1</v>
      </c>
      <c r="V567" s="825"/>
      <c r="W567" s="825"/>
      <c r="X567" s="761" t="s">
        <v>2327</v>
      </c>
      <c r="Y567" s="761">
        <v>45051</v>
      </c>
      <c r="Z567" s="761" t="s">
        <v>62</v>
      </c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spans="2:39">
      <c r="B568" s="747">
        <v>5</v>
      </c>
      <c r="C568" s="748" t="s">
        <v>1792</v>
      </c>
      <c r="D568" s="3">
        <v>200101866</v>
      </c>
      <c r="E568" s="1469" t="s">
        <v>3004</v>
      </c>
      <c r="F568" s="749">
        <v>14</v>
      </c>
      <c r="G568" s="3" t="s">
        <v>128</v>
      </c>
      <c r="H568" s="804"/>
      <c r="I568" s="762">
        <v>470.6</v>
      </c>
      <c r="J568" s="804"/>
      <c r="K568" s="827" t="s">
        <v>2327</v>
      </c>
      <c r="L568" s="790">
        <v>45051</v>
      </c>
      <c r="M568" s="804"/>
      <c r="N568" s="804"/>
      <c r="O568" s="761" t="s">
        <v>62</v>
      </c>
      <c r="P568" s="3" t="s">
        <v>3005</v>
      </c>
      <c r="Q568" s="804"/>
      <c r="R568" s="825"/>
      <c r="S568" s="3" t="s">
        <v>130</v>
      </c>
      <c r="T568" s="825"/>
      <c r="U568" s="762">
        <v>330.2</v>
      </c>
      <c r="V568" s="825"/>
      <c r="W568" s="825"/>
      <c r="X568" s="761" t="s">
        <v>2327</v>
      </c>
      <c r="Y568" s="761">
        <v>45051</v>
      </c>
      <c r="Z568" s="761" t="s">
        <v>62</v>
      </c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spans="2:39">
      <c r="B569" s="747">
        <v>5</v>
      </c>
      <c r="C569" s="748" t="s">
        <v>1792</v>
      </c>
      <c r="D569" s="3">
        <v>200101867</v>
      </c>
      <c r="E569" s="1469" t="s">
        <v>3006</v>
      </c>
      <c r="F569" s="749">
        <v>15</v>
      </c>
      <c r="G569" s="3" t="s">
        <v>128</v>
      </c>
      <c r="H569" s="804"/>
      <c r="I569" s="786">
        <v>467.3</v>
      </c>
      <c r="J569" s="804"/>
      <c r="K569" s="827" t="s">
        <v>2327</v>
      </c>
      <c r="L569" s="790">
        <v>45051</v>
      </c>
      <c r="M569" s="804"/>
      <c r="N569" s="804"/>
      <c r="O569" s="761" t="s">
        <v>62</v>
      </c>
      <c r="P569" s="3" t="s">
        <v>3007</v>
      </c>
      <c r="Q569" s="804"/>
      <c r="R569" s="825"/>
      <c r="S569" s="3" t="s">
        <v>130</v>
      </c>
      <c r="T569" s="825"/>
      <c r="U569" s="762">
        <v>330</v>
      </c>
      <c r="V569" s="825"/>
      <c r="W569" s="825"/>
      <c r="X569" s="761" t="s">
        <v>2327</v>
      </c>
      <c r="Y569" s="761">
        <v>45054</v>
      </c>
      <c r="Z569" s="761" t="s">
        <v>62</v>
      </c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spans="2:39">
      <c r="B570" s="747">
        <v>5</v>
      </c>
      <c r="C570" s="748" t="s">
        <v>1792</v>
      </c>
      <c r="D570" s="3">
        <v>200101868</v>
      </c>
      <c r="E570" s="1469" t="s">
        <v>3008</v>
      </c>
      <c r="F570" s="749">
        <v>16</v>
      </c>
      <c r="G570" s="3" t="s">
        <v>128</v>
      </c>
      <c r="H570" s="804"/>
      <c r="I570" s="786">
        <f>152.7+155+155.6</f>
        <v>463.29999999999995</v>
      </c>
      <c r="J570" s="804"/>
      <c r="K570" s="827" t="s">
        <v>2327</v>
      </c>
      <c r="L570" s="790">
        <v>45054</v>
      </c>
      <c r="M570" s="804"/>
      <c r="N570" s="804"/>
      <c r="O570" s="761" t="s">
        <v>62</v>
      </c>
      <c r="P570" s="3" t="s">
        <v>3009</v>
      </c>
      <c r="Q570" s="804"/>
      <c r="R570" s="825"/>
      <c r="S570" s="3" t="s">
        <v>130</v>
      </c>
      <c r="T570" s="825"/>
      <c r="U570" s="762">
        <v>330</v>
      </c>
      <c r="V570" s="825"/>
      <c r="W570" s="825"/>
      <c r="X570" s="761" t="s">
        <v>2327</v>
      </c>
      <c r="Y570" s="761">
        <v>45054</v>
      </c>
      <c r="Z570" s="761" t="s">
        <v>62</v>
      </c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spans="2:39">
      <c r="B571" s="747">
        <v>5</v>
      </c>
      <c r="C571" s="748" t="s">
        <v>1792</v>
      </c>
      <c r="D571" s="3">
        <v>200101869</v>
      </c>
      <c r="E571" s="1469" t="s">
        <v>3010</v>
      </c>
      <c r="F571" s="749">
        <v>17</v>
      </c>
      <c r="G571" s="3" t="s">
        <v>128</v>
      </c>
      <c r="H571" s="804"/>
      <c r="I571" s="786">
        <v>468.9</v>
      </c>
      <c r="J571" s="804"/>
      <c r="K571" s="827" t="s">
        <v>2327</v>
      </c>
      <c r="L571" s="790">
        <v>45054</v>
      </c>
      <c r="M571" s="804"/>
      <c r="N571" s="804"/>
      <c r="O571" s="761" t="s">
        <v>62</v>
      </c>
      <c r="P571" s="3" t="s">
        <v>3011</v>
      </c>
      <c r="Q571" s="804"/>
      <c r="R571" s="825"/>
      <c r="S571" s="3" t="s">
        <v>130</v>
      </c>
      <c r="T571" s="825"/>
      <c r="U571" s="762">
        <v>329.9</v>
      </c>
      <c r="V571" s="825"/>
      <c r="W571" s="825"/>
      <c r="X571" s="761" t="s">
        <v>2327</v>
      </c>
      <c r="Y571" s="761">
        <v>45055</v>
      </c>
      <c r="Z571" s="761" t="s">
        <v>62</v>
      </c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spans="2:39">
      <c r="B572" s="747">
        <v>5</v>
      </c>
      <c r="C572" s="748" t="s">
        <v>1792</v>
      </c>
      <c r="D572" s="3">
        <v>200101955</v>
      </c>
      <c r="E572" s="1469" t="s">
        <v>3012</v>
      </c>
      <c r="F572" s="749">
        <v>18</v>
      </c>
      <c r="G572" s="3" t="s">
        <v>128</v>
      </c>
      <c r="H572" s="804"/>
      <c r="I572" s="762">
        <v>460.3</v>
      </c>
      <c r="J572" s="804"/>
      <c r="K572" s="827" t="s">
        <v>2327</v>
      </c>
      <c r="L572" s="790">
        <v>45056</v>
      </c>
      <c r="M572" s="804"/>
      <c r="N572" s="804"/>
      <c r="O572" s="761" t="s">
        <v>62</v>
      </c>
      <c r="P572" s="3" t="s">
        <v>3013</v>
      </c>
      <c r="Q572" s="804"/>
      <c r="R572" s="825"/>
      <c r="S572" s="3" t="s">
        <v>130</v>
      </c>
      <c r="T572" s="825"/>
      <c r="U572" s="762">
        <v>330.1</v>
      </c>
      <c r="V572" s="825"/>
      <c r="W572" s="825"/>
      <c r="X572" s="761" t="s">
        <v>2327</v>
      </c>
      <c r="Y572" s="761">
        <v>45055</v>
      </c>
      <c r="Z572" s="761" t="s">
        <v>62</v>
      </c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spans="2:39">
      <c r="B573" s="747">
        <v>5</v>
      </c>
      <c r="C573" s="748" t="s">
        <v>1792</v>
      </c>
      <c r="D573" s="3">
        <v>200101956</v>
      </c>
      <c r="E573" s="1469" t="s">
        <v>3014</v>
      </c>
      <c r="F573" s="749">
        <v>19</v>
      </c>
      <c r="G573" s="3" t="s">
        <v>128</v>
      </c>
      <c r="H573" s="804"/>
      <c r="I573" s="762">
        <f>154.8+154.4+155</f>
        <v>464.20000000000005</v>
      </c>
      <c r="J573" s="804"/>
      <c r="K573" s="827" t="s">
        <v>2327</v>
      </c>
      <c r="L573" s="790">
        <v>45057</v>
      </c>
      <c r="M573" s="804"/>
      <c r="N573" s="804"/>
      <c r="O573" s="761" t="s">
        <v>62</v>
      </c>
      <c r="P573" s="3" t="s">
        <v>3015</v>
      </c>
      <c r="Q573" s="804"/>
      <c r="R573" s="825"/>
      <c r="S573" s="3" t="s">
        <v>130</v>
      </c>
      <c r="T573" s="825"/>
      <c r="U573" s="762">
        <v>330</v>
      </c>
      <c r="V573" s="825"/>
      <c r="W573" s="825"/>
      <c r="X573" s="761" t="s">
        <v>2327</v>
      </c>
      <c r="Y573" s="761">
        <v>45056</v>
      </c>
      <c r="Z573" s="761" t="s">
        <v>62</v>
      </c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spans="2:39">
      <c r="B574" s="747">
        <v>5</v>
      </c>
      <c r="C574" s="748" t="s">
        <v>1792</v>
      </c>
      <c r="D574" s="3">
        <v>200101957</v>
      </c>
      <c r="E574" s="1469" t="s">
        <v>3016</v>
      </c>
      <c r="F574" s="749">
        <v>20</v>
      </c>
      <c r="G574" s="3" t="s">
        <v>128</v>
      </c>
      <c r="H574" s="804"/>
      <c r="I574" s="762">
        <f>156+156.9+155.2</f>
        <v>468.09999999999997</v>
      </c>
      <c r="J574" s="804"/>
      <c r="K574" s="827" t="s">
        <v>2327</v>
      </c>
      <c r="L574" s="790">
        <v>45057</v>
      </c>
      <c r="M574" s="804"/>
      <c r="N574" s="804"/>
      <c r="O574" s="761" t="s">
        <v>62</v>
      </c>
      <c r="P574" s="3" t="s">
        <v>3017</v>
      </c>
      <c r="Q574" s="804"/>
      <c r="R574" s="825"/>
      <c r="S574" s="3" t="s">
        <v>130</v>
      </c>
      <c r="T574" s="825"/>
      <c r="U574" s="762">
        <v>330</v>
      </c>
      <c r="V574" s="825"/>
      <c r="W574" s="825"/>
      <c r="X574" s="761" t="s">
        <v>2327</v>
      </c>
      <c r="Y574" s="761">
        <v>45057</v>
      </c>
      <c r="Z574" s="761" t="s">
        <v>62</v>
      </c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spans="2:39">
      <c r="B575" s="747">
        <v>5</v>
      </c>
      <c r="C575" s="748" t="s">
        <v>1792</v>
      </c>
      <c r="D575" s="3">
        <v>200101958</v>
      </c>
      <c r="E575" s="1469" t="s">
        <v>3018</v>
      </c>
      <c r="F575" s="749">
        <v>21</v>
      </c>
      <c r="G575" s="3" t="s">
        <v>128</v>
      </c>
      <c r="H575" s="804"/>
      <c r="I575" s="762">
        <v>459.7</v>
      </c>
      <c r="J575" s="804"/>
      <c r="K575" s="827" t="s">
        <v>2327</v>
      </c>
      <c r="L575" s="790">
        <v>45058</v>
      </c>
      <c r="M575" s="804"/>
      <c r="N575" s="804"/>
      <c r="O575" s="761" t="s">
        <v>62</v>
      </c>
      <c r="P575" s="3" t="s">
        <v>3019</v>
      </c>
      <c r="Q575" s="804"/>
      <c r="R575" s="825"/>
      <c r="S575" s="3" t="s">
        <v>130</v>
      </c>
      <c r="T575" s="825"/>
      <c r="U575" s="762">
        <v>330</v>
      </c>
      <c r="V575" s="825"/>
      <c r="W575" s="825"/>
      <c r="X575" s="761" t="s">
        <v>2327</v>
      </c>
      <c r="Y575" s="761">
        <v>45057</v>
      </c>
      <c r="Z575" s="761" t="s">
        <v>62</v>
      </c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spans="2:39">
      <c r="B576" s="747">
        <v>5</v>
      </c>
      <c r="C576" s="748" t="s">
        <v>1792</v>
      </c>
      <c r="D576" s="3">
        <v>200101959</v>
      </c>
      <c r="E576" s="1469" t="s">
        <v>3020</v>
      </c>
      <c r="F576" s="749">
        <v>22</v>
      </c>
      <c r="G576" s="3" t="s">
        <v>128</v>
      </c>
      <c r="H576" s="804"/>
      <c r="I576" s="762">
        <f>155.3+155.9+152.6</f>
        <v>463.80000000000007</v>
      </c>
      <c r="J576" s="804"/>
      <c r="K576" s="827" t="s">
        <v>2327</v>
      </c>
      <c r="L576" s="790">
        <v>45061</v>
      </c>
      <c r="M576" s="804"/>
      <c r="N576" s="804"/>
      <c r="O576" s="761" t="s">
        <v>62</v>
      </c>
      <c r="P576" s="3" t="s">
        <v>3021</v>
      </c>
      <c r="Q576" s="804"/>
      <c r="R576" s="825"/>
      <c r="S576" s="3" t="s">
        <v>130</v>
      </c>
      <c r="T576" s="825"/>
      <c r="U576" s="762">
        <v>330.5</v>
      </c>
      <c r="V576" s="825"/>
      <c r="W576" s="825"/>
      <c r="X576" s="761" t="s">
        <v>2327</v>
      </c>
      <c r="Y576" s="761">
        <v>45061</v>
      </c>
      <c r="Z576" s="761" t="s">
        <v>62</v>
      </c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spans="1:39">
      <c r="B577" s="747">
        <v>5</v>
      </c>
      <c r="C577" s="748" t="s">
        <v>1792</v>
      </c>
      <c r="D577" s="3">
        <v>200101960</v>
      </c>
      <c r="E577" s="1469" t="s">
        <v>3022</v>
      </c>
      <c r="F577" s="749">
        <v>23</v>
      </c>
      <c r="G577" s="3" t="s">
        <v>128</v>
      </c>
      <c r="H577" s="804"/>
      <c r="I577" s="762">
        <v>468.7</v>
      </c>
      <c r="J577" s="804"/>
      <c r="K577" s="827" t="s">
        <v>2327</v>
      </c>
      <c r="L577" s="790">
        <v>45061</v>
      </c>
      <c r="M577" s="804"/>
      <c r="N577" s="804"/>
      <c r="O577" s="761" t="s">
        <v>62</v>
      </c>
      <c r="P577" s="3" t="s">
        <v>3023</v>
      </c>
      <c r="Q577" s="804"/>
      <c r="R577" s="825"/>
      <c r="S577" s="3" t="s">
        <v>130</v>
      </c>
      <c r="T577" s="825"/>
      <c r="U577" s="762">
        <v>330.3</v>
      </c>
      <c r="V577" s="825"/>
      <c r="W577" s="825"/>
      <c r="X577" s="761" t="s">
        <v>2327</v>
      </c>
      <c r="Y577" s="761">
        <v>45061</v>
      </c>
      <c r="Z577" s="761" t="s">
        <v>62</v>
      </c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spans="1:39">
      <c r="B578" s="747">
        <v>5</v>
      </c>
      <c r="C578" s="748" t="s">
        <v>1792</v>
      </c>
      <c r="D578" s="3">
        <v>200101961</v>
      </c>
      <c r="E578" s="1469" t="s">
        <v>3024</v>
      </c>
      <c r="F578" s="749">
        <v>24</v>
      </c>
      <c r="G578" s="3" t="s">
        <v>128</v>
      </c>
      <c r="H578" s="804"/>
      <c r="I578" s="762">
        <v>467.2</v>
      </c>
      <c r="J578" s="804"/>
      <c r="K578" s="827" t="s">
        <v>2327</v>
      </c>
      <c r="L578" s="790">
        <v>45062</v>
      </c>
      <c r="M578" s="804"/>
      <c r="N578" s="804"/>
      <c r="O578" s="761" t="s">
        <v>62</v>
      </c>
      <c r="P578" s="3" t="s">
        <v>1600</v>
      </c>
      <c r="Q578" s="804"/>
      <c r="R578" s="825"/>
      <c r="S578" s="3" t="s">
        <v>130</v>
      </c>
      <c r="T578" s="825"/>
      <c r="U578" s="762">
        <v>330.4</v>
      </c>
      <c r="V578" s="825"/>
      <c r="W578" s="825"/>
      <c r="X578" s="761" t="s">
        <v>2327</v>
      </c>
      <c r="Y578" s="761">
        <v>45061</v>
      </c>
      <c r="Z578" s="761" t="s">
        <v>62</v>
      </c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spans="1:39" s="707" customFormat="1">
      <c r="A579"/>
      <c r="B579" s="805" t="s">
        <v>13</v>
      </c>
      <c r="C579" s="806" t="s">
        <v>1759</v>
      </c>
      <c r="D579" s="807"/>
      <c r="E579" s="807"/>
      <c r="F579" s="808"/>
      <c r="G579" s="807"/>
      <c r="H579" s="809"/>
      <c r="I579" s="837"/>
      <c r="J579" s="809"/>
      <c r="K579" s="829"/>
      <c r="L579" s="818"/>
      <c r="M579" s="809"/>
      <c r="N579" s="809"/>
      <c r="O579" s="819"/>
      <c r="P579" s="807"/>
      <c r="Q579" s="809"/>
      <c r="R579" s="807"/>
      <c r="S579" s="807"/>
      <c r="T579" s="807"/>
      <c r="U579" s="820"/>
      <c r="V579" s="807"/>
      <c r="W579" s="807"/>
      <c r="X579" s="819"/>
      <c r="Y579" s="819"/>
      <c r="Z579" s="819"/>
      <c r="AA579" s="710"/>
      <c r="AB579" s="710"/>
      <c r="AC579" s="710"/>
      <c r="AD579" s="710"/>
      <c r="AE579" s="710"/>
      <c r="AF579" s="710"/>
      <c r="AG579" s="710"/>
      <c r="AH579" s="710"/>
      <c r="AI579" s="710"/>
      <c r="AJ579" s="710"/>
      <c r="AK579" s="710"/>
      <c r="AL579" s="710"/>
      <c r="AM579" s="710"/>
    </row>
    <row r="580" spans="1:39">
      <c r="B580" s="747">
        <v>6</v>
      </c>
      <c r="C580" s="748" t="s">
        <v>1792</v>
      </c>
      <c r="D580" s="3">
        <v>200102008</v>
      </c>
      <c r="E580" s="1469" t="s">
        <v>3025</v>
      </c>
      <c r="F580" s="749">
        <v>1</v>
      </c>
      <c r="G580" s="3" t="s">
        <v>128</v>
      </c>
      <c r="H580" s="804"/>
      <c r="I580" s="762">
        <v>466.5</v>
      </c>
      <c r="J580" s="804"/>
      <c r="K580" s="827" t="s">
        <v>2327</v>
      </c>
      <c r="L580" s="790">
        <v>45063</v>
      </c>
      <c r="M580" s="804"/>
      <c r="N580" s="804"/>
      <c r="O580" s="761" t="s">
        <v>62</v>
      </c>
      <c r="P580" s="3" t="s">
        <v>3026</v>
      </c>
      <c r="Q580" s="804"/>
      <c r="R580" s="825"/>
      <c r="S580" s="3" t="s">
        <v>130</v>
      </c>
      <c r="T580" s="825"/>
      <c r="U580" s="762">
        <v>330.3</v>
      </c>
      <c r="V580" s="825"/>
      <c r="W580" s="825"/>
      <c r="X580" s="761" t="s">
        <v>2327</v>
      </c>
      <c r="Y580" s="761">
        <v>45062</v>
      </c>
      <c r="Z580" s="761" t="s">
        <v>62</v>
      </c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spans="1:39">
      <c r="B581" s="747">
        <v>6</v>
      </c>
      <c r="C581" s="748" t="s">
        <v>1792</v>
      </c>
      <c r="D581" s="3">
        <v>200102009</v>
      </c>
      <c r="E581" s="1469" t="s">
        <v>3027</v>
      </c>
      <c r="F581" s="749">
        <v>2</v>
      </c>
      <c r="G581" s="3" t="s">
        <v>128</v>
      </c>
      <c r="H581" s="804"/>
      <c r="I581" s="762">
        <v>468.4</v>
      </c>
      <c r="J581" s="804"/>
      <c r="K581" s="827" t="s">
        <v>2327</v>
      </c>
      <c r="L581" s="790">
        <v>45063</v>
      </c>
      <c r="M581" s="804"/>
      <c r="N581" s="804"/>
      <c r="O581" s="761" t="s">
        <v>62</v>
      </c>
      <c r="P581" s="3" t="s">
        <v>3028</v>
      </c>
      <c r="Q581" s="804"/>
      <c r="R581" s="825"/>
      <c r="S581" s="3" t="s">
        <v>130</v>
      </c>
      <c r="T581" s="825"/>
      <c r="U581" s="762">
        <v>330.2</v>
      </c>
      <c r="V581" s="825"/>
      <c r="W581" s="825"/>
      <c r="X581" s="761" t="s">
        <v>2327</v>
      </c>
      <c r="Y581" s="761">
        <v>45063</v>
      </c>
      <c r="Z581" s="761" t="s">
        <v>62</v>
      </c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spans="1:39">
      <c r="B582" s="747">
        <v>6</v>
      </c>
      <c r="C582" s="748" t="s">
        <v>1792</v>
      </c>
      <c r="D582" s="3">
        <v>200102010</v>
      </c>
      <c r="E582" s="1469" t="s">
        <v>3029</v>
      </c>
      <c r="F582" s="749">
        <v>3</v>
      </c>
      <c r="G582" s="3" t="s">
        <v>128</v>
      </c>
      <c r="H582" s="804"/>
      <c r="I582" s="762">
        <v>464.4</v>
      </c>
      <c r="J582" s="804"/>
      <c r="K582" s="827" t="s">
        <v>2327</v>
      </c>
      <c r="L582" s="790">
        <v>45065</v>
      </c>
      <c r="M582" s="804"/>
      <c r="N582" s="804"/>
      <c r="O582" s="761" t="s">
        <v>62</v>
      </c>
      <c r="P582" s="3" t="s">
        <v>3030</v>
      </c>
      <c r="Q582" s="804"/>
      <c r="R582" s="825"/>
      <c r="S582" s="3" t="s">
        <v>130</v>
      </c>
      <c r="T582" s="825"/>
      <c r="U582" s="762">
        <v>330.1</v>
      </c>
      <c r="V582" s="825"/>
      <c r="W582" s="825"/>
      <c r="X582" s="761" t="s">
        <v>2327</v>
      </c>
      <c r="Y582" s="761">
        <v>45065</v>
      </c>
      <c r="Z582" s="761" t="s">
        <v>62</v>
      </c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spans="1:39">
      <c r="B583" s="747">
        <v>6</v>
      </c>
      <c r="C583" s="748" t="s">
        <v>1792</v>
      </c>
      <c r="D583" s="3">
        <v>200102045</v>
      </c>
      <c r="E583" s="1469" t="s">
        <v>3031</v>
      </c>
      <c r="F583" s="749">
        <v>4</v>
      </c>
      <c r="G583" s="3" t="s">
        <v>128</v>
      </c>
      <c r="H583" s="804"/>
      <c r="I583" s="830">
        <v>467.7</v>
      </c>
      <c r="J583" s="804"/>
      <c r="K583" s="827" t="s">
        <v>2327</v>
      </c>
      <c r="L583" s="790">
        <v>45065</v>
      </c>
      <c r="M583" s="804"/>
      <c r="N583" s="804"/>
      <c r="O583" s="761" t="s">
        <v>62</v>
      </c>
      <c r="P583" s="3" t="s">
        <v>3032</v>
      </c>
      <c r="Q583" s="804"/>
      <c r="R583" s="825"/>
      <c r="S583" s="3" t="s">
        <v>130</v>
      </c>
      <c r="T583" s="825"/>
      <c r="U583" s="762">
        <v>330.3</v>
      </c>
      <c r="V583" s="825"/>
      <c r="W583" s="825"/>
      <c r="X583" s="761" t="s">
        <v>2327</v>
      </c>
      <c r="Y583" s="761">
        <v>45065</v>
      </c>
      <c r="Z583" s="761" t="s">
        <v>62</v>
      </c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spans="1:39">
      <c r="B584" s="747">
        <v>6</v>
      </c>
      <c r="C584" s="748" t="s">
        <v>1792</v>
      </c>
      <c r="D584" s="3">
        <v>200102046</v>
      </c>
      <c r="E584" s="1469" t="s">
        <v>3033</v>
      </c>
      <c r="F584" s="749">
        <v>5</v>
      </c>
      <c r="G584" s="3" t="s">
        <v>128</v>
      </c>
      <c r="H584" s="804"/>
      <c r="I584" s="762">
        <v>464.6</v>
      </c>
      <c r="J584" s="804"/>
      <c r="K584" s="827" t="s">
        <v>2327</v>
      </c>
      <c r="L584" s="790">
        <v>45068</v>
      </c>
      <c r="M584" s="804"/>
      <c r="N584" s="804"/>
      <c r="O584" s="761" t="s">
        <v>62</v>
      </c>
      <c r="P584" s="762" t="s">
        <v>3034</v>
      </c>
      <c r="Q584" s="804"/>
      <c r="R584" s="825"/>
      <c r="S584" s="3" t="s">
        <v>130</v>
      </c>
      <c r="T584" s="825"/>
      <c r="U584" s="762">
        <v>330.1</v>
      </c>
      <c r="V584" s="825"/>
      <c r="W584" s="825"/>
      <c r="X584" s="761" t="s">
        <v>2327</v>
      </c>
      <c r="Y584" s="761">
        <v>45068</v>
      </c>
      <c r="Z584" s="761" t="s">
        <v>62</v>
      </c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spans="1:39" ht="13.95" customHeight="1">
      <c r="B585" s="747">
        <v>6</v>
      </c>
      <c r="C585" s="748" t="s">
        <v>1792</v>
      </c>
      <c r="D585" s="3">
        <v>200102047</v>
      </c>
      <c r="E585" s="1469" t="s">
        <v>3035</v>
      </c>
      <c r="F585" s="749">
        <v>6</v>
      </c>
      <c r="G585" s="3" t="s">
        <v>128</v>
      </c>
      <c r="H585" s="804"/>
      <c r="I585" s="762">
        <v>466.9</v>
      </c>
      <c r="J585" s="804"/>
      <c r="K585" s="827" t="s">
        <v>2327</v>
      </c>
      <c r="L585" s="790">
        <v>45068</v>
      </c>
      <c r="M585" s="804"/>
      <c r="N585" s="804"/>
      <c r="O585" s="761" t="s">
        <v>62</v>
      </c>
      <c r="P585" s="762" t="s">
        <v>3036</v>
      </c>
      <c r="Q585" s="804"/>
      <c r="R585" s="825"/>
      <c r="S585" s="3" t="s">
        <v>130</v>
      </c>
      <c r="T585" s="825"/>
      <c r="U585" s="762">
        <v>330.1</v>
      </c>
      <c r="V585" s="825"/>
      <c r="W585" s="825"/>
      <c r="X585" s="761" t="s">
        <v>2327</v>
      </c>
      <c r="Y585" s="761">
        <v>45068</v>
      </c>
      <c r="Z585" s="761" t="s">
        <v>62</v>
      </c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spans="1:39" ht="13.95" customHeight="1">
      <c r="B586" s="747">
        <v>6</v>
      </c>
      <c r="C586" s="748" t="s">
        <v>1792</v>
      </c>
      <c r="D586" s="789">
        <v>200102060</v>
      </c>
      <c r="E586" s="1469" t="s">
        <v>3037</v>
      </c>
      <c r="F586" s="749">
        <v>7</v>
      </c>
      <c r="G586" s="3" t="s">
        <v>128</v>
      </c>
      <c r="H586" s="804"/>
      <c r="I586" s="762">
        <v>464.5</v>
      </c>
      <c r="J586" s="804"/>
      <c r="K586" s="827" t="s">
        <v>2327</v>
      </c>
      <c r="L586" s="790">
        <v>45069</v>
      </c>
      <c r="M586" s="804"/>
      <c r="N586" s="804"/>
      <c r="O586" s="761" t="s">
        <v>62</v>
      </c>
      <c r="P586" s="762" t="s">
        <v>3038</v>
      </c>
      <c r="Q586" s="804"/>
      <c r="R586" s="825"/>
      <c r="S586" s="3" t="s">
        <v>130</v>
      </c>
      <c r="T586" s="825"/>
      <c r="U586" s="762">
        <v>329.9</v>
      </c>
      <c r="V586" s="825"/>
      <c r="W586" s="825"/>
      <c r="X586" s="761" t="s">
        <v>2327</v>
      </c>
      <c r="Y586" s="761">
        <v>45069</v>
      </c>
      <c r="Z586" s="761" t="s">
        <v>62</v>
      </c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spans="1:39" ht="13.95" customHeight="1">
      <c r="B587" s="747">
        <v>6</v>
      </c>
      <c r="C587" s="748" t="s">
        <v>1792</v>
      </c>
      <c r="D587" s="789">
        <v>200102061</v>
      </c>
      <c r="E587" s="1469" t="s">
        <v>3039</v>
      </c>
      <c r="F587" s="749">
        <v>8</v>
      </c>
      <c r="G587" s="3" t="s">
        <v>128</v>
      </c>
      <c r="H587" s="804"/>
      <c r="I587" s="762">
        <v>469.4</v>
      </c>
      <c r="J587" s="804"/>
      <c r="K587" s="827" t="s">
        <v>2327</v>
      </c>
      <c r="L587" s="790">
        <v>45069</v>
      </c>
      <c r="M587" s="804"/>
      <c r="N587" s="804"/>
      <c r="O587" s="761" t="s">
        <v>62</v>
      </c>
      <c r="P587" s="762" t="s">
        <v>3040</v>
      </c>
      <c r="Q587" s="804"/>
      <c r="R587" s="825"/>
      <c r="S587" s="3" t="s">
        <v>130</v>
      </c>
      <c r="T587" s="825"/>
      <c r="U587" s="762">
        <v>330</v>
      </c>
      <c r="V587" s="825"/>
      <c r="W587" s="825"/>
      <c r="X587" s="761" t="s">
        <v>2327</v>
      </c>
      <c r="Y587" s="761">
        <v>45069</v>
      </c>
      <c r="Z587" s="761" t="s">
        <v>62</v>
      </c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spans="1:39" ht="13.95" customHeight="1">
      <c r="B588" s="747">
        <v>6</v>
      </c>
      <c r="C588" s="748" t="s">
        <v>1792</v>
      </c>
      <c r="D588" s="789">
        <v>200102062</v>
      </c>
      <c r="E588" s="1469" t="s">
        <v>3041</v>
      </c>
      <c r="F588" s="749">
        <v>9</v>
      </c>
      <c r="G588" s="3" t="s">
        <v>128</v>
      </c>
      <c r="H588" s="804"/>
      <c r="I588" s="762">
        <v>466</v>
      </c>
      <c r="J588" s="804"/>
      <c r="K588" s="827" t="s">
        <v>2327</v>
      </c>
      <c r="L588" s="790">
        <v>45070</v>
      </c>
      <c r="M588" s="804"/>
      <c r="N588" s="804"/>
      <c r="O588" s="761" t="s">
        <v>62</v>
      </c>
      <c r="P588" s="3" t="s">
        <v>3042</v>
      </c>
      <c r="Q588" s="804"/>
      <c r="R588" s="825"/>
      <c r="S588" s="3" t="s">
        <v>130</v>
      </c>
      <c r="T588" s="825"/>
      <c r="U588" s="762">
        <v>330.1</v>
      </c>
      <c r="V588" s="825"/>
      <c r="W588" s="825"/>
      <c r="X588" s="761" t="s">
        <v>2327</v>
      </c>
      <c r="Y588" s="761">
        <v>45069</v>
      </c>
      <c r="Z588" s="761" t="s">
        <v>62</v>
      </c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spans="1:39" ht="13.95" customHeight="1">
      <c r="B589" s="747">
        <v>6</v>
      </c>
      <c r="C589" s="748" t="s">
        <v>1792</v>
      </c>
      <c r="D589" s="789">
        <v>200102063</v>
      </c>
      <c r="E589" s="1469" t="s">
        <v>3043</v>
      </c>
      <c r="F589" s="749">
        <v>10</v>
      </c>
      <c r="G589" s="3" t="s">
        <v>128</v>
      </c>
      <c r="H589" s="804"/>
      <c r="I589" s="762">
        <v>466</v>
      </c>
      <c r="J589" s="804"/>
      <c r="K589" s="827" t="s">
        <v>2327</v>
      </c>
      <c r="L589" s="790">
        <v>45070</v>
      </c>
      <c r="M589" s="804"/>
      <c r="N589" s="804"/>
      <c r="O589" s="761" t="s">
        <v>62</v>
      </c>
      <c r="P589" s="3" t="s">
        <v>3044</v>
      </c>
      <c r="Q589" s="804"/>
      <c r="R589" s="825"/>
      <c r="S589" s="3" t="s">
        <v>130</v>
      </c>
      <c r="T589" s="825"/>
      <c r="U589" s="762">
        <v>330</v>
      </c>
      <c r="V589" s="825"/>
      <c r="W589" s="825"/>
      <c r="X589" s="761" t="s">
        <v>2327</v>
      </c>
      <c r="Y589" s="761">
        <v>45070</v>
      </c>
      <c r="Z589" s="761" t="s">
        <v>62</v>
      </c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spans="1:39" ht="13.95" customHeight="1">
      <c r="B590" s="747">
        <v>6</v>
      </c>
      <c r="C590" s="748" t="s">
        <v>1792</v>
      </c>
      <c r="D590" s="789">
        <v>200102064</v>
      </c>
      <c r="E590" s="1469" t="s">
        <v>3045</v>
      </c>
      <c r="F590" s="749">
        <v>11</v>
      </c>
      <c r="G590" s="3" t="s">
        <v>128</v>
      </c>
      <c r="H590" s="804"/>
      <c r="I590" s="762">
        <v>463.3</v>
      </c>
      <c r="J590" s="804"/>
      <c r="K590" s="827" t="s">
        <v>2327</v>
      </c>
      <c r="L590" s="790">
        <v>45071</v>
      </c>
      <c r="M590" s="804"/>
      <c r="N590" s="804"/>
      <c r="O590" s="761" t="s">
        <v>62</v>
      </c>
      <c r="P590" s="3" t="s">
        <v>3046</v>
      </c>
      <c r="Q590" s="804"/>
      <c r="R590" s="825"/>
      <c r="S590" s="3" t="s">
        <v>130</v>
      </c>
      <c r="T590" s="825"/>
      <c r="U590" s="762">
        <v>330.2</v>
      </c>
      <c r="V590" s="825"/>
      <c r="W590" s="825"/>
      <c r="X590" s="761" t="s">
        <v>2327</v>
      </c>
      <c r="Y590" s="761">
        <v>45070</v>
      </c>
      <c r="Z590" s="761" t="s">
        <v>62</v>
      </c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spans="1:39" ht="13.95" customHeight="1">
      <c r="B591" s="747">
        <v>6</v>
      </c>
      <c r="C591" s="748" t="s">
        <v>1792</v>
      </c>
      <c r="D591" s="789">
        <v>200102088</v>
      </c>
      <c r="E591" s="1469" t="s">
        <v>3047</v>
      </c>
      <c r="F591" s="749">
        <v>12</v>
      </c>
      <c r="G591" s="3" t="s">
        <v>128</v>
      </c>
      <c r="H591" s="804"/>
      <c r="I591" s="786">
        <v>460.5</v>
      </c>
      <c r="J591" s="804"/>
      <c r="K591" s="827" t="s">
        <v>2411</v>
      </c>
      <c r="L591" s="790">
        <v>45079</v>
      </c>
      <c r="M591" s="804"/>
      <c r="N591" s="804"/>
      <c r="O591" s="761" t="s">
        <v>62</v>
      </c>
      <c r="P591" s="3" t="s">
        <v>3048</v>
      </c>
      <c r="Q591" s="804"/>
      <c r="R591" s="825"/>
      <c r="S591" s="3" t="s">
        <v>130</v>
      </c>
      <c r="T591" s="825"/>
      <c r="U591" s="786">
        <v>330.4</v>
      </c>
      <c r="V591" s="825"/>
      <c r="W591" s="825"/>
      <c r="X591" s="761" t="s">
        <v>2411</v>
      </c>
      <c r="Y591" s="761">
        <v>45079</v>
      </c>
      <c r="Z591" s="761" t="s">
        <v>62</v>
      </c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spans="1:39" ht="13.95" customHeight="1">
      <c r="B592" s="747">
        <v>6</v>
      </c>
      <c r="C592" s="748" t="s">
        <v>1792</v>
      </c>
      <c r="D592" s="789">
        <v>200102089</v>
      </c>
      <c r="E592" s="1469" t="s">
        <v>3049</v>
      </c>
      <c r="F592" s="749">
        <v>13</v>
      </c>
      <c r="G592" s="3" t="s">
        <v>128</v>
      </c>
      <c r="H592" s="804"/>
      <c r="I592" s="786">
        <v>469.3</v>
      </c>
      <c r="J592" s="804"/>
      <c r="K592" s="827" t="s">
        <v>2411</v>
      </c>
      <c r="L592" s="790">
        <v>45079</v>
      </c>
      <c r="M592" s="804"/>
      <c r="N592" s="804"/>
      <c r="O592" s="761" t="s">
        <v>62</v>
      </c>
      <c r="P592" s="3" t="s">
        <v>3050</v>
      </c>
      <c r="Q592" s="804"/>
      <c r="R592" s="825"/>
      <c r="S592" s="3" t="s">
        <v>130</v>
      </c>
      <c r="T592" s="825"/>
      <c r="U592" s="786">
        <v>329.7</v>
      </c>
      <c r="V592" s="825"/>
      <c r="W592" s="825"/>
      <c r="X592" s="761" t="s">
        <v>2411</v>
      </c>
      <c r="Y592" s="761">
        <v>45082</v>
      </c>
      <c r="Z592" s="761" t="s">
        <v>62</v>
      </c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spans="1:39" ht="13.95" customHeight="1">
      <c r="B593" s="747">
        <v>6</v>
      </c>
      <c r="C593" s="748" t="s">
        <v>1792</v>
      </c>
      <c r="D593" s="789">
        <v>200102090</v>
      </c>
      <c r="E593" s="1469" t="s">
        <v>3051</v>
      </c>
      <c r="F593" s="749">
        <v>14</v>
      </c>
      <c r="G593" s="3" t="s">
        <v>128</v>
      </c>
      <c r="H593" s="804"/>
      <c r="I593" s="786">
        <v>462.3</v>
      </c>
      <c r="J593" s="804"/>
      <c r="K593" s="827" t="s">
        <v>2411</v>
      </c>
      <c r="L593" s="790">
        <v>45082</v>
      </c>
      <c r="M593" s="804"/>
      <c r="N593" s="804"/>
      <c r="O593" s="761" t="s">
        <v>62</v>
      </c>
      <c r="P593" s="3" t="s">
        <v>3052</v>
      </c>
      <c r="Q593" s="804"/>
      <c r="R593" s="825"/>
      <c r="S593" s="3" t="s">
        <v>130</v>
      </c>
      <c r="T593" s="825"/>
      <c r="U593" s="786">
        <v>330</v>
      </c>
      <c r="V593" s="825"/>
      <c r="W593" s="825"/>
      <c r="X593" s="761" t="s">
        <v>2411</v>
      </c>
      <c r="Y593" s="761">
        <v>45082</v>
      </c>
      <c r="Z593" s="761" t="s">
        <v>62</v>
      </c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spans="1:39" ht="13.95" customHeight="1">
      <c r="B594" s="747">
        <v>6</v>
      </c>
      <c r="C594" s="748" t="s">
        <v>1792</v>
      </c>
      <c r="D594" s="789">
        <v>200102005</v>
      </c>
      <c r="E594" s="1469" t="s">
        <v>3053</v>
      </c>
      <c r="F594" s="749">
        <v>15</v>
      </c>
      <c r="G594" s="833"/>
      <c r="H594" s="834"/>
      <c r="I594" s="838"/>
      <c r="J594" s="834"/>
      <c r="K594" s="839"/>
      <c r="L594" s="840"/>
      <c r="M594" s="834"/>
      <c r="N594" s="834"/>
      <c r="O594" s="841"/>
      <c r="P594" s="833"/>
      <c r="Q594" s="834"/>
      <c r="R594" s="833"/>
      <c r="S594" s="833"/>
      <c r="T594" s="833"/>
      <c r="U594" s="847"/>
      <c r="V594" s="833"/>
      <c r="W594" s="833"/>
      <c r="X594" s="841"/>
      <c r="Y594" s="841"/>
      <c r="Z594" s="841"/>
      <c r="AA594" s="849"/>
      <c r="AB594" s="849"/>
      <c r="AC594" s="849"/>
      <c r="AD594" s="849"/>
      <c r="AE594" s="849"/>
      <c r="AF594" s="849"/>
      <c r="AG594" s="849"/>
      <c r="AH594" s="849"/>
      <c r="AI594" s="849"/>
      <c r="AJ594" s="849"/>
      <c r="AK594" s="849"/>
      <c r="AL594" s="849"/>
      <c r="AM594" s="849"/>
    </row>
    <row r="595" spans="1:39" ht="13.95" customHeight="1">
      <c r="B595" s="747">
        <v>6</v>
      </c>
      <c r="C595" s="748" t="s">
        <v>1792</v>
      </c>
      <c r="D595" s="789">
        <v>200102006</v>
      </c>
      <c r="E595" s="1469" t="s">
        <v>3054</v>
      </c>
      <c r="F595" s="749">
        <v>16</v>
      </c>
      <c r="G595" s="1567" t="s">
        <v>3055</v>
      </c>
      <c r="H595" s="1568"/>
      <c r="I595" s="1568"/>
      <c r="J595" s="1568"/>
      <c r="K595" s="1568"/>
      <c r="L595" s="1568"/>
      <c r="M595" s="1568"/>
      <c r="N595" s="1568"/>
      <c r="O595" s="1569"/>
      <c r="P595" s="833"/>
      <c r="Q595" s="834"/>
      <c r="R595" s="833"/>
      <c r="S595" s="833"/>
      <c r="T595" s="833"/>
      <c r="U595" s="847"/>
      <c r="V595" s="833"/>
      <c r="W595" s="833"/>
      <c r="X595" s="841"/>
      <c r="Y595" s="841"/>
      <c r="Z595" s="841"/>
      <c r="AA595" s="849"/>
      <c r="AB595" s="849"/>
      <c r="AC595" s="849"/>
      <c r="AD595" s="849"/>
      <c r="AE595" s="849"/>
      <c r="AF595" s="849"/>
      <c r="AG595" s="849"/>
      <c r="AH595" s="849"/>
      <c r="AI595" s="849"/>
      <c r="AJ595" s="849"/>
      <c r="AK595" s="849"/>
      <c r="AL595" s="849"/>
      <c r="AM595" s="849"/>
    </row>
    <row r="596" spans="1:39" ht="13.95" customHeight="1">
      <c r="B596" s="747">
        <v>6</v>
      </c>
      <c r="C596" s="748" t="s">
        <v>1792</v>
      </c>
      <c r="D596" s="789">
        <v>200102007</v>
      </c>
      <c r="E596" s="1469" t="s">
        <v>3056</v>
      </c>
      <c r="F596" s="749">
        <v>17</v>
      </c>
      <c r="G596" s="833"/>
      <c r="H596" s="834"/>
      <c r="I596" s="838"/>
      <c r="J596" s="834"/>
      <c r="K596" s="839"/>
      <c r="L596" s="840"/>
      <c r="M596" s="834"/>
      <c r="N596" s="834"/>
      <c r="O596" s="841"/>
      <c r="P596" s="833"/>
      <c r="Q596" s="834"/>
      <c r="R596" s="833"/>
      <c r="S596" s="833"/>
      <c r="T596" s="833"/>
      <c r="U596" s="847"/>
      <c r="V596" s="833"/>
      <c r="W596" s="833"/>
      <c r="X596" s="841"/>
      <c r="Y596" s="841"/>
      <c r="Z596" s="841"/>
      <c r="AA596" s="849"/>
      <c r="AB596" s="849"/>
      <c r="AC596" s="849"/>
      <c r="AD596" s="849"/>
      <c r="AE596" s="849"/>
      <c r="AF596" s="849"/>
      <c r="AG596" s="849"/>
      <c r="AH596" s="849"/>
      <c r="AI596" s="849"/>
      <c r="AJ596" s="849"/>
      <c r="AK596" s="849"/>
      <c r="AL596" s="849"/>
      <c r="AM596" s="849"/>
    </row>
    <row r="597" spans="1:39" s="707" customFormat="1">
      <c r="A597"/>
      <c r="B597" s="805" t="s">
        <v>13</v>
      </c>
      <c r="C597" s="806" t="s">
        <v>1764</v>
      </c>
      <c r="D597" s="807"/>
      <c r="E597" s="807"/>
      <c r="F597" s="808"/>
      <c r="G597" s="807"/>
      <c r="H597" s="809"/>
      <c r="I597" s="837"/>
      <c r="J597" s="809"/>
      <c r="K597" s="829"/>
      <c r="L597" s="818"/>
      <c r="M597" s="809"/>
      <c r="N597" s="809"/>
      <c r="O597" s="819"/>
      <c r="P597" s="807"/>
      <c r="Q597" s="809"/>
      <c r="R597" s="807"/>
      <c r="S597" s="807"/>
      <c r="T597" s="807"/>
      <c r="U597" s="786"/>
      <c r="V597" s="807"/>
      <c r="W597" s="807"/>
      <c r="X597" s="819"/>
      <c r="Y597" s="819"/>
      <c r="Z597" s="819"/>
      <c r="AA597" s="710"/>
      <c r="AB597" s="710"/>
      <c r="AC597" s="710"/>
      <c r="AD597" s="710"/>
      <c r="AE597" s="710"/>
      <c r="AF597" s="710"/>
      <c r="AG597" s="710"/>
      <c r="AH597" s="710"/>
      <c r="AI597" s="710"/>
      <c r="AJ597" s="710"/>
      <c r="AK597" s="710"/>
      <c r="AL597" s="710"/>
      <c r="AM597" s="710"/>
    </row>
    <row r="598" spans="1:39" ht="13.95" customHeight="1">
      <c r="B598" s="747">
        <v>7</v>
      </c>
      <c r="C598" s="748" t="s">
        <v>1792</v>
      </c>
      <c r="D598" s="789">
        <v>200102191</v>
      </c>
      <c r="E598" s="1469" t="s">
        <v>3057</v>
      </c>
      <c r="F598" s="749">
        <v>1</v>
      </c>
      <c r="G598" s="3" t="s">
        <v>128</v>
      </c>
      <c r="H598" s="804"/>
      <c r="I598" s="786">
        <v>461.1</v>
      </c>
      <c r="J598" s="804"/>
      <c r="K598" s="827" t="s">
        <v>2411</v>
      </c>
      <c r="L598" s="790">
        <v>45096</v>
      </c>
      <c r="M598" s="842"/>
      <c r="N598" s="842"/>
      <c r="O598" s="761" t="s">
        <v>62</v>
      </c>
      <c r="P598" s="3" t="s">
        <v>3058</v>
      </c>
      <c r="Q598" s="842"/>
      <c r="R598" s="848"/>
      <c r="S598" s="3" t="s">
        <v>130</v>
      </c>
      <c r="T598" s="848"/>
      <c r="U598" s="786">
        <v>330.2</v>
      </c>
      <c r="V598" s="848"/>
      <c r="W598" s="848"/>
      <c r="X598" s="761" t="s">
        <v>2411</v>
      </c>
      <c r="Y598" s="761">
        <v>45097</v>
      </c>
      <c r="Z598" s="761" t="s">
        <v>62</v>
      </c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spans="1:39" ht="13.95" customHeight="1">
      <c r="B599" s="747">
        <v>7</v>
      </c>
      <c r="C599" s="748" t="s">
        <v>1792</v>
      </c>
      <c r="D599" s="789">
        <v>200102192</v>
      </c>
      <c r="E599" s="1469" t="s">
        <v>3059</v>
      </c>
      <c r="F599" s="749">
        <v>2</v>
      </c>
      <c r="G599" s="3" t="s">
        <v>128</v>
      </c>
      <c r="H599" s="804"/>
      <c r="I599" s="786">
        <v>464.8</v>
      </c>
      <c r="J599" s="804"/>
      <c r="K599" s="827" t="s">
        <v>2411</v>
      </c>
      <c r="L599" s="790">
        <v>45097</v>
      </c>
      <c r="M599" s="842"/>
      <c r="N599" s="842"/>
      <c r="O599" s="761" t="s">
        <v>62</v>
      </c>
      <c r="P599" s="3" t="s">
        <v>3060</v>
      </c>
      <c r="Q599" s="842"/>
      <c r="R599" s="848"/>
      <c r="S599" s="3" t="s">
        <v>130</v>
      </c>
      <c r="T599" s="848"/>
      <c r="U599" s="786">
        <v>330.2</v>
      </c>
      <c r="V599" s="848"/>
      <c r="W599" s="848"/>
      <c r="X599" s="761" t="s">
        <v>2411</v>
      </c>
      <c r="Y599" s="761">
        <v>45097</v>
      </c>
      <c r="Z599" s="761" t="s">
        <v>62</v>
      </c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spans="1:39" ht="13.95" customHeight="1">
      <c r="B600" s="747">
        <v>7</v>
      </c>
      <c r="C600" s="748" t="s">
        <v>1792</v>
      </c>
      <c r="D600" s="789">
        <v>200102226</v>
      </c>
      <c r="E600" s="1469" t="s">
        <v>3061</v>
      </c>
      <c r="F600" s="749">
        <v>3</v>
      </c>
      <c r="G600" s="3" t="s">
        <v>128</v>
      </c>
      <c r="H600" s="804"/>
      <c r="I600" s="786">
        <v>470.2</v>
      </c>
      <c r="J600" s="804"/>
      <c r="K600" s="827" t="s">
        <v>2411</v>
      </c>
      <c r="L600" s="790">
        <v>45097</v>
      </c>
      <c r="M600" s="842"/>
      <c r="N600" s="842"/>
      <c r="O600" s="761" t="s">
        <v>62</v>
      </c>
      <c r="P600" s="3" t="s">
        <v>3062</v>
      </c>
      <c r="Q600" s="842"/>
      <c r="R600" s="848"/>
      <c r="S600" s="3" t="s">
        <v>130</v>
      </c>
      <c r="T600" s="848"/>
      <c r="U600" s="786">
        <v>330.1</v>
      </c>
      <c r="V600" s="848"/>
      <c r="W600" s="848"/>
      <c r="X600" s="761" t="s">
        <v>2411</v>
      </c>
      <c r="Y600" s="761">
        <v>45097</v>
      </c>
      <c r="Z600" s="761" t="s">
        <v>62</v>
      </c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spans="1:39" ht="13.95" customHeight="1">
      <c r="B601" s="747">
        <v>7</v>
      </c>
      <c r="C601" s="748" t="s">
        <v>1792</v>
      </c>
      <c r="D601" s="789">
        <v>200102227</v>
      </c>
      <c r="E601" s="1469" t="s">
        <v>3063</v>
      </c>
      <c r="F601" s="749">
        <v>4</v>
      </c>
      <c r="G601" s="3" t="s">
        <v>128</v>
      </c>
      <c r="H601" s="804"/>
      <c r="I601" s="786">
        <v>460.98</v>
      </c>
      <c r="J601" s="804"/>
      <c r="K601" s="827" t="s">
        <v>2411</v>
      </c>
      <c r="L601" s="790">
        <v>45100</v>
      </c>
      <c r="M601" s="842"/>
      <c r="N601" s="842"/>
      <c r="O601" s="761" t="s">
        <v>62</v>
      </c>
      <c r="P601" s="3" t="s">
        <v>3064</v>
      </c>
      <c r="Q601" s="842"/>
      <c r="R601" s="848"/>
      <c r="S601" s="3" t="s">
        <v>130</v>
      </c>
      <c r="T601" s="848"/>
      <c r="U601" s="786">
        <v>330.3</v>
      </c>
      <c r="V601" s="848"/>
      <c r="W601" s="848"/>
      <c r="X601" s="761" t="s">
        <v>2411</v>
      </c>
      <c r="Y601" s="761">
        <v>45103</v>
      </c>
      <c r="Z601" s="761" t="s">
        <v>62</v>
      </c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spans="1:39" ht="13.95" customHeight="1">
      <c r="B602" s="747">
        <v>7</v>
      </c>
      <c r="C602" s="748" t="s">
        <v>1792</v>
      </c>
      <c r="D602" s="789">
        <v>200102228</v>
      </c>
      <c r="E602" s="1469" t="s">
        <v>3065</v>
      </c>
      <c r="F602" s="749">
        <v>5</v>
      </c>
      <c r="G602" s="3" t="s">
        <v>128</v>
      </c>
      <c r="H602" s="804"/>
      <c r="I602" s="786">
        <v>462.41</v>
      </c>
      <c r="J602" s="804"/>
      <c r="K602" s="827" t="s">
        <v>2411</v>
      </c>
      <c r="L602" s="790">
        <v>45103</v>
      </c>
      <c r="M602" s="842"/>
      <c r="N602" s="842"/>
      <c r="O602" s="761" t="s">
        <v>62</v>
      </c>
      <c r="P602" s="3" t="s">
        <v>3066</v>
      </c>
      <c r="Q602" s="842"/>
      <c r="R602" s="848"/>
      <c r="S602" s="3" t="s">
        <v>130</v>
      </c>
      <c r="T602" s="848"/>
      <c r="U602" s="786">
        <v>330.4</v>
      </c>
      <c r="V602" s="848"/>
      <c r="W602" s="848"/>
      <c r="X602" s="761" t="s">
        <v>2411</v>
      </c>
      <c r="Y602" s="761">
        <v>45103</v>
      </c>
      <c r="Z602" s="761" t="s">
        <v>62</v>
      </c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spans="1:39" ht="13.95" customHeight="1">
      <c r="B603" s="747">
        <v>7</v>
      </c>
      <c r="C603" s="748" t="s">
        <v>1792</v>
      </c>
      <c r="D603" s="789">
        <v>200102229</v>
      </c>
      <c r="E603" s="1469" t="s">
        <v>3067</v>
      </c>
      <c r="F603" s="749">
        <v>6</v>
      </c>
      <c r="G603" s="3" t="s">
        <v>128</v>
      </c>
      <c r="H603" s="804"/>
      <c r="I603" s="786">
        <v>468.04</v>
      </c>
      <c r="J603" s="804"/>
      <c r="K603" s="827" t="s">
        <v>2411</v>
      </c>
      <c r="L603" s="790">
        <v>45103</v>
      </c>
      <c r="M603" s="842"/>
      <c r="N603" s="842"/>
      <c r="O603" s="761" t="s">
        <v>62</v>
      </c>
      <c r="P603" s="3" t="s">
        <v>3068</v>
      </c>
      <c r="Q603" s="842"/>
      <c r="R603" s="848"/>
      <c r="S603" s="3" t="s">
        <v>130</v>
      </c>
      <c r="T603" s="848"/>
      <c r="U603" s="786">
        <v>330.4</v>
      </c>
      <c r="V603" s="848"/>
      <c r="W603" s="848"/>
      <c r="X603" s="761" t="s">
        <v>2411</v>
      </c>
      <c r="Y603" s="761">
        <v>45103</v>
      </c>
      <c r="Z603" s="761" t="s">
        <v>62</v>
      </c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spans="1:39" ht="13.95" customHeight="1">
      <c r="B604" s="747">
        <v>7</v>
      </c>
      <c r="C604" s="748" t="s">
        <v>1792</v>
      </c>
      <c r="D604" s="789">
        <v>200102231</v>
      </c>
      <c r="E604" s="1469" t="s">
        <v>3069</v>
      </c>
      <c r="F604" s="749">
        <v>7</v>
      </c>
      <c r="G604" s="3" t="s">
        <v>128</v>
      </c>
      <c r="H604" s="804"/>
      <c r="I604" s="786">
        <v>466.91</v>
      </c>
      <c r="J604" s="804"/>
      <c r="K604" s="827" t="s">
        <v>2411</v>
      </c>
      <c r="L604" s="790">
        <v>45103</v>
      </c>
      <c r="M604" s="842"/>
      <c r="N604" s="842"/>
      <c r="O604" s="761" t="s">
        <v>62</v>
      </c>
      <c r="P604" s="3" t="s">
        <v>3070</v>
      </c>
      <c r="Q604" s="842"/>
      <c r="R604" s="848"/>
      <c r="S604" s="3" t="s">
        <v>130</v>
      </c>
      <c r="T604" s="848"/>
      <c r="U604" s="786">
        <v>330.1</v>
      </c>
      <c r="V604" s="848"/>
      <c r="W604" s="848"/>
      <c r="X604" s="761" t="s">
        <v>2411</v>
      </c>
      <c r="Y604" s="761">
        <v>45103</v>
      </c>
      <c r="Z604" s="761" t="s">
        <v>62</v>
      </c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spans="1:39" ht="13.95" customHeight="1">
      <c r="B605" s="747">
        <v>7</v>
      </c>
      <c r="C605" s="748" t="s">
        <v>1792</v>
      </c>
      <c r="D605" s="789">
        <v>200102230</v>
      </c>
      <c r="E605" s="1469" t="s">
        <v>3071</v>
      </c>
      <c r="F605" s="749">
        <v>8</v>
      </c>
      <c r="G605" s="3" t="s">
        <v>128</v>
      </c>
      <c r="H605" s="804"/>
      <c r="I605" s="786">
        <v>468.84</v>
      </c>
      <c r="J605" s="804"/>
      <c r="K605" s="827" t="s">
        <v>2411</v>
      </c>
      <c r="L605" s="790">
        <v>45103</v>
      </c>
      <c r="M605" s="842"/>
      <c r="N605" s="842"/>
      <c r="O605" s="761" t="s">
        <v>62</v>
      </c>
      <c r="P605" s="3" t="s">
        <v>3072</v>
      </c>
      <c r="Q605" s="842"/>
      <c r="R605" s="848"/>
      <c r="S605" s="3" t="s">
        <v>130</v>
      </c>
      <c r="T605" s="848"/>
      <c r="U605" s="786">
        <v>330</v>
      </c>
      <c r="V605" s="848"/>
      <c r="W605" s="848"/>
      <c r="X605" s="761" t="s">
        <v>2411</v>
      </c>
      <c r="Y605" s="761">
        <v>45104</v>
      </c>
      <c r="Z605" s="761" t="s">
        <v>62</v>
      </c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spans="1:39" ht="13.95" customHeight="1">
      <c r="B606" s="747">
        <v>7</v>
      </c>
      <c r="C606" s="748" t="s">
        <v>1792</v>
      </c>
      <c r="D606" s="789">
        <v>200102280</v>
      </c>
      <c r="E606" s="1469" t="s">
        <v>3073</v>
      </c>
      <c r="F606" s="749">
        <v>9</v>
      </c>
      <c r="G606" s="3" t="s">
        <v>128</v>
      </c>
      <c r="H606" s="804"/>
      <c r="I606" s="786">
        <v>461.5</v>
      </c>
      <c r="J606" s="804"/>
      <c r="K606" s="827" t="s">
        <v>2411</v>
      </c>
      <c r="L606" s="790">
        <v>45105</v>
      </c>
      <c r="M606" s="842"/>
      <c r="N606" s="842"/>
      <c r="O606" s="761" t="s">
        <v>62</v>
      </c>
      <c r="P606" s="3" t="s">
        <v>3074</v>
      </c>
      <c r="Q606" s="842"/>
      <c r="R606" s="848"/>
      <c r="S606" s="3" t="s">
        <v>130</v>
      </c>
      <c r="T606" s="848"/>
      <c r="U606" s="786">
        <v>330.1</v>
      </c>
      <c r="V606" s="848"/>
      <c r="W606" s="848"/>
      <c r="X606" s="761" t="s">
        <v>2411</v>
      </c>
      <c r="Y606" s="761">
        <v>45104</v>
      </c>
      <c r="Z606" s="761" t="s">
        <v>62</v>
      </c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spans="1:39" ht="13.95" customHeight="1">
      <c r="B607" s="747">
        <v>7</v>
      </c>
      <c r="C607" s="748" t="s">
        <v>1792</v>
      </c>
      <c r="D607" s="789">
        <v>200102281</v>
      </c>
      <c r="E607" s="1469" t="s">
        <v>3075</v>
      </c>
      <c r="F607" s="749">
        <v>10</v>
      </c>
      <c r="G607" s="3" t="s">
        <v>128</v>
      </c>
      <c r="H607" s="804"/>
      <c r="I607" s="786">
        <v>467.7</v>
      </c>
      <c r="J607" s="804"/>
      <c r="K607" s="827" t="s">
        <v>2411</v>
      </c>
      <c r="L607" s="790">
        <v>45107</v>
      </c>
      <c r="M607" s="842"/>
      <c r="N607" s="842"/>
      <c r="O607" s="761" t="s">
        <v>62</v>
      </c>
      <c r="P607" s="3" t="s">
        <v>3076</v>
      </c>
      <c r="Q607" s="842"/>
      <c r="R607" s="848"/>
      <c r="S607" s="3" t="s">
        <v>130</v>
      </c>
      <c r="T607" s="848"/>
      <c r="U607" s="786">
        <v>330.1</v>
      </c>
      <c r="V607" s="848"/>
      <c r="W607" s="848"/>
      <c r="X607" s="761" t="s">
        <v>2411</v>
      </c>
      <c r="Y607" s="761">
        <v>45105</v>
      </c>
      <c r="Z607" s="761" t="s">
        <v>62</v>
      </c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spans="1:39" ht="13.95" customHeight="1">
      <c r="B608" s="747">
        <v>7</v>
      </c>
      <c r="C608" s="748" t="s">
        <v>1792</v>
      </c>
      <c r="D608" s="789">
        <v>200102282</v>
      </c>
      <c r="E608" s="1469" t="s">
        <v>3077</v>
      </c>
      <c r="F608" s="749">
        <v>11</v>
      </c>
      <c r="G608" s="3" t="s">
        <v>128</v>
      </c>
      <c r="H608" s="804"/>
      <c r="I608" s="786">
        <v>466.3</v>
      </c>
      <c r="J608" s="804"/>
      <c r="K608" s="827" t="s">
        <v>2411</v>
      </c>
      <c r="L608" s="790">
        <v>45107</v>
      </c>
      <c r="M608" s="842"/>
      <c r="N608" s="842"/>
      <c r="O608" s="761" t="s">
        <v>62</v>
      </c>
      <c r="P608" s="3" t="s">
        <v>3078</v>
      </c>
      <c r="Q608" s="842"/>
      <c r="R608" s="848"/>
      <c r="S608" s="3" t="s">
        <v>130</v>
      </c>
      <c r="T608" s="848"/>
      <c r="U608" s="786">
        <v>330.2</v>
      </c>
      <c r="V608" s="848"/>
      <c r="W608" s="848"/>
      <c r="X608" s="761" t="s">
        <v>2411</v>
      </c>
      <c r="Y608" s="761">
        <v>45105</v>
      </c>
      <c r="Z608" s="761" t="s">
        <v>62</v>
      </c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spans="2:39" ht="13.95" customHeight="1">
      <c r="B609" s="747">
        <v>7</v>
      </c>
      <c r="C609" s="748" t="s">
        <v>1792</v>
      </c>
      <c r="D609" s="789">
        <v>200102283</v>
      </c>
      <c r="E609" s="1469" t="s">
        <v>3079</v>
      </c>
      <c r="F609" s="749">
        <v>12</v>
      </c>
      <c r="G609" s="3" t="s">
        <v>128</v>
      </c>
      <c r="H609" s="804"/>
      <c r="I609" s="786">
        <v>467.3</v>
      </c>
      <c r="J609" s="804"/>
      <c r="K609" s="827" t="s">
        <v>2512</v>
      </c>
      <c r="L609" s="790">
        <v>45111</v>
      </c>
      <c r="M609" s="842"/>
      <c r="N609" s="842"/>
      <c r="O609" s="761" t="s">
        <v>62</v>
      </c>
      <c r="P609" s="3" t="s">
        <v>3080</v>
      </c>
      <c r="Q609" s="842"/>
      <c r="R609" s="848"/>
      <c r="S609" s="3" t="s">
        <v>130</v>
      </c>
      <c r="T609" s="848"/>
      <c r="U609" s="786">
        <v>330.2</v>
      </c>
      <c r="V609" s="848"/>
      <c r="W609" s="848"/>
      <c r="X609" s="761" t="s">
        <v>2411</v>
      </c>
      <c r="Y609" s="761">
        <v>45105</v>
      </c>
      <c r="Z609" s="761" t="s">
        <v>62</v>
      </c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spans="2:39" ht="13.95" customHeight="1">
      <c r="B610" s="747">
        <v>7</v>
      </c>
      <c r="C610" s="748" t="s">
        <v>1792</v>
      </c>
      <c r="D610" s="789">
        <v>200102284</v>
      </c>
      <c r="E610" s="1469" t="s">
        <v>3081</v>
      </c>
      <c r="F610" s="749">
        <v>13</v>
      </c>
      <c r="G610" s="3" t="s">
        <v>128</v>
      </c>
      <c r="H610" s="804"/>
      <c r="I610" s="786">
        <v>466.4</v>
      </c>
      <c r="J610" s="804"/>
      <c r="K610" s="827" t="s">
        <v>2512</v>
      </c>
      <c r="L610" s="790">
        <v>45111</v>
      </c>
      <c r="M610" s="842"/>
      <c r="N610" s="842"/>
      <c r="O610" s="761" t="s">
        <v>62</v>
      </c>
      <c r="P610" s="3" t="s">
        <v>3082</v>
      </c>
      <c r="Q610" s="842"/>
      <c r="R610" s="848"/>
      <c r="S610" s="3" t="s">
        <v>130</v>
      </c>
      <c r="T610" s="848"/>
      <c r="U610" s="786">
        <v>330.3</v>
      </c>
      <c r="V610" s="848"/>
      <c r="W610" s="848"/>
      <c r="X610" s="761" t="s">
        <v>2411</v>
      </c>
      <c r="Y610" s="761">
        <v>45105</v>
      </c>
      <c r="Z610" s="761" t="s">
        <v>62</v>
      </c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spans="2:39" ht="13.95" customHeight="1">
      <c r="B611" s="747">
        <v>7</v>
      </c>
      <c r="C611" s="748" t="s">
        <v>1792</v>
      </c>
      <c r="D611" s="789">
        <v>200102285</v>
      </c>
      <c r="E611" s="1469" t="s">
        <v>3083</v>
      </c>
      <c r="F611" s="749">
        <v>14</v>
      </c>
      <c r="G611" s="3" t="s">
        <v>128</v>
      </c>
      <c r="H611" s="804"/>
      <c r="I611" s="786">
        <v>465.5</v>
      </c>
      <c r="J611" s="804"/>
      <c r="K611" s="827" t="s">
        <v>2512</v>
      </c>
      <c r="L611" s="790">
        <v>45111</v>
      </c>
      <c r="M611" s="842"/>
      <c r="N611" s="842"/>
      <c r="O611" s="761" t="s">
        <v>62</v>
      </c>
      <c r="P611" s="3" t="s">
        <v>3084</v>
      </c>
      <c r="Q611" s="842"/>
      <c r="R611" s="848"/>
      <c r="S611" s="3" t="s">
        <v>130</v>
      </c>
      <c r="T611" s="848"/>
      <c r="U611" s="786">
        <v>330</v>
      </c>
      <c r="V611" s="848"/>
      <c r="W611" s="848"/>
      <c r="X611" s="761" t="s">
        <v>2411</v>
      </c>
      <c r="Y611" s="761">
        <v>45107</v>
      </c>
      <c r="Z611" s="761" t="s">
        <v>62</v>
      </c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spans="2:39" ht="13.95" customHeight="1">
      <c r="B612" s="747">
        <v>7</v>
      </c>
      <c r="C612" s="748" t="s">
        <v>1792</v>
      </c>
      <c r="D612" s="789">
        <v>200102286</v>
      </c>
      <c r="E612" s="1469" t="s">
        <v>3085</v>
      </c>
      <c r="F612" s="749">
        <v>15</v>
      </c>
      <c r="G612" s="3" t="s">
        <v>128</v>
      </c>
      <c r="H612" s="804"/>
      <c r="I612" s="786">
        <v>468.32</v>
      </c>
      <c r="J612" s="804"/>
      <c r="K612" s="827" t="s">
        <v>2512</v>
      </c>
      <c r="L612" s="790">
        <v>45111</v>
      </c>
      <c r="M612" s="842"/>
      <c r="N612" s="842"/>
      <c r="O612" s="761" t="s">
        <v>62</v>
      </c>
      <c r="P612" s="3" t="s">
        <v>3086</v>
      </c>
      <c r="Q612" s="842"/>
      <c r="R612" s="848"/>
      <c r="S612" s="3" t="s">
        <v>130</v>
      </c>
      <c r="T612" s="848"/>
      <c r="U612" s="786">
        <v>330.3</v>
      </c>
      <c r="V612" s="848"/>
      <c r="W612" s="848"/>
      <c r="X612" s="761" t="s">
        <v>2411</v>
      </c>
      <c r="Y612" s="761">
        <v>45107</v>
      </c>
      <c r="Z612" s="761" t="s">
        <v>62</v>
      </c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spans="2:39" ht="13.95" customHeight="1">
      <c r="B613" s="747">
        <v>7</v>
      </c>
      <c r="C613" s="748" t="s">
        <v>1792</v>
      </c>
      <c r="D613" s="789">
        <v>200102287</v>
      </c>
      <c r="E613" s="1469" t="s">
        <v>3087</v>
      </c>
      <c r="F613" s="749">
        <v>16</v>
      </c>
      <c r="G613" s="3" t="s">
        <v>128</v>
      </c>
      <c r="H613" s="804"/>
      <c r="I613" s="786">
        <v>463.3</v>
      </c>
      <c r="J613" s="804"/>
      <c r="K613" s="827" t="s">
        <v>2512</v>
      </c>
      <c r="L613" s="790">
        <v>45112</v>
      </c>
      <c r="M613" s="842"/>
      <c r="N613" s="842"/>
      <c r="O613" s="761" t="s">
        <v>62</v>
      </c>
      <c r="P613" s="3" t="s">
        <v>3088</v>
      </c>
      <c r="Q613" s="842"/>
      <c r="R613" s="848"/>
      <c r="S613" s="3" t="s">
        <v>130</v>
      </c>
      <c r="T613" s="848"/>
      <c r="U613" s="786">
        <v>330</v>
      </c>
      <c r="V613" s="848"/>
      <c r="W613" s="848"/>
      <c r="X613" s="761" t="s">
        <v>2512</v>
      </c>
      <c r="Y613" s="761">
        <v>45111</v>
      </c>
      <c r="Z613" s="761" t="s">
        <v>62</v>
      </c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spans="2:39" ht="13.95" customHeight="1">
      <c r="B614" s="747">
        <v>7</v>
      </c>
      <c r="C614" s="748" t="s">
        <v>1792</v>
      </c>
      <c r="D614" s="789">
        <v>200102288</v>
      </c>
      <c r="E614" s="1469" t="s">
        <v>3089</v>
      </c>
      <c r="F614" s="749">
        <v>17</v>
      </c>
      <c r="G614" s="3" t="s">
        <v>128</v>
      </c>
      <c r="H614" s="804"/>
      <c r="I614" s="786">
        <v>469</v>
      </c>
      <c r="J614" s="804"/>
      <c r="K614" s="827" t="s">
        <v>2512</v>
      </c>
      <c r="L614" s="790">
        <v>45112</v>
      </c>
      <c r="M614" s="842"/>
      <c r="N614" s="842"/>
      <c r="O614" s="761" t="s">
        <v>62</v>
      </c>
      <c r="P614" s="3" t="s">
        <v>3090</v>
      </c>
      <c r="Q614" s="842"/>
      <c r="R614" s="848"/>
      <c r="S614" s="3" t="s">
        <v>130</v>
      </c>
      <c r="T614" s="848"/>
      <c r="U614" s="786">
        <v>330.2</v>
      </c>
      <c r="V614" s="848"/>
      <c r="W614" s="848"/>
      <c r="X614" s="761" t="s">
        <v>2512</v>
      </c>
      <c r="Y614" s="761">
        <v>45111</v>
      </c>
      <c r="Z614" s="761" t="s">
        <v>62</v>
      </c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spans="2:39" ht="13.95" customHeight="1">
      <c r="B615" s="747">
        <v>7</v>
      </c>
      <c r="C615" s="748" t="s">
        <v>1792</v>
      </c>
      <c r="D615" s="789">
        <v>200102318</v>
      </c>
      <c r="E615" s="1469" t="s">
        <v>3091</v>
      </c>
      <c r="F615" s="749">
        <v>18</v>
      </c>
      <c r="G615" s="3" t="s">
        <v>128</v>
      </c>
      <c r="H615" s="804"/>
      <c r="I615" s="786">
        <v>467.98</v>
      </c>
      <c r="J615" s="804"/>
      <c r="K615" s="827" t="s">
        <v>2512</v>
      </c>
      <c r="L615" s="790">
        <v>45112</v>
      </c>
      <c r="M615" s="842"/>
      <c r="N615" s="842"/>
      <c r="O615" s="761" t="s">
        <v>62</v>
      </c>
      <c r="P615" s="3" t="s">
        <v>3092</v>
      </c>
      <c r="Q615" s="842"/>
      <c r="R615" s="848"/>
      <c r="S615" s="3" t="s">
        <v>130</v>
      </c>
      <c r="T615" s="848"/>
      <c r="U615" s="786">
        <v>330.2</v>
      </c>
      <c r="V615" s="848"/>
      <c r="W615" s="848"/>
      <c r="X615" s="761" t="s">
        <v>2512</v>
      </c>
      <c r="Y615" s="761">
        <v>45111</v>
      </c>
      <c r="Z615" s="761" t="s">
        <v>62</v>
      </c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spans="2:39" ht="13.95" customHeight="1">
      <c r="B616" s="747">
        <v>7</v>
      </c>
      <c r="C616" s="748" t="s">
        <v>1792</v>
      </c>
      <c r="D616" s="789">
        <v>200102319</v>
      </c>
      <c r="E616" s="1469" t="s">
        <v>3093</v>
      </c>
      <c r="F616" s="749">
        <v>19</v>
      </c>
      <c r="G616" s="3" t="s">
        <v>128</v>
      </c>
      <c r="H616" s="804"/>
      <c r="I616" s="786">
        <v>467.78</v>
      </c>
      <c r="J616" s="804"/>
      <c r="K616" s="827" t="s">
        <v>2512</v>
      </c>
      <c r="L616" s="790">
        <v>45112</v>
      </c>
      <c r="M616" s="842"/>
      <c r="N616" s="842"/>
      <c r="O616" s="761" t="s">
        <v>62</v>
      </c>
      <c r="P616" s="3" t="s">
        <v>3094</v>
      </c>
      <c r="Q616" s="842"/>
      <c r="R616" s="848"/>
      <c r="S616" s="3" t="s">
        <v>130</v>
      </c>
      <c r="T616" s="848"/>
      <c r="U616" s="786">
        <v>330.3</v>
      </c>
      <c r="V616" s="848"/>
      <c r="W616" s="848"/>
      <c r="X616" s="761" t="s">
        <v>2512</v>
      </c>
      <c r="Y616" s="761">
        <v>45112</v>
      </c>
      <c r="Z616" s="761" t="s">
        <v>62</v>
      </c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spans="2:39" ht="13.95" customHeight="1">
      <c r="B617" s="747">
        <v>7</v>
      </c>
      <c r="C617" s="748" t="s">
        <v>1792</v>
      </c>
      <c r="D617" s="789">
        <v>200102420</v>
      </c>
      <c r="E617" s="1469" t="s">
        <v>3095</v>
      </c>
      <c r="F617" s="749">
        <v>20</v>
      </c>
      <c r="G617" s="3" t="s">
        <v>128</v>
      </c>
      <c r="H617" s="804"/>
      <c r="I617" s="762">
        <v>464.7</v>
      </c>
      <c r="J617" s="804"/>
      <c r="K617" s="827" t="s">
        <v>2512</v>
      </c>
      <c r="L617" s="790">
        <v>45113</v>
      </c>
      <c r="M617" s="842"/>
      <c r="N617" s="842"/>
      <c r="O617" s="761" t="s">
        <v>62</v>
      </c>
      <c r="P617" s="3" t="s">
        <v>3096</v>
      </c>
      <c r="Q617" s="842"/>
      <c r="R617" s="848"/>
      <c r="S617" s="3" t="s">
        <v>130</v>
      </c>
      <c r="T617" s="848"/>
      <c r="U617" s="786">
        <v>330</v>
      </c>
      <c r="V617" s="848"/>
      <c r="W617" s="848"/>
      <c r="X617" s="761" t="s">
        <v>2512</v>
      </c>
      <c r="Y617" s="761">
        <v>45112</v>
      </c>
      <c r="Z617" s="761" t="s">
        <v>62</v>
      </c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spans="2:39" ht="13.95" customHeight="1">
      <c r="B618" s="747">
        <v>7</v>
      </c>
      <c r="C618" s="748" t="s">
        <v>1792</v>
      </c>
      <c r="D618" s="789">
        <v>200102421</v>
      </c>
      <c r="E618" s="1469" t="s">
        <v>3097</v>
      </c>
      <c r="F618" s="749">
        <v>21</v>
      </c>
      <c r="G618" s="3" t="s">
        <v>128</v>
      </c>
      <c r="H618" s="804"/>
      <c r="I618" s="786">
        <v>463.2</v>
      </c>
      <c r="J618" s="804"/>
      <c r="K618" s="827" t="s">
        <v>2512</v>
      </c>
      <c r="L618" s="790">
        <v>45114</v>
      </c>
      <c r="M618" s="842"/>
      <c r="N618" s="842"/>
      <c r="O618" s="761" t="s">
        <v>62</v>
      </c>
      <c r="P618" s="3" t="s">
        <v>3098</v>
      </c>
      <c r="Q618" s="842"/>
      <c r="R618" s="848"/>
      <c r="S618" s="3" t="s">
        <v>130</v>
      </c>
      <c r="T618" s="848"/>
      <c r="U618" s="786">
        <v>330</v>
      </c>
      <c r="V618" s="848"/>
      <c r="W618" s="848"/>
      <c r="X618" s="761" t="s">
        <v>2512</v>
      </c>
      <c r="Y618" s="761">
        <v>45112</v>
      </c>
      <c r="Z618" s="761" t="s">
        <v>62</v>
      </c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spans="2:39" ht="13.95" customHeight="1">
      <c r="B619" s="747">
        <v>7</v>
      </c>
      <c r="C619" s="748" t="s">
        <v>1792</v>
      </c>
      <c r="D619" s="789">
        <v>200102422</v>
      </c>
      <c r="E619" s="1469" t="s">
        <v>3099</v>
      </c>
      <c r="F619" s="749">
        <v>22</v>
      </c>
      <c r="G619" s="3" t="s">
        <v>128</v>
      </c>
      <c r="H619" s="804"/>
      <c r="I619" s="786">
        <v>459.8</v>
      </c>
      <c r="J619" s="804"/>
      <c r="K619" s="827" t="s">
        <v>2512</v>
      </c>
      <c r="L619" s="790">
        <v>45114</v>
      </c>
      <c r="M619" s="842"/>
      <c r="N619" s="842"/>
      <c r="O619" s="761" t="s">
        <v>62</v>
      </c>
      <c r="P619" s="3" t="s">
        <v>3100</v>
      </c>
      <c r="Q619" s="842"/>
      <c r="R619" s="848"/>
      <c r="S619" s="3" t="s">
        <v>130</v>
      </c>
      <c r="T619" s="848"/>
      <c r="U619" s="786">
        <v>329.9</v>
      </c>
      <c r="V619" s="848"/>
      <c r="W619" s="848"/>
      <c r="X619" s="761" t="s">
        <v>2512</v>
      </c>
      <c r="Y619" s="761">
        <v>45114</v>
      </c>
      <c r="Z619" s="761" t="s">
        <v>62</v>
      </c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spans="2:39" ht="13.95" customHeight="1">
      <c r="B620" s="747">
        <v>7</v>
      </c>
      <c r="C620" s="748" t="s">
        <v>1792</v>
      </c>
      <c r="D620" s="789">
        <v>200102423</v>
      </c>
      <c r="E620" s="1469" t="s">
        <v>3101</v>
      </c>
      <c r="F620" s="749">
        <v>23</v>
      </c>
      <c r="G620" s="3" t="s">
        <v>128</v>
      </c>
      <c r="H620" s="804"/>
      <c r="I620" s="786">
        <v>470.53</v>
      </c>
      <c r="J620" s="804"/>
      <c r="K620" s="827" t="s">
        <v>2512</v>
      </c>
      <c r="L620" s="790">
        <v>45114</v>
      </c>
      <c r="M620" s="842"/>
      <c r="N620" s="842"/>
      <c r="O620" s="761" t="s">
        <v>62</v>
      </c>
      <c r="P620" s="3" t="s">
        <v>3102</v>
      </c>
      <c r="Q620" s="842"/>
      <c r="R620" s="848"/>
      <c r="S620" s="3" t="s">
        <v>130</v>
      </c>
      <c r="T620" s="848"/>
      <c r="U620" s="786">
        <v>329.9</v>
      </c>
      <c r="V620" s="848"/>
      <c r="W620" s="848"/>
      <c r="X620" s="761" t="s">
        <v>2512</v>
      </c>
      <c r="Y620" s="761">
        <v>45114</v>
      </c>
      <c r="Z620" s="761" t="s">
        <v>62</v>
      </c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spans="2:39" ht="13.95" customHeight="1">
      <c r="B621" s="747">
        <v>7</v>
      </c>
      <c r="C621" s="748" t="s">
        <v>1792</v>
      </c>
      <c r="D621" s="789">
        <v>200102424</v>
      </c>
      <c r="E621" s="1469" t="s">
        <v>3103</v>
      </c>
      <c r="F621" s="749">
        <v>24</v>
      </c>
      <c r="G621" s="3" t="s">
        <v>128</v>
      </c>
      <c r="H621" s="804"/>
      <c r="I621" s="786">
        <v>469.62</v>
      </c>
      <c r="J621" s="804"/>
      <c r="K621" s="827" t="s">
        <v>2512</v>
      </c>
      <c r="L621" s="790">
        <v>45114</v>
      </c>
      <c r="M621" s="842"/>
      <c r="N621" s="842"/>
      <c r="O621" s="761" t="s">
        <v>62</v>
      </c>
      <c r="P621" s="3" t="s">
        <v>3104</v>
      </c>
      <c r="Q621" s="842"/>
      <c r="R621" s="848"/>
      <c r="S621" s="3" t="s">
        <v>130</v>
      </c>
      <c r="T621" s="848"/>
      <c r="U621" s="786">
        <v>330</v>
      </c>
      <c r="V621" s="848"/>
      <c r="W621" s="848"/>
      <c r="X621" s="761" t="s">
        <v>2512</v>
      </c>
      <c r="Y621" s="761">
        <v>45114</v>
      </c>
      <c r="Z621" s="761" t="s">
        <v>62</v>
      </c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spans="2:39" ht="13.95" customHeight="1">
      <c r="B622" s="747">
        <v>7</v>
      </c>
      <c r="C622" s="748" t="s">
        <v>1792</v>
      </c>
      <c r="D622" s="789">
        <v>200102425</v>
      </c>
      <c r="E622" s="1469" t="s">
        <v>3105</v>
      </c>
      <c r="F622" s="749">
        <v>25</v>
      </c>
      <c r="G622" s="3" t="s">
        <v>128</v>
      </c>
      <c r="H622" s="804"/>
      <c r="I622" s="786">
        <f>148.28+157.78+152.82</f>
        <v>458.88</v>
      </c>
      <c r="J622" s="804"/>
      <c r="K622" s="827" t="s">
        <v>2512</v>
      </c>
      <c r="L622" s="790">
        <v>45117</v>
      </c>
      <c r="M622" s="842"/>
      <c r="N622" s="842"/>
      <c r="O622" s="761" t="s">
        <v>62</v>
      </c>
      <c r="P622" s="3" t="s">
        <v>3106</v>
      </c>
      <c r="Q622" s="842"/>
      <c r="R622" s="848"/>
      <c r="S622" s="3" t="s">
        <v>130</v>
      </c>
      <c r="T622" s="848"/>
      <c r="U622" s="786">
        <v>330.4</v>
      </c>
      <c r="V622" s="848"/>
      <c r="W622" s="848"/>
      <c r="X622" s="761" t="s">
        <v>2512</v>
      </c>
      <c r="Y622" s="761">
        <v>45117</v>
      </c>
      <c r="Z622" s="761" t="s">
        <v>62</v>
      </c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spans="2:39" ht="13.95" customHeight="1">
      <c r="B623" s="747">
        <v>7</v>
      </c>
      <c r="C623" s="748" t="s">
        <v>1792</v>
      </c>
      <c r="D623" s="789">
        <v>200102426</v>
      </c>
      <c r="E623" s="1469" t="s">
        <v>3107</v>
      </c>
      <c r="F623" s="749">
        <v>26</v>
      </c>
      <c r="G623" s="3" t="s">
        <v>128</v>
      </c>
      <c r="H623" s="804"/>
      <c r="I623" s="786">
        <v>465.43</v>
      </c>
      <c r="J623" s="804"/>
      <c r="K623" s="827" t="s">
        <v>2512</v>
      </c>
      <c r="L623" s="790">
        <v>45118</v>
      </c>
      <c r="M623" s="842"/>
      <c r="N623" s="842"/>
      <c r="O623" s="761" t="s">
        <v>62</v>
      </c>
      <c r="P623" s="3" t="s">
        <v>3108</v>
      </c>
      <c r="Q623" s="842"/>
      <c r="R623" s="848"/>
      <c r="S623" s="3" t="s">
        <v>130</v>
      </c>
      <c r="T623" s="848"/>
      <c r="U623" s="786">
        <v>330.3</v>
      </c>
      <c r="V623" s="848"/>
      <c r="W623" s="848"/>
      <c r="X623" s="761" t="s">
        <v>2512</v>
      </c>
      <c r="Y623" s="761">
        <v>45117</v>
      </c>
      <c r="Z623" s="761" t="s">
        <v>62</v>
      </c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spans="2:39" ht="13.95" customHeight="1">
      <c r="B624" s="747">
        <v>7</v>
      </c>
      <c r="C624" s="748" t="s">
        <v>1792</v>
      </c>
      <c r="D624" s="789">
        <v>200102427</v>
      </c>
      <c r="E624" s="1469" t="s">
        <v>3109</v>
      </c>
      <c r="F624" s="749">
        <v>27</v>
      </c>
      <c r="G624" s="3" t="s">
        <v>128</v>
      </c>
      <c r="H624" s="804"/>
      <c r="I624" s="786">
        <v>463.3</v>
      </c>
      <c r="J624" s="804"/>
      <c r="K624" s="827" t="s">
        <v>2512</v>
      </c>
      <c r="L624" s="790">
        <v>45118</v>
      </c>
      <c r="M624" s="842"/>
      <c r="N624" s="842"/>
      <c r="O624" s="761" t="s">
        <v>62</v>
      </c>
      <c r="P624" s="3" t="s">
        <v>3110</v>
      </c>
      <c r="Q624" s="842"/>
      <c r="R624" s="848"/>
      <c r="S624" s="3" t="s">
        <v>130</v>
      </c>
      <c r="T624" s="848"/>
      <c r="U624" s="786">
        <v>330.3</v>
      </c>
      <c r="V624" s="848"/>
      <c r="W624" s="848"/>
      <c r="X624" s="761" t="s">
        <v>2512</v>
      </c>
      <c r="Y624" s="761">
        <v>45118</v>
      </c>
      <c r="Z624" s="761" t="s">
        <v>62</v>
      </c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spans="1:39" ht="13.95" customHeight="1">
      <c r="B625" s="747">
        <v>7</v>
      </c>
      <c r="C625" s="748" t="s">
        <v>1792</v>
      </c>
      <c r="D625" s="789">
        <v>200102428</v>
      </c>
      <c r="E625" s="1469" t="s">
        <v>3111</v>
      </c>
      <c r="F625" s="749">
        <v>28</v>
      </c>
      <c r="G625" s="3" t="s">
        <v>128</v>
      </c>
      <c r="H625" s="804"/>
      <c r="I625" s="786">
        <v>466.6</v>
      </c>
      <c r="J625" s="804"/>
      <c r="K625" s="827" t="s">
        <v>2512</v>
      </c>
      <c r="L625" s="790">
        <v>45119</v>
      </c>
      <c r="M625" s="842"/>
      <c r="N625" s="842"/>
      <c r="O625" s="761" t="s">
        <v>62</v>
      </c>
      <c r="P625" s="3" t="s">
        <v>3112</v>
      </c>
      <c r="Q625" s="842"/>
      <c r="R625" s="848"/>
      <c r="S625" s="3" t="s">
        <v>130</v>
      </c>
      <c r="T625" s="848"/>
      <c r="U625" s="786">
        <v>330.4</v>
      </c>
      <c r="V625" s="848"/>
      <c r="W625" s="848"/>
      <c r="X625" s="761" t="s">
        <v>2512</v>
      </c>
      <c r="Y625" s="761">
        <v>45118</v>
      </c>
      <c r="Z625" s="761" t="s">
        <v>62</v>
      </c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spans="1:39" ht="13.95" customHeight="1">
      <c r="B626" s="747">
        <v>7</v>
      </c>
      <c r="C626" s="748" t="s">
        <v>1792</v>
      </c>
      <c r="D626" s="789">
        <v>200102429</v>
      </c>
      <c r="E626" s="1469" t="s">
        <v>3113</v>
      </c>
      <c r="F626" s="749">
        <v>29</v>
      </c>
      <c r="G626" s="3" t="s">
        <v>128</v>
      </c>
      <c r="H626" s="804"/>
      <c r="I626" s="786">
        <f>153.6+154.9+152.9</f>
        <v>461.4</v>
      </c>
      <c r="J626" s="804"/>
      <c r="K626" s="827" t="s">
        <v>2512</v>
      </c>
      <c r="L626" s="790">
        <v>45119</v>
      </c>
      <c r="M626" s="842"/>
      <c r="N626" s="842"/>
      <c r="O626" s="761" t="s">
        <v>62</v>
      </c>
      <c r="P626" s="3" t="s">
        <v>3114</v>
      </c>
      <c r="Q626" s="842"/>
      <c r="R626" s="848"/>
      <c r="S626" s="3" t="s">
        <v>130</v>
      </c>
      <c r="T626" s="848"/>
      <c r="U626" s="786">
        <v>330.3</v>
      </c>
      <c r="V626" s="848"/>
      <c r="W626" s="848"/>
      <c r="X626" s="761" t="s">
        <v>2512</v>
      </c>
      <c r="Y626" s="761">
        <v>45118</v>
      </c>
      <c r="Z626" s="761" t="s">
        <v>62</v>
      </c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spans="1:39" ht="13.95" customHeight="1">
      <c r="B627" s="747">
        <v>7</v>
      </c>
      <c r="C627" s="748" t="s">
        <v>3115</v>
      </c>
      <c r="D627" s="789">
        <v>200102454</v>
      </c>
      <c r="E627" s="1469" t="s">
        <v>3116</v>
      </c>
      <c r="F627" s="749">
        <v>30</v>
      </c>
      <c r="G627" s="835"/>
      <c r="H627" s="836"/>
      <c r="I627" s="843"/>
      <c r="J627" s="836"/>
      <c r="K627" s="844"/>
      <c r="L627" s="845"/>
      <c r="M627" s="842"/>
      <c r="N627" s="842"/>
      <c r="O627" s="761" t="s">
        <v>62</v>
      </c>
      <c r="P627" s="833"/>
      <c r="Q627" s="842"/>
      <c r="R627" s="848"/>
      <c r="S627" s="3" t="s">
        <v>130</v>
      </c>
      <c r="T627" s="848"/>
      <c r="U627" s="786">
        <v>329.3</v>
      </c>
      <c r="V627" s="848"/>
      <c r="W627" s="848"/>
      <c r="X627" s="761" t="s">
        <v>2512</v>
      </c>
      <c r="Y627" s="761">
        <v>45124</v>
      </c>
      <c r="Z627" s="761" t="s">
        <v>62</v>
      </c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spans="1:39" ht="13.95" customHeight="1">
      <c r="B628" s="747">
        <v>7</v>
      </c>
      <c r="C628" s="748" t="s">
        <v>3117</v>
      </c>
      <c r="D628" s="789">
        <v>200102455</v>
      </c>
      <c r="E628" s="1469" t="s">
        <v>3118</v>
      </c>
      <c r="F628" s="749">
        <v>31</v>
      </c>
      <c r="G628" s="835"/>
      <c r="H628" s="836"/>
      <c r="I628" s="843"/>
      <c r="J628" s="836"/>
      <c r="K628" s="844"/>
      <c r="L628" s="845"/>
      <c r="M628" s="842"/>
      <c r="N628" s="842"/>
      <c r="O628" s="761" t="s">
        <v>62</v>
      </c>
      <c r="P628" s="833"/>
      <c r="Q628" s="842"/>
      <c r="R628" s="848"/>
      <c r="S628" s="3" t="s">
        <v>130</v>
      </c>
      <c r="T628" s="848"/>
      <c r="U628" s="786">
        <v>329.22</v>
      </c>
      <c r="V628" s="848"/>
      <c r="W628" s="848"/>
      <c r="X628" s="761" t="s">
        <v>2512</v>
      </c>
      <c r="Y628" s="761">
        <v>45124</v>
      </c>
      <c r="Z628" s="761" t="s">
        <v>62</v>
      </c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spans="1:39" ht="13.95" customHeight="1">
      <c r="B629" s="747">
        <v>7</v>
      </c>
      <c r="C629" s="748" t="s">
        <v>3119</v>
      </c>
      <c r="D629" s="789">
        <v>200102456</v>
      </c>
      <c r="E629" s="1469" t="s">
        <v>3120</v>
      </c>
      <c r="F629" s="749">
        <v>32</v>
      </c>
      <c r="G629" s="835"/>
      <c r="H629" s="836"/>
      <c r="I629" s="843"/>
      <c r="J629" s="836"/>
      <c r="K629" s="844"/>
      <c r="L629" s="845"/>
      <c r="M629" s="842"/>
      <c r="N629" s="842"/>
      <c r="O629" s="761" t="s">
        <v>62</v>
      </c>
      <c r="P629" s="833"/>
      <c r="Q629" s="842"/>
      <c r="R629" s="848"/>
      <c r="S629" s="3" t="s">
        <v>130</v>
      </c>
      <c r="T629" s="848"/>
      <c r="U629" s="786">
        <v>329.7</v>
      </c>
      <c r="V629" s="848"/>
      <c r="W629" s="848"/>
      <c r="X629" s="761" t="s">
        <v>2512</v>
      </c>
      <c r="Y629" s="761">
        <v>45127</v>
      </c>
      <c r="Z629" s="761" t="s">
        <v>62</v>
      </c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spans="1:39" s="707" customFormat="1">
      <c r="A630"/>
      <c r="B630" s="805" t="s">
        <v>13</v>
      </c>
      <c r="C630" s="806" t="s">
        <v>1761</v>
      </c>
      <c r="D630" s="807"/>
      <c r="E630" s="807"/>
      <c r="F630" s="808"/>
      <c r="G630" s="807"/>
      <c r="H630" s="809"/>
      <c r="I630" s="837"/>
      <c r="J630" s="809"/>
      <c r="K630" s="829"/>
      <c r="L630" s="818"/>
      <c r="M630" s="809"/>
      <c r="N630" s="809"/>
      <c r="O630" s="819"/>
      <c r="P630" s="807"/>
      <c r="Q630" s="809"/>
      <c r="R630" s="807"/>
      <c r="S630" s="807"/>
      <c r="T630" s="807"/>
      <c r="U630" s="807"/>
      <c r="V630" s="807"/>
      <c r="W630" s="807"/>
      <c r="X630" s="819"/>
      <c r="Y630" s="819"/>
      <c r="Z630" s="819"/>
      <c r="AA630" s="710"/>
      <c r="AB630" s="710"/>
      <c r="AC630" s="710"/>
      <c r="AD630" s="710"/>
      <c r="AE630" s="710"/>
      <c r="AF630" s="710"/>
      <c r="AG630" s="710"/>
      <c r="AH630" s="710"/>
      <c r="AI630" s="710"/>
      <c r="AJ630" s="710"/>
      <c r="AK630" s="710"/>
      <c r="AL630" s="710"/>
      <c r="AM630" s="710"/>
    </row>
    <row r="631" spans="1:39" ht="13.95" customHeight="1">
      <c r="B631" s="747">
        <v>8</v>
      </c>
      <c r="C631" s="748" t="s">
        <v>1792</v>
      </c>
      <c r="D631" s="789">
        <v>200102506</v>
      </c>
      <c r="E631" s="1469" t="s">
        <v>3121</v>
      </c>
      <c r="F631" s="749">
        <v>1</v>
      </c>
      <c r="G631" s="3" t="s">
        <v>128</v>
      </c>
      <c r="H631" s="804"/>
      <c r="I631" s="786">
        <v>464.2</v>
      </c>
      <c r="J631" s="804"/>
      <c r="K631" s="827" t="s">
        <v>2512</v>
      </c>
      <c r="L631" s="790">
        <v>45120</v>
      </c>
      <c r="M631" s="842"/>
      <c r="N631" s="842"/>
      <c r="O631" s="761" t="s">
        <v>62</v>
      </c>
      <c r="P631" s="3" t="s">
        <v>3122</v>
      </c>
      <c r="Q631" s="842"/>
      <c r="R631" s="848"/>
      <c r="S631" s="3" t="s">
        <v>130</v>
      </c>
      <c r="T631" s="848"/>
      <c r="U631" s="786">
        <v>330.1</v>
      </c>
      <c r="V631" s="848"/>
      <c r="W631" s="848"/>
      <c r="X631" s="761" t="s">
        <v>2512</v>
      </c>
      <c r="Y631" s="761">
        <v>45119</v>
      </c>
      <c r="Z631" s="761" t="s">
        <v>62</v>
      </c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spans="1:39" ht="13.95" customHeight="1">
      <c r="B632" s="747">
        <v>8</v>
      </c>
      <c r="C632" s="748" t="s">
        <v>1792</v>
      </c>
      <c r="D632" s="789">
        <v>200102507</v>
      </c>
      <c r="E632" s="1469" t="s">
        <v>3123</v>
      </c>
      <c r="F632" s="749">
        <v>2</v>
      </c>
      <c r="G632" s="3" t="s">
        <v>128</v>
      </c>
      <c r="H632" s="804"/>
      <c r="I632" s="786">
        <v>464.5</v>
      </c>
      <c r="J632" s="804"/>
      <c r="K632" s="827" t="s">
        <v>2512</v>
      </c>
      <c r="L632" s="790">
        <v>45120</v>
      </c>
      <c r="M632" s="842"/>
      <c r="N632" s="842"/>
      <c r="O632" s="761" t="s">
        <v>62</v>
      </c>
      <c r="P632" s="3" t="s">
        <v>3124</v>
      </c>
      <c r="Q632" s="842"/>
      <c r="R632" s="848"/>
      <c r="S632" s="3" t="s">
        <v>130</v>
      </c>
      <c r="T632" s="848"/>
      <c r="U632" s="786">
        <v>330.1</v>
      </c>
      <c r="V632" s="848"/>
      <c r="W632" s="848"/>
      <c r="X632" s="761" t="s">
        <v>2512</v>
      </c>
      <c r="Y632" s="761">
        <v>45119</v>
      </c>
      <c r="Z632" s="761" t="s">
        <v>62</v>
      </c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spans="1:39" ht="13.95" customHeight="1">
      <c r="B633" s="747">
        <v>8</v>
      </c>
      <c r="C633" s="748" t="s">
        <v>1792</v>
      </c>
      <c r="D633" s="789">
        <v>200102508</v>
      </c>
      <c r="E633" s="1469" t="s">
        <v>3125</v>
      </c>
      <c r="F633" s="749">
        <v>3</v>
      </c>
      <c r="G633" s="3" t="s">
        <v>128</v>
      </c>
      <c r="H633" s="804"/>
      <c r="I633" s="786">
        <v>462.6</v>
      </c>
      <c r="J633" s="804"/>
      <c r="K633" s="827" t="s">
        <v>2512</v>
      </c>
      <c r="L633" s="790">
        <v>45121</v>
      </c>
      <c r="M633" s="842"/>
      <c r="N633" s="842"/>
      <c r="O633" s="761" t="s">
        <v>62</v>
      </c>
      <c r="P633" s="3" t="s">
        <v>3126</v>
      </c>
      <c r="Q633" s="842"/>
      <c r="R633" s="848"/>
      <c r="S633" s="3" t="s">
        <v>130</v>
      </c>
      <c r="T633" s="848"/>
      <c r="U633" s="786">
        <v>330</v>
      </c>
      <c r="V633" s="848"/>
      <c r="W633" s="848"/>
      <c r="X633" s="761" t="s">
        <v>2512</v>
      </c>
      <c r="Y633" s="761">
        <v>45120</v>
      </c>
      <c r="Z633" s="761" t="s">
        <v>62</v>
      </c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spans="1:39" ht="13.95" customHeight="1">
      <c r="B634" s="747">
        <v>8</v>
      </c>
      <c r="C634" s="748" t="s">
        <v>1792</v>
      </c>
      <c r="D634" s="789">
        <v>200102516</v>
      </c>
      <c r="E634" s="1469" t="s">
        <v>3127</v>
      </c>
      <c r="F634" s="749">
        <v>4</v>
      </c>
      <c r="G634" s="3" t="s">
        <v>128</v>
      </c>
      <c r="H634" s="804"/>
      <c r="I634" s="786">
        <v>466.2</v>
      </c>
      <c r="J634" s="804"/>
      <c r="K634" s="827" t="s">
        <v>2512</v>
      </c>
      <c r="L634" s="790">
        <v>45121</v>
      </c>
      <c r="M634" s="842"/>
      <c r="N634" s="842"/>
      <c r="O634" s="761" t="s">
        <v>62</v>
      </c>
      <c r="P634" s="3" t="s">
        <v>3128</v>
      </c>
      <c r="Q634" s="842"/>
      <c r="R634" s="848"/>
      <c r="S634" s="3" t="s">
        <v>130</v>
      </c>
      <c r="T634" s="848"/>
      <c r="U634" s="786">
        <v>330.3</v>
      </c>
      <c r="V634" s="848"/>
      <c r="W634" s="848"/>
      <c r="X634" s="761" t="s">
        <v>2512</v>
      </c>
      <c r="Y634" s="761">
        <v>45120</v>
      </c>
      <c r="Z634" s="761" t="s">
        <v>62</v>
      </c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spans="1:39" ht="13.95" customHeight="1">
      <c r="B635" s="747">
        <v>8</v>
      </c>
      <c r="C635" s="748" t="s">
        <v>1792</v>
      </c>
      <c r="D635" s="789">
        <v>200102517</v>
      </c>
      <c r="E635" s="1469" t="s">
        <v>3129</v>
      </c>
      <c r="F635" s="749">
        <v>5</v>
      </c>
      <c r="G635" s="3" t="s">
        <v>128</v>
      </c>
      <c r="H635" s="804"/>
      <c r="I635" s="786">
        <v>463.7</v>
      </c>
      <c r="J635" s="804"/>
      <c r="K635" s="827" t="s">
        <v>2512</v>
      </c>
      <c r="L635" s="790">
        <v>45124</v>
      </c>
      <c r="M635" s="842"/>
      <c r="N635" s="842"/>
      <c r="O635" s="761" t="s">
        <v>62</v>
      </c>
      <c r="P635" s="3" t="s">
        <v>3130</v>
      </c>
      <c r="Q635" s="842"/>
      <c r="R635" s="848"/>
      <c r="S635" s="3" t="s">
        <v>130</v>
      </c>
      <c r="T635" s="848"/>
      <c r="U635" s="786">
        <v>330.3</v>
      </c>
      <c r="V635" s="848"/>
      <c r="W635" s="848"/>
      <c r="X635" s="761" t="s">
        <v>2512</v>
      </c>
      <c r="Y635" s="761">
        <v>45121</v>
      </c>
      <c r="Z635" s="761" t="s">
        <v>62</v>
      </c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spans="1:39" ht="13.95" customHeight="1">
      <c r="B636" s="747">
        <v>8</v>
      </c>
      <c r="C636" s="748" t="s">
        <v>1792</v>
      </c>
      <c r="D636" s="789">
        <v>200102518</v>
      </c>
      <c r="E636" s="1469" t="s">
        <v>3131</v>
      </c>
      <c r="F636" s="749">
        <v>6</v>
      </c>
      <c r="G636" s="3" t="s">
        <v>128</v>
      </c>
      <c r="H636" s="804"/>
      <c r="I636" s="786">
        <v>465.5</v>
      </c>
      <c r="J636" s="804"/>
      <c r="K636" s="827" t="s">
        <v>2512</v>
      </c>
      <c r="L636" s="790">
        <v>45124</v>
      </c>
      <c r="M636" s="842"/>
      <c r="N636" s="842"/>
      <c r="O636" s="761" t="s">
        <v>62</v>
      </c>
      <c r="P636" s="3" t="s">
        <v>3132</v>
      </c>
      <c r="Q636" s="842"/>
      <c r="R636" s="848"/>
      <c r="S636" s="3" t="s">
        <v>130</v>
      </c>
      <c r="T636" s="848"/>
      <c r="U636" s="786">
        <v>330.3</v>
      </c>
      <c r="V636" s="848"/>
      <c r="W636" s="848"/>
      <c r="X636" s="761" t="s">
        <v>2512</v>
      </c>
      <c r="Y636" s="761">
        <v>45121</v>
      </c>
      <c r="Z636" s="761" t="s">
        <v>62</v>
      </c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spans="1:39" ht="13.95" customHeight="1">
      <c r="B637" s="747">
        <v>8</v>
      </c>
      <c r="C637" s="748" t="s">
        <v>1792</v>
      </c>
      <c r="D637" s="789">
        <v>200102519</v>
      </c>
      <c r="E637" s="1469" t="s">
        <v>3133</v>
      </c>
      <c r="F637" s="749">
        <v>7</v>
      </c>
      <c r="G637" s="3" t="s">
        <v>128</v>
      </c>
      <c r="H637" s="804"/>
      <c r="I637" s="786">
        <v>467.1</v>
      </c>
      <c r="J637" s="804"/>
      <c r="K637" s="827" t="s">
        <v>2512</v>
      </c>
      <c r="L637" s="790">
        <v>45124</v>
      </c>
      <c r="M637" s="842"/>
      <c r="N637" s="842"/>
      <c r="O637" s="761" t="s">
        <v>62</v>
      </c>
      <c r="P637" s="3" t="s">
        <v>3134</v>
      </c>
      <c r="Q637" s="842"/>
      <c r="R637" s="848"/>
      <c r="S637" s="3" t="s">
        <v>130</v>
      </c>
      <c r="T637" s="848"/>
      <c r="U637" s="786">
        <v>330.1</v>
      </c>
      <c r="V637" s="848"/>
      <c r="W637" s="848"/>
      <c r="X637" s="761" t="s">
        <v>2512</v>
      </c>
      <c r="Y637" s="761">
        <v>45124</v>
      </c>
      <c r="Z637" s="761" t="s">
        <v>62</v>
      </c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spans="1:39" ht="13.95" customHeight="1">
      <c r="B638" s="747">
        <v>8</v>
      </c>
      <c r="C638" s="748" t="s">
        <v>1792</v>
      </c>
      <c r="D638" s="789">
        <v>200102540</v>
      </c>
      <c r="E638" s="1469" t="s">
        <v>3135</v>
      </c>
      <c r="F638" s="749">
        <v>8</v>
      </c>
      <c r="G638" s="3" t="s">
        <v>128</v>
      </c>
      <c r="H638" s="804"/>
      <c r="I638" s="786">
        <v>467.1</v>
      </c>
      <c r="J638" s="804"/>
      <c r="K638" s="827" t="s">
        <v>2512</v>
      </c>
      <c r="L638" s="790">
        <v>45124</v>
      </c>
      <c r="M638" s="842"/>
      <c r="N638" s="842"/>
      <c r="O638" s="761" t="s">
        <v>62</v>
      </c>
      <c r="P638" s="3" t="s">
        <v>3136</v>
      </c>
      <c r="Q638" s="842"/>
      <c r="R638" s="848"/>
      <c r="S638" s="3" t="s">
        <v>130</v>
      </c>
      <c r="T638" s="848"/>
      <c r="U638" s="786">
        <v>330.3</v>
      </c>
      <c r="V638" s="848"/>
      <c r="W638" s="848"/>
      <c r="X638" s="761" t="s">
        <v>2512</v>
      </c>
      <c r="Y638" s="761">
        <v>45125</v>
      </c>
      <c r="Z638" s="761" t="s">
        <v>62</v>
      </c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spans="1:39" ht="13.95" customHeight="1">
      <c r="B639" s="747">
        <v>8</v>
      </c>
      <c r="C639" s="748" t="s">
        <v>1792</v>
      </c>
      <c r="D639" s="789">
        <v>200102541</v>
      </c>
      <c r="E639" s="1469" t="s">
        <v>3137</v>
      </c>
      <c r="F639" s="749">
        <v>9</v>
      </c>
      <c r="G639" s="3" t="s">
        <v>128</v>
      </c>
      <c r="H639" s="804"/>
      <c r="I639" s="846">
        <v>466.7</v>
      </c>
      <c r="J639" s="804"/>
      <c r="K639" s="827" t="s">
        <v>2512</v>
      </c>
      <c r="L639" s="790">
        <v>45125</v>
      </c>
      <c r="M639" s="842"/>
      <c r="N639" s="842"/>
      <c r="O639" s="761" t="s">
        <v>62</v>
      </c>
      <c r="P639" s="3" t="s">
        <v>3138</v>
      </c>
      <c r="Q639" s="842"/>
      <c r="R639" s="848"/>
      <c r="S639" s="3" t="s">
        <v>130</v>
      </c>
      <c r="T639" s="848"/>
      <c r="U639" s="786">
        <v>329.8</v>
      </c>
      <c r="V639" s="848"/>
      <c r="W639" s="848"/>
      <c r="X639" s="761" t="s">
        <v>2512</v>
      </c>
      <c r="Y639" s="761">
        <v>45127</v>
      </c>
      <c r="Z639" s="761" t="s">
        <v>62</v>
      </c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spans="1:39" ht="13.95" customHeight="1">
      <c r="B640" s="747">
        <v>8</v>
      </c>
      <c r="C640" s="748" t="s">
        <v>1792</v>
      </c>
      <c r="D640" s="789">
        <v>200102619</v>
      </c>
      <c r="E640" s="1469" t="s">
        <v>3139</v>
      </c>
      <c r="F640" s="749">
        <v>10</v>
      </c>
      <c r="G640" s="3" t="s">
        <v>128</v>
      </c>
      <c r="H640" s="804"/>
      <c r="I640" s="786">
        <v>461</v>
      </c>
      <c r="J640" s="804"/>
      <c r="K640" s="827" t="s">
        <v>2512</v>
      </c>
      <c r="L640" s="790">
        <v>45135</v>
      </c>
      <c r="M640" s="842"/>
      <c r="N640" s="842"/>
      <c r="O640" s="761" t="s">
        <v>62</v>
      </c>
      <c r="P640" s="3" t="s">
        <v>3140</v>
      </c>
      <c r="Q640" s="842"/>
      <c r="R640" s="848"/>
      <c r="S640" s="3" t="s">
        <v>130</v>
      </c>
      <c r="T640" s="848"/>
      <c r="U640" s="786">
        <v>330.2</v>
      </c>
      <c r="V640" s="848"/>
      <c r="W640" s="848"/>
      <c r="X640" s="761" t="s">
        <v>2512</v>
      </c>
      <c r="Y640" s="761">
        <v>45138</v>
      </c>
      <c r="Z640" s="761" t="s">
        <v>62</v>
      </c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spans="2:39" ht="13.95" customHeight="1">
      <c r="B641" s="747">
        <v>8</v>
      </c>
      <c r="C641" s="748" t="s">
        <v>1792</v>
      </c>
      <c r="D641" s="789">
        <v>200102660</v>
      </c>
      <c r="E641" s="1469" t="s">
        <v>3141</v>
      </c>
      <c r="F641" s="749">
        <v>11</v>
      </c>
      <c r="G641" s="3" t="s">
        <v>128</v>
      </c>
      <c r="H641" s="804"/>
      <c r="I641" s="786">
        <v>462.6</v>
      </c>
      <c r="J641" s="804"/>
      <c r="K641" s="827" t="s">
        <v>2512</v>
      </c>
      <c r="L641" s="790">
        <v>45135</v>
      </c>
      <c r="M641" s="842"/>
      <c r="N641" s="842"/>
      <c r="O641" s="761" t="s">
        <v>62</v>
      </c>
      <c r="P641" s="3" t="s">
        <v>3142</v>
      </c>
      <c r="Q641" s="842"/>
      <c r="R641" s="848"/>
      <c r="S641" s="3" t="s">
        <v>130</v>
      </c>
      <c r="T641" s="848"/>
      <c r="U641" s="786">
        <v>330.1</v>
      </c>
      <c r="V641" s="848"/>
      <c r="W641" s="848"/>
      <c r="X641" s="761" t="s">
        <v>2512</v>
      </c>
      <c r="Y641" s="761">
        <v>45138</v>
      </c>
      <c r="Z641" s="761" t="s">
        <v>62</v>
      </c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spans="2:39" ht="13.95" customHeight="1">
      <c r="B642" s="747">
        <v>8</v>
      </c>
      <c r="C642" s="748" t="s">
        <v>1792</v>
      </c>
      <c r="D642" s="789">
        <v>200102670</v>
      </c>
      <c r="E642" s="1469" t="s">
        <v>3143</v>
      </c>
      <c r="F642" s="749">
        <v>12</v>
      </c>
      <c r="G642" s="3" t="s">
        <v>128</v>
      </c>
      <c r="H642" s="804"/>
      <c r="I642" s="786">
        <v>462.8</v>
      </c>
      <c r="J642" s="804"/>
      <c r="K642" s="827" t="s">
        <v>2512</v>
      </c>
      <c r="L642" s="790">
        <v>45138</v>
      </c>
      <c r="M642" s="842"/>
      <c r="N642" s="842"/>
      <c r="O642" s="761" t="s">
        <v>62</v>
      </c>
      <c r="P642" s="3" t="s">
        <v>3144</v>
      </c>
      <c r="Q642" s="842"/>
      <c r="R642" s="848"/>
      <c r="S642" s="3" t="s">
        <v>130</v>
      </c>
      <c r="T642" s="848"/>
      <c r="U642" s="786">
        <v>330.3</v>
      </c>
      <c r="V642" s="848"/>
      <c r="W642" s="848"/>
      <c r="X642" s="761" t="s">
        <v>2512</v>
      </c>
      <c r="Y642" s="761">
        <v>45138</v>
      </c>
      <c r="Z642" s="761" t="s">
        <v>62</v>
      </c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spans="2:39" ht="13.95" customHeight="1">
      <c r="B643" s="747">
        <v>8</v>
      </c>
      <c r="C643" s="748" t="s">
        <v>1792</v>
      </c>
      <c r="D643" s="789">
        <v>200102671</v>
      </c>
      <c r="E643" s="1469" t="s">
        <v>3145</v>
      </c>
      <c r="F643" s="749">
        <v>13</v>
      </c>
      <c r="G643" s="3" t="s">
        <v>128</v>
      </c>
      <c r="H643" s="804"/>
      <c r="I643" s="786">
        <v>468</v>
      </c>
      <c r="J643" s="804"/>
      <c r="K643" s="827" t="s">
        <v>2512</v>
      </c>
      <c r="L643" s="790">
        <v>45138</v>
      </c>
      <c r="M643" s="842"/>
      <c r="N643" s="842"/>
      <c r="O643" s="761" t="s">
        <v>62</v>
      </c>
      <c r="P643" s="3" t="s">
        <v>3146</v>
      </c>
      <c r="Q643" s="842"/>
      <c r="R643" s="848"/>
      <c r="S643" s="3" t="s">
        <v>130</v>
      </c>
      <c r="T643" s="848"/>
      <c r="U643" s="786">
        <v>330.3</v>
      </c>
      <c r="V643" s="848"/>
      <c r="W643" s="848"/>
      <c r="X643" s="761" t="s">
        <v>2556</v>
      </c>
      <c r="Y643" s="761">
        <v>45139</v>
      </c>
      <c r="Z643" s="761" t="s">
        <v>62</v>
      </c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spans="2:39" ht="13.95" customHeight="1">
      <c r="B644" s="747">
        <v>8</v>
      </c>
      <c r="C644" s="748" t="s">
        <v>1792</v>
      </c>
      <c r="D644" s="789">
        <v>200102790</v>
      </c>
      <c r="E644" s="1469" t="s">
        <v>3147</v>
      </c>
      <c r="F644" s="749">
        <v>14</v>
      </c>
      <c r="G644" s="3" t="s">
        <v>128</v>
      </c>
      <c r="H644" s="804"/>
      <c r="I644" s="786">
        <v>463.8</v>
      </c>
      <c r="J644" s="804"/>
      <c r="K644" s="827" t="s">
        <v>2556</v>
      </c>
      <c r="L644" s="790">
        <v>45139</v>
      </c>
      <c r="M644" s="842"/>
      <c r="N644" s="842"/>
      <c r="O644" s="761" t="s">
        <v>62</v>
      </c>
      <c r="P644" s="3" t="s">
        <v>3148</v>
      </c>
      <c r="Q644" s="842"/>
      <c r="R644" s="848"/>
      <c r="S644" s="3" t="s">
        <v>130</v>
      </c>
      <c r="T644" s="848"/>
      <c r="U644" s="786">
        <v>330</v>
      </c>
      <c r="V644" s="848"/>
      <c r="W644" s="848"/>
      <c r="X644" s="761" t="s">
        <v>2556</v>
      </c>
      <c r="Y644" s="761">
        <v>45139</v>
      </c>
      <c r="Z644" s="761" t="s">
        <v>62</v>
      </c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spans="2:39" ht="13.95" customHeight="1">
      <c r="B645" s="747">
        <v>8</v>
      </c>
      <c r="C645" s="748" t="s">
        <v>1792</v>
      </c>
      <c r="D645" s="789">
        <v>200102791</v>
      </c>
      <c r="E645" s="1469" t="s">
        <v>3149</v>
      </c>
      <c r="F645" s="749">
        <v>15</v>
      </c>
      <c r="G645" s="3" t="s">
        <v>128</v>
      </c>
      <c r="H645" s="804"/>
      <c r="I645" s="786">
        <v>469.4</v>
      </c>
      <c r="J645" s="804"/>
      <c r="K645" s="827" t="s">
        <v>2556</v>
      </c>
      <c r="L645" s="790">
        <v>45139</v>
      </c>
      <c r="M645" s="842"/>
      <c r="N645" s="842"/>
      <c r="O645" s="761" t="s">
        <v>62</v>
      </c>
      <c r="P645" s="3" t="s">
        <v>3150</v>
      </c>
      <c r="Q645" s="842"/>
      <c r="R645" s="848"/>
      <c r="S645" s="3" t="s">
        <v>130</v>
      </c>
      <c r="T645" s="848"/>
      <c r="U645" s="786">
        <v>330.2</v>
      </c>
      <c r="V645" s="848"/>
      <c r="W645" s="848"/>
      <c r="X645" s="761" t="s">
        <v>2556</v>
      </c>
      <c r="Y645" s="761">
        <v>45139</v>
      </c>
      <c r="Z645" s="761" t="s">
        <v>62</v>
      </c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spans="2:39" ht="13.95" customHeight="1">
      <c r="B646" s="747">
        <v>8</v>
      </c>
      <c r="C646" s="748" t="s">
        <v>1792</v>
      </c>
      <c r="D646" s="789">
        <v>200102792</v>
      </c>
      <c r="E646" s="1469" t="s">
        <v>3151</v>
      </c>
      <c r="F646" s="749">
        <v>16</v>
      </c>
      <c r="G646" s="3" t="s">
        <v>128</v>
      </c>
      <c r="H646" s="804"/>
      <c r="I646" s="786">
        <v>458.5</v>
      </c>
      <c r="J646" s="804"/>
      <c r="K646" s="827" t="s">
        <v>2556</v>
      </c>
      <c r="L646" s="790">
        <v>45140</v>
      </c>
      <c r="M646" s="842"/>
      <c r="N646" s="842"/>
      <c r="O646" s="761" t="s">
        <v>62</v>
      </c>
      <c r="P646" s="3" t="s">
        <v>3152</v>
      </c>
      <c r="Q646" s="842"/>
      <c r="R646" s="848"/>
      <c r="S646" s="3" t="s">
        <v>130</v>
      </c>
      <c r="T646" s="848"/>
      <c r="U646" s="786">
        <v>329.8</v>
      </c>
      <c r="V646" s="848"/>
      <c r="W646" s="848"/>
      <c r="X646" s="761" t="s">
        <v>2556</v>
      </c>
      <c r="Y646" s="761">
        <v>45140</v>
      </c>
      <c r="Z646" s="761" t="s">
        <v>62</v>
      </c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spans="2:39" ht="13.95" customHeight="1">
      <c r="B647" s="747">
        <v>8</v>
      </c>
      <c r="C647" s="748" t="s">
        <v>1792</v>
      </c>
      <c r="D647" s="789">
        <v>200102793</v>
      </c>
      <c r="E647" s="1469" t="s">
        <v>3153</v>
      </c>
      <c r="F647" s="749">
        <v>17</v>
      </c>
      <c r="G647" s="3" t="s">
        <v>128</v>
      </c>
      <c r="H647" s="804"/>
      <c r="I647" s="786">
        <v>470.1</v>
      </c>
      <c r="J647" s="804"/>
      <c r="K647" s="827" t="s">
        <v>2556</v>
      </c>
      <c r="L647" s="790">
        <v>45140</v>
      </c>
      <c r="M647" s="842"/>
      <c r="N647" s="842"/>
      <c r="O647" s="761" t="s">
        <v>62</v>
      </c>
      <c r="P647" s="3" t="s">
        <v>3154</v>
      </c>
      <c r="Q647" s="842"/>
      <c r="R647" s="848"/>
      <c r="S647" s="3" t="s">
        <v>130</v>
      </c>
      <c r="T647" s="848"/>
      <c r="U647" s="786">
        <v>330</v>
      </c>
      <c r="V647" s="848"/>
      <c r="W647" s="848"/>
      <c r="X647" s="761" t="s">
        <v>2556</v>
      </c>
      <c r="Y647" s="761">
        <v>45140</v>
      </c>
      <c r="Z647" s="761" t="s">
        <v>62</v>
      </c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spans="2:39" ht="13.95" customHeight="1">
      <c r="B648" s="747">
        <v>8</v>
      </c>
      <c r="C648" s="748" t="s">
        <v>1792</v>
      </c>
      <c r="D648" s="789">
        <v>200102794</v>
      </c>
      <c r="E648" s="1469" t="s">
        <v>3155</v>
      </c>
      <c r="F648" s="749">
        <v>18</v>
      </c>
      <c r="G648" s="3" t="s">
        <v>128</v>
      </c>
      <c r="H648" s="804"/>
      <c r="I648" s="786">
        <v>467.6</v>
      </c>
      <c r="J648" s="804"/>
      <c r="K648" s="827" t="s">
        <v>2556</v>
      </c>
      <c r="L648" s="790">
        <v>45140</v>
      </c>
      <c r="M648" s="842"/>
      <c r="N648" s="842"/>
      <c r="O648" s="761" t="s">
        <v>62</v>
      </c>
      <c r="P648" s="3" t="s">
        <v>3156</v>
      </c>
      <c r="Q648" s="842"/>
      <c r="R648" s="848"/>
      <c r="S648" s="3" t="s">
        <v>130</v>
      </c>
      <c r="T648" s="848"/>
      <c r="U648" s="786">
        <v>330.1</v>
      </c>
      <c r="V648" s="848"/>
      <c r="W648" s="848"/>
      <c r="X648" s="761" t="s">
        <v>2556</v>
      </c>
      <c r="Y648" s="761">
        <v>45140</v>
      </c>
      <c r="Z648" s="761" t="s">
        <v>62</v>
      </c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spans="2:39" ht="13.95" customHeight="1">
      <c r="B649" s="747">
        <v>8</v>
      </c>
      <c r="C649" s="748" t="s">
        <v>1792</v>
      </c>
      <c r="D649" s="789">
        <v>200102795</v>
      </c>
      <c r="E649" s="1469" t="s">
        <v>3157</v>
      </c>
      <c r="F649" s="749">
        <v>19</v>
      </c>
      <c r="G649" s="3" t="s">
        <v>128</v>
      </c>
      <c r="H649" s="804"/>
      <c r="I649" s="786">
        <v>467.06</v>
      </c>
      <c r="J649" s="804"/>
      <c r="K649" s="827" t="s">
        <v>2556</v>
      </c>
      <c r="L649" s="790">
        <v>45140</v>
      </c>
      <c r="M649" s="842"/>
      <c r="N649" s="842"/>
      <c r="O649" s="761" t="s">
        <v>62</v>
      </c>
      <c r="P649" s="3" t="s">
        <v>3158</v>
      </c>
      <c r="Q649" s="842"/>
      <c r="R649" s="848"/>
      <c r="S649" s="3" t="s">
        <v>130</v>
      </c>
      <c r="T649" s="848"/>
      <c r="U649" s="786">
        <v>329.7</v>
      </c>
      <c r="V649" s="848"/>
      <c r="W649" s="848"/>
      <c r="X649" s="761" t="s">
        <v>2556</v>
      </c>
      <c r="Y649" s="761">
        <v>45141</v>
      </c>
      <c r="Z649" s="761" t="s">
        <v>62</v>
      </c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spans="2:39" ht="13.95" customHeight="1">
      <c r="B650" s="747">
        <v>8</v>
      </c>
      <c r="C650" s="748" t="s">
        <v>1792</v>
      </c>
      <c r="D650" s="789">
        <v>200102796</v>
      </c>
      <c r="E650" s="1469" t="s">
        <v>3159</v>
      </c>
      <c r="F650" s="749">
        <v>20</v>
      </c>
      <c r="G650" s="3" t="s">
        <v>128</v>
      </c>
      <c r="H650" s="804"/>
      <c r="I650" s="762">
        <v>464</v>
      </c>
      <c r="J650" s="804"/>
      <c r="K650" s="827" t="s">
        <v>2556</v>
      </c>
      <c r="L650" s="790">
        <v>45141</v>
      </c>
      <c r="M650" s="842"/>
      <c r="N650" s="842"/>
      <c r="O650" s="761" t="s">
        <v>62</v>
      </c>
      <c r="P650" s="3" t="s">
        <v>3160</v>
      </c>
      <c r="Q650" s="842"/>
      <c r="R650" s="848"/>
      <c r="S650" s="3" t="s">
        <v>130</v>
      </c>
      <c r="T650" s="848"/>
      <c r="U650" s="786">
        <v>330</v>
      </c>
      <c r="V650" s="848"/>
      <c r="W650" s="848"/>
      <c r="X650" s="761" t="s">
        <v>2556</v>
      </c>
      <c r="Y650" s="761">
        <v>45141</v>
      </c>
      <c r="Z650" s="761" t="s">
        <v>62</v>
      </c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spans="2:39" ht="13.95" customHeight="1">
      <c r="B651" s="747">
        <v>8</v>
      </c>
      <c r="C651" s="748" t="s">
        <v>1792</v>
      </c>
      <c r="D651" s="789">
        <v>200102797</v>
      </c>
      <c r="E651" s="1469" t="s">
        <v>3161</v>
      </c>
      <c r="F651" s="749">
        <v>21</v>
      </c>
      <c r="G651" s="3" t="s">
        <v>128</v>
      </c>
      <c r="H651" s="804"/>
      <c r="I651" s="786">
        <v>458.5</v>
      </c>
      <c r="J651" s="804"/>
      <c r="K651" s="827" t="s">
        <v>2556</v>
      </c>
      <c r="L651" s="790">
        <v>45142</v>
      </c>
      <c r="M651" s="842"/>
      <c r="N651" s="842"/>
      <c r="O651" s="761" t="s">
        <v>62</v>
      </c>
      <c r="P651" s="3" t="s">
        <v>3162</v>
      </c>
      <c r="Q651" s="842"/>
      <c r="R651" s="848"/>
      <c r="S651" s="3" t="s">
        <v>130</v>
      </c>
      <c r="T651" s="848"/>
      <c r="U651" s="786">
        <v>329.8</v>
      </c>
      <c r="V651" s="848"/>
      <c r="W651" s="848"/>
      <c r="X651" s="761" t="s">
        <v>2556</v>
      </c>
      <c r="Y651" s="761">
        <v>45141</v>
      </c>
      <c r="Z651" s="761" t="s">
        <v>62</v>
      </c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spans="2:39" ht="13.95" customHeight="1">
      <c r="B652" s="747">
        <v>8</v>
      </c>
      <c r="C652" s="748" t="s">
        <v>1792</v>
      </c>
      <c r="D652" s="789">
        <v>200102798</v>
      </c>
      <c r="E652" s="1469" t="s">
        <v>3163</v>
      </c>
      <c r="F652" s="749">
        <v>22</v>
      </c>
      <c r="G652" s="3" t="s">
        <v>128</v>
      </c>
      <c r="H652" s="804"/>
      <c r="I652" s="786">
        <v>467.4</v>
      </c>
      <c r="J652" s="804"/>
      <c r="K652" s="827" t="s">
        <v>2556</v>
      </c>
      <c r="L652" s="790">
        <v>45142</v>
      </c>
      <c r="M652" s="842"/>
      <c r="N652" s="842"/>
      <c r="O652" s="761" t="s">
        <v>62</v>
      </c>
      <c r="P652" s="3" t="s">
        <v>3164</v>
      </c>
      <c r="Q652" s="842"/>
      <c r="R652" s="848"/>
      <c r="S652" s="3" t="s">
        <v>130</v>
      </c>
      <c r="T652" s="848"/>
      <c r="U652" s="786">
        <v>330.1</v>
      </c>
      <c r="V652" s="848"/>
      <c r="W652" s="848"/>
      <c r="X652" s="761" t="s">
        <v>2556</v>
      </c>
      <c r="Y652" s="761">
        <v>45141</v>
      </c>
      <c r="Z652" s="761" t="s">
        <v>62</v>
      </c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spans="2:39" ht="13.95" customHeight="1">
      <c r="B653" s="747">
        <v>8</v>
      </c>
      <c r="C653" s="748" t="s">
        <v>1792</v>
      </c>
      <c r="D653" s="789">
        <v>200102799</v>
      </c>
      <c r="E653" s="1469" t="s">
        <v>3165</v>
      </c>
      <c r="F653" s="749">
        <v>23</v>
      </c>
      <c r="G653" s="3" t="s">
        <v>128</v>
      </c>
      <c r="H653" s="804"/>
      <c r="I653" s="786">
        <v>462.3</v>
      </c>
      <c r="J653" s="804"/>
      <c r="K653" s="827" t="s">
        <v>2556</v>
      </c>
      <c r="L653" s="790">
        <v>45149</v>
      </c>
      <c r="M653" s="842"/>
      <c r="N653" s="842"/>
      <c r="O653" s="761" t="s">
        <v>62</v>
      </c>
      <c r="P653" s="3" t="s">
        <v>3166</v>
      </c>
      <c r="Q653" s="842"/>
      <c r="R653" s="848"/>
      <c r="S653" s="3" t="s">
        <v>130</v>
      </c>
      <c r="T653" s="848"/>
      <c r="U653" s="786">
        <v>330.4</v>
      </c>
      <c r="V653" s="848"/>
      <c r="W653" s="848"/>
      <c r="X653" s="761" t="s">
        <v>2556</v>
      </c>
      <c r="Y653" s="761">
        <v>45149</v>
      </c>
      <c r="Z653" s="761" t="s">
        <v>62</v>
      </c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spans="2:39" ht="13.95" customHeight="1">
      <c r="B654" s="747">
        <v>8</v>
      </c>
      <c r="C654" s="748" t="s">
        <v>1792</v>
      </c>
      <c r="D654" s="789">
        <v>200102880</v>
      </c>
      <c r="E654" s="1469" t="s">
        <v>3167</v>
      </c>
      <c r="F654" s="749">
        <v>24</v>
      </c>
      <c r="G654" s="3" t="s">
        <v>128</v>
      </c>
      <c r="H654" s="804"/>
      <c r="I654" s="786">
        <v>470.4</v>
      </c>
      <c r="J654" s="804"/>
      <c r="K654" s="827" t="s">
        <v>2556</v>
      </c>
      <c r="L654" s="790">
        <v>45149</v>
      </c>
      <c r="M654" s="842"/>
      <c r="N654" s="842"/>
      <c r="O654" s="761" t="s">
        <v>62</v>
      </c>
      <c r="P654" s="3" t="s">
        <v>3168</v>
      </c>
      <c r="Q654" s="842"/>
      <c r="R654" s="848"/>
      <c r="S654" s="3" t="s">
        <v>130</v>
      </c>
      <c r="T654" s="848"/>
      <c r="U654" s="762">
        <v>330.7</v>
      </c>
      <c r="V654" s="848"/>
      <c r="W654" s="848"/>
      <c r="X654" s="761" t="s">
        <v>2556</v>
      </c>
      <c r="Y654" s="761">
        <v>45149</v>
      </c>
      <c r="Z654" s="761" t="s">
        <v>62</v>
      </c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spans="2:39" ht="13.95" customHeight="1">
      <c r="B655" s="747">
        <v>8</v>
      </c>
      <c r="C655" s="748" t="s">
        <v>1792</v>
      </c>
      <c r="D655" s="789">
        <v>200102881</v>
      </c>
      <c r="E655" s="1469" t="s">
        <v>3169</v>
      </c>
      <c r="F655" s="749">
        <v>25</v>
      </c>
      <c r="G655" s="3" t="s">
        <v>128</v>
      </c>
      <c r="H655" s="804"/>
      <c r="I655" s="786">
        <v>466.5</v>
      </c>
      <c r="J655" s="804"/>
      <c r="K655" s="827" t="s">
        <v>2556</v>
      </c>
      <c r="L655" s="790">
        <v>45149</v>
      </c>
      <c r="M655" s="842"/>
      <c r="N655" s="842"/>
      <c r="O655" s="761" t="s">
        <v>62</v>
      </c>
      <c r="P655" s="3" t="s">
        <v>3170</v>
      </c>
      <c r="Q655" s="842"/>
      <c r="R655" s="848"/>
      <c r="S655" s="3" t="s">
        <v>130</v>
      </c>
      <c r="T655" s="848"/>
      <c r="U655" s="786">
        <v>330</v>
      </c>
      <c r="V655" s="848"/>
      <c r="W655" s="848"/>
      <c r="X655" s="761" t="s">
        <v>2556</v>
      </c>
      <c r="Y655" s="761">
        <v>45152</v>
      </c>
      <c r="Z655" s="761" t="s">
        <v>62</v>
      </c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spans="2:39" ht="13.95" customHeight="1">
      <c r="B656" s="747">
        <v>8</v>
      </c>
      <c r="C656" s="748" t="s">
        <v>1792</v>
      </c>
      <c r="D656" s="789">
        <v>200102882</v>
      </c>
      <c r="E656" s="1469" t="s">
        <v>3171</v>
      </c>
      <c r="F656" s="749">
        <v>26</v>
      </c>
      <c r="G656" s="3" t="s">
        <v>128</v>
      </c>
      <c r="H656" s="804"/>
      <c r="I656" s="786">
        <v>462.3</v>
      </c>
      <c r="J656" s="804"/>
      <c r="K656" s="827" t="s">
        <v>2556</v>
      </c>
      <c r="L656" s="790">
        <v>45153</v>
      </c>
      <c r="M656" s="842"/>
      <c r="N656" s="842"/>
      <c r="O656" s="761" t="s">
        <v>62</v>
      </c>
      <c r="P656" s="3" t="s">
        <v>3172</v>
      </c>
      <c r="Q656" s="842"/>
      <c r="R656" s="848"/>
      <c r="S656" s="3" t="s">
        <v>130</v>
      </c>
      <c r="T656" s="848"/>
      <c r="U656" s="786">
        <v>330</v>
      </c>
      <c r="V656" s="848"/>
      <c r="W656" s="848"/>
      <c r="X656" s="761" t="s">
        <v>2556</v>
      </c>
      <c r="Y656" s="761">
        <v>45153</v>
      </c>
      <c r="Z656" s="761" t="s">
        <v>62</v>
      </c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spans="1:39" ht="13.95" customHeight="1">
      <c r="B657" s="747">
        <v>8</v>
      </c>
      <c r="C657" s="748" t="s">
        <v>1792</v>
      </c>
      <c r="D657" s="3">
        <v>200102908</v>
      </c>
      <c r="E657" s="1469" t="s">
        <v>3173</v>
      </c>
      <c r="F657" s="749">
        <v>27</v>
      </c>
      <c r="G657" s="3" t="s">
        <v>128</v>
      </c>
      <c r="H657" s="804"/>
      <c r="I657" s="786">
        <v>466</v>
      </c>
      <c r="J657" s="804"/>
      <c r="K657" s="827" t="s">
        <v>2556</v>
      </c>
      <c r="L657" s="790">
        <v>45153</v>
      </c>
      <c r="M657" s="842"/>
      <c r="N657" s="842"/>
      <c r="O657" s="761" t="s">
        <v>62</v>
      </c>
      <c r="P657" s="3" t="s">
        <v>3174</v>
      </c>
      <c r="Q657" s="842"/>
      <c r="R657" s="848"/>
      <c r="S657" s="3" t="s">
        <v>130</v>
      </c>
      <c r="T657" s="848"/>
      <c r="U657" s="786">
        <v>330.4</v>
      </c>
      <c r="V657" s="848"/>
      <c r="W657" s="848"/>
      <c r="X657" s="761" t="s">
        <v>2556</v>
      </c>
      <c r="Y657" s="761">
        <v>45153</v>
      </c>
      <c r="Z657" s="761" t="s">
        <v>62</v>
      </c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spans="1:39" ht="13.95" customHeight="1">
      <c r="B658" s="747">
        <v>8</v>
      </c>
      <c r="C658" s="748" t="s">
        <v>1792</v>
      </c>
      <c r="D658" s="3">
        <v>200102909</v>
      </c>
      <c r="E658" s="1469" t="s">
        <v>3175</v>
      </c>
      <c r="F658" s="749">
        <v>28</v>
      </c>
      <c r="G658" s="3" t="s">
        <v>128</v>
      </c>
      <c r="H658" s="804"/>
      <c r="I658" s="786">
        <v>467.3</v>
      </c>
      <c r="J658" s="804"/>
      <c r="K658" s="827" t="s">
        <v>2556</v>
      </c>
      <c r="L658" s="790">
        <v>45153</v>
      </c>
      <c r="M658" s="842"/>
      <c r="N658" s="842"/>
      <c r="O658" s="761" t="s">
        <v>62</v>
      </c>
      <c r="P658" s="3" t="s">
        <v>3176</v>
      </c>
      <c r="Q658" s="842"/>
      <c r="R658" s="848"/>
      <c r="S658" s="3" t="s">
        <v>130</v>
      </c>
      <c r="T658" s="848"/>
      <c r="U658" s="786">
        <v>330</v>
      </c>
      <c r="V658" s="848"/>
      <c r="W658" s="848"/>
      <c r="X658" s="761" t="s">
        <v>2556</v>
      </c>
      <c r="Y658" s="761">
        <v>45153</v>
      </c>
      <c r="Z658" s="761" t="s">
        <v>62</v>
      </c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spans="1:39" ht="13.95" customHeight="1">
      <c r="B659" s="747">
        <v>8</v>
      </c>
      <c r="C659" s="748" t="s">
        <v>1792</v>
      </c>
      <c r="D659" s="3">
        <v>200102910</v>
      </c>
      <c r="E659" s="1469" t="s">
        <v>3177</v>
      </c>
      <c r="F659" s="749">
        <v>29</v>
      </c>
      <c r="G659" s="3" t="s">
        <v>128</v>
      </c>
      <c r="H659" s="804"/>
      <c r="I659" s="786">
        <v>467.2</v>
      </c>
      <c r="J659" s="804"/>
      <c r="K659" s="827" t="s">
        <v>2556</v>
      </c>
      <c r="L659" s="790">
        <v>45153</v>
      </c>
      <c r="M659" s="842"/>
      <c r="N659" s="842"/>
      <c r="O659" s="761" t="s">
        <v>62</v>
      </c>
      <c r="P659" s="3" t="s">
        <v>3178</v>
      </c>
      <c r="Q659" s="842"/>
      <c r="R659" s="848"/>
      <c r="S659" s="3" t="s">
        <v>130</v>
      </c>
      <c r="T659" s="848"/>
      <c r="U659" s="786">
        <v>330</v>
      </c>
      <c r="V659" s="848"/>
      <c r="W659" s="848"/>
      <c r="X659" s="761" t="s">
        <v>2556</v>
      </c>
      <c r="Y659" s="761">
        <v>45153</v>
      </c>
      <c r="Z659" s="761" t="s">
        <v>62</v>
      </c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spans="1:39" ht="13.95" customHeight="1">
      <c r="B660" s="747">
        <v>8</v>
      </c>
      <c r="C660" s="748" t="s">
        <v>1792</v>
      </c>
      <c r="D660" s="3">
        <v>200102911</v>
      </c>
      <c r="E660" s="1469" t="s">
        <v>3179</v>
      </c>
      <c r="F660" s="749">
        <v>30</v>
      </c>
      <c r="G660" s="3" t="s">
        <v>128</v>
      </c>
      <c r="H660" s="804"/>
      <c r="I660" s="786">
        <v>462.9</v>
      </c>
      <c r="J660" s="804"/>
      <c r="K660" s="827" t="s">
        <v>2556</v>
      </c>
      <c r="L660" s="790">
        <v>45159</v>
      </c>
      <c r="M660" s="842"/>
      <c r="N660" s="842"/>
      <c r="O660" s="761" t="s">
        <v>62</v>
      </c>
      <c r="P660" s="3" t="s">
        <v>3180</v>
      </c>
      <c r="Q660" s="842"/>
      <c r="R660" s="848"/>
      <c r="S660" s="3" t="s">
        <v>130</v>
      </c>
      <c r="T660" s="848"/>
      <c r="U660" s="786">
        <v>329.8</v>
      </c>
      <c r="V660" s="848"/>
      <c r="W660" s="848"/>
      <c r="X660" s="761" t="s">
        <v>2556</v>
      </c>
      <c r="Y660" s="761">
        <v>45160</v>
      </c>
      <c r="Z660" s="761" t="s">
        <v>62</v>
      </c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spans="1:39" ht="13.95" customHeight="1">
      <c r="B661" s="747">
        <v>8</v>
      </c>
      <c r="C661" s="748" t="s">
        <v>1792</v>
      </c>
      <c r="D661" s="3">
        <v>200102912</v>
      </c>
      <c r="E661" s="1469" t="s">
        <v>3181</v>
      </c>
      <c r="F661" s="749">
        <v>31</v>
      </c>
      <c r="G661" s="3" t="s">
        <v>128</v>
      </c>
      <c r="H661" s="804"/>
      <c r="I661" s="786">
        <v>467.7</v>
      </c>
      <c r="J661" s="804"/>
      <c r="K661" s="827" t="s">
        <v>2556</v>
      </c>
      <c r="L661" s="790">
        <v>45160</v>
      </c>
      <c r="M661" s="842"/>
      <c r="N661" s="842"/>
      <c r="O661" s="761" t="s">
        <v>62</v>
      </c>
      <c r="P661" s="3" t="s">
        <v>3182</v>
      </c>
      <c r="Q661" s="842"/>
      <c r="R661" s="848"/>
      <c r="S661" s="3" t="s">
        <v>130</v>
      </c>
      <c r="T661" s="848"/>
      <c r="U661" s="786">
        <v>329.8</v>
      </c>
      <c r="V661" s="848"/>
      <c r="W661" s="848"/>
      <c r="X661" s="761" t="s">
        <v>2556</v>
      </c>
      <c r="Y661" s="761">
        <v>45160</v>
      </c>
      <c r="Z661" s="761" t="s">
        <v>62</v>
      </c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spans="1:39" ht="13.95" customHeight="1">
      <c r="B662" s="747">
        <v>8</v>
      </c>
      <c r="C662" s="748" t="s">
        <v>1792</v>
      </c>
      <c r="D662" s="3">
        <v>200102913</v>
      </c>
      <c r="E662" s="1469" t="s">
        <v>3183</v>
      </c>
      <c r="F662" s="749">
        <v>32</v>
      </c>
      <c r="G662" s="3" t="s">
        <v>128</v>
      </c>
      <c r="H662" s="804"/>
      <c r="I662" s="786">
        <v>462.4</v>
      </c>
      <c r="J662" s="804"/>
      <c r="K662" s="827" t="s">
        <v>2556</v>
      </c>
      <c r="L662" s="790">
        <v>45160</v>
      </c>
      <c r="M662" s="842"/>
      <c r="N662" s="842"/>
      <c r="O662" s="761" t="s">
        <v>62</v>
      </c>
      <c r="P662" s="3" t="s">
        <v>3184</v>
      </c>
      <c r="Q662" s="842"/>
      <c r="R662" s="848"/>
      <c r="S662" s="3" t="s">
        <v>130</v>
      </c>
      <c r="T662" s="848"/>
      <c r="U662" s="786">
        <v>329.8</v>
      </c>
      <c r="V662" s="848"/>
      <c r="W662" s="848"/>
      <c r="X662" s="761" t="s">
        <v>2556</v>
      </c>
      <c r="Y662" s="761">
        <v>45161</v>
      </c>
      <c r="Z662" s="761" t="s">
        <v>62</v>
      </c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spans="1:39" ht="13.95" customHeight="1">
      <c r="B663" s="747">
        <v>8</v>
      </c>
      <c r="C663" s="748" t="s">
        <v>1792</v>
      </c>
      <c r="D663" s="3">
        <v>200102914</v>
      </c>
      <c r="E663" s="1469" t="s">
        <v>3185</v>
      </c>
      <c r="F663" s="749">
        <v>33</v>
      </c>
      <c r="G663" s="3" t="s">
        <v>128</v>
      </c>
      <c r="H663" s="804"/>
      <c r="I663" s="786">
        <v>473.3</v>
      </c>
      <c r="J663" s="804"/>
      <c r="K663" s="827" t="s">
        <v>2556</v>
      </c>
      <c r="L663" s="790">
        <v>45160</v>
      </c>
      <c r="M663" s="842"/>
      <c r="N663" s="842"/>
      <c r="O663" s="761" t="s">
        <v>62</v>
      </c>
      <c r="P663" s="3" t="s">
        <v>3186</v>
      </c>
      <c r="Q663" s="842"/>
      <c r="R663" s="848"/>
      <c r="S663" s="3" t="s">
        <v>130</v>
      </c>
      <c r="T663" s="848"/>
      <c r="U663" s="786">
        <v>330</v>
      </c>
      <c r="V663" s="848"/>
      <c r="W663" s="848"/>
      <c r="X663" s="761" t="s">
        <v>2556</v>
      </c>
      <c r="Y663" s="761">
        <v>45161</v>
      </c>
      <c r="Z663" s="761" t="s">
        <v>62</v>
      </c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spans="1:39" ht="13.95" customHeight="1">
      <c r="B664" s="747">
        <v>8</v>
      </c>
      <c r="C664" s="748" t="s">
        <v>1792</v>
      </c>
      <c r="D664" s="3">
        <v>200102915</v>
      </c>
      <c r="E664" s="1469" t="s">
        <v>3187</v>
      </c>
      <c r="F664" s="749">
        <v>34</v>
      </c>
      <c r="G664" s="3" t="s">
        <v>128</v>
      </c>
      <c r="H664" s="804"/>
      <c r="I664" s="762">
        <v>464.7</v>
      </c>
      <c r="J664" s="804"/>
      <c r="K664" s="827" t="s">
        <v>2556</v>
      </c>
      <c r="L664" s="790">
        <v>45161</v>
      </c>
      <c r="M664" s="842"/>
      <c r="N664" s="842"/>
      <c r="O664" s="761" t="s">
        <v>62</v>
      </c>
      <c r="P664" s="3" t="s">
        <v>471</v>
      </c>
      <c r="Q664" s="842"/>
      <c r="R664" s="848"/>
      <c r="S664" s="3" t="s">
        <v>130</v>
      </c>
      <c r="T664" s="848"/>
      <c r="U664" s="762">
        <v>330.1</v>
      </c>
      <c r="V664" s="848"/>
      <c r="W664" s="848"/>
      <c r="X664" s="761" t="s">
        <v>2556</v>
      </c>
      <c r="Y664" s="761">
        <v>45161</v>
      </c>
      <c r="Z664" s="761" t="s">
        <v>62</v>
      </c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spans="1:39" ht="13.95" customHeight="1">
      <c r="B665" s="747">
        <v>8</v>
      </c>
      <c r="C665" s="748" t="s">
        <v>1792</v>
      </c>
      <c r="D665" s="3">
        <v>200102916</v>
      </c>
      <c r="E665" s="1469" t="s">
        <v>3188</v>
      </c>
      <c r="F665" s="749">
        <v>35</v>
      </c>
      <c r="G665" s="3" t="s">
        <v>128</v>
      </c>
      <c r="H665" s="804"/>
      <c r="I665" s="762">
        <v>466.4</v>
      </c>
      <c r="J665" s="804"/>
      <c r="K665" s="827" t="s">
        <v>2556</v>
      </c>
      <c r="L665" s="790">
        <v>45161</v>
      </c>
      <c r="M665" s="842"/>
      <c r="N665" s="842"/>
      <c r="O665" s="761" t="s">
        <v>62</v>
      </c>
      <c r="P665" s="3" t="s">
        <v>3189</v>
      </c>
      <c r="Q665" s="842"/>
      <c r="R665" s="848"/>
      <c r="S665" s="3" t="s">
        <v>130</v>
      </c>
      <c r="T665" s="848"/>
      <c r="U665" s="786">
        <v>330</v>
      </c>
      <c r="V665" s="848"/>
      <c r="W665" s="848"/>
      <c r="X665" s="761" t="s">
        <v>2556</v>
      </c>
      <c r="Y665" s="761">
        <v>45162</v>
      </c>
      <c r="Z665" s="761" t="s">
        <v>62</v>
      </c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spans="1:39" ht="13.95" customHeight="1">
      <c r="B666" s="747">
        <v>8</v>
      </c>
      <c r="C666" s="748" t="s">
        <v>1792</v>
      </c>
      <c r="D666" s="3">
        <v>200102917</v>
      </c>
      <c r="E666" s="1469" t="s">
        <v>3190</v>
      </c>
      <c r="F666" s="749">
        <v>36</v>
      </c>
      <c r="G666" s="3" t="s">
        <v>128</v>
      </c>
      <c r="H666" s="804"/>
      <c r="I666" s="786">
        <v>465.6</v>
      </c>
      <c r="J666" s="804"/>
      <c r="K666" s="827" t="s">
        <v>2556</v>
      </c>
      <c r="L666" s="790">
        <v>45162</v>
      </c>
      <c r="M666" s="842"/>
      <c r="N666" s="842"/>
      <c r="O666" s="761" t="s">
        <v>62</v>
      </c>
      <c r="P666" s="3" t="s">
        <v>3191</v>
      </c>
      <c r="Q666" s="842"/>
      <c r="R666" s="848"/>
      <c r="S666" s="3" t="s">
        <v>130</v>
      </c>
      <c r="T666" s="848"/>
      <c r="U666" s="786">
        <v>330.6</v>
      </c>
      <c r="V666" s="848"/>
      <c r="W666" s="848"/>
      <c r="X666" s="761" t="s">
        <v>2556</v>
      </c>
      <c r="Y666" s="761">
        <v>45162</v>
      </c>
      <c r="Z666" s="761" t="s">
        <v>62</v>
      </c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spans="1:39" ht="13.95" customHeight="1">
      <c r="B667" s="747">
        <v>8</v>
      </c>
      <c r="C667" s="748" t="s">
        <v>1792</v>
      </c>
      <c r="D667" s="3">
        <v>200102918</v>
      </c>
      <c r="E667" s="1469" t="s">
        <v>3192</v>
      </c>
      <c r="F667" s="749">
        <v>37</v>
      </c>
      <c r="G667" s="3" t="s">
        <v>128</v>
      </c>
      <c r="H667" s="804"/>
      <c r="I667" s="786">
        <v>469.6</v>
      </c>
      <c r="J667" s="804"/>
      <c r="K667" s="827" t="s">
        <v>2556</v>
      </c>
      <c r="L667" s="790">
        <v>45162</v>
      </c>
      <c r="M667" s="842"/>
      <c r="N667" s="842"/>
      <c r="O667" s="761" t="s">
        <v>62</v>
      </c>
      <c r="P667" s="3" t="s">
        <v>3193</v>
      </c>
      <c r="Q667" s="842"/>
      <c r="R667" s="848"/>
      <c r="S667" s="3" t="s">
        <v>130</v>
      </c>
      <c r="T667" s="848"/>
      <c r="U667" s="786">
        <v>330.7</v>
      </c>
      <c r="V667" s="848"/>
      <c r="W667" s="848"/>
      <c r="X667" s="761" t="s">
        <v>2556</v>
      </c>
      <c r="Y667" s="761">
        <v>45163</v>
      </c>
      <c r="Z667" s="761" t="s">
        <v>62</v>
      </c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spans="1:39" ht="13.95" customHeight="1">
      <c r="B668" s="747">
        <v>8</v>
      </c>
      <c r="C668" s="748" t="s">
        <v>1792</v>
      </c>
      <c r="D668" s="3">
        <v>200102919</v>
      </c>
      <c r="E668" s="1469" t="s">
        <v>3194</v>
      </c>
      <c r="F668" s="749">
        <v>38</v>
      </c>
      <c r="G668" s="3" t="s">
        <v>128</v>
      </c>
      <c r="H668" s="804"/>
      <c r="I668" s="762">
        <v>464.3</v>
      </c>
      <c r="J668" s="804"/>
      <c r="K668" s="827" t="s">
        <v>2556</v>
      </c>
      <c r="L668" s="790">
        <v>45163</v>
      </c>
      <c r="M668" s="842"/>
      <c r="N668" s="842"/>
      <c r="O668" s="761" t="s">
        <v>62</v>
      </c>
      <c r="P668" s="3" t="s">
        <v>3195</v>
      </c>
      <c r="Q668" s="842"/>
      <c r="R668" s="848"/>
      <c r="S668" s="3" t="s">
        <v>130</v>
      </c>
      <c r="T668" s="848"/>
      <c r="U668" s="786">
        <v>329.6</v>
      </c>
      <c r="V668" s="848"/>
      <c r="W668" s="848"/>
      <c r="X668" s="761" t="s">
        <v>2556</v>
      </c>
      <c r="Y668" s="761">
        <v>45163</v>
      </c>
      <c r="Z668" s="761" t="s">
        <v>62</v>
      </c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spans="1:39" ht="13.95" customHeight="1">
      <c r="B669" s="747">
        <v>8</v>
      </c>
      <c r="C669" s="748" t="s">
        <v>1792</v>
      </c>
      <c r="D669" s="3">
        <v>200102980</v>
      </c>
      <c r="E669" s="1469" t="s">
        <v>3196</v>
      </c>
      <c r="F669" s="749">
        <v>39</v>
      </c>
      <c r="G669" s="3" t="s">
        <v>128</v>
      </c>
      <c r="H669" s="804"/>
      <c r="I669" s="786">
        <v>461.6</v>
      </c>
      <c r="J669" s="804"/>
      <c r="K669" s="827" t="s">
        <v>2556</v>
      </c>
      <c r="L669" s="790">
        <v>45166</v>
      </c>
      <c r="M669" s="842"/>
      <c r="N669" s="842"/>
      <c r="O669" s="761" t="s">
        <v>62</v>
      </c>
      <c r="P669" s="3" t="s">
        <v>3197</v>
      </c>
      <c r="Q669" s="842"/>
      <c r="R669" s="848"/>
      <c r="S669" s="3" t="s">
        <v>130</v>
      </c>
      <c r="T669" s="848"/>
      <c r="U669" s="786">
        <v>329.01</v>
      </c>
      <c r="V669" s="848"/>
      <c r="W669" s="848"/>
      <c r="X669" s="761" t="s">
        <v>2556</v>
      </c>
      <c r="Y669" s="761">
        <v>45163</v>
      </c>
      <c r="Z669" s="761" t="s">
        <v>62</v>
      </c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spans="1:39" s="707" customFormat="1">
      <c r="A670"/>
      <c r="B670" s="805" t="s">
        <v>13</v>
      </c>
      <c r="C670" s="806" t="s">
        <v>1760</v>
      </c>
      <c r="D670" s="807"/>
      <c r="E670" s="807"/>
      <c r="F670" s="808"/>
      <c r="G670" s="807"/>
      <c r="H670" s="809"/>
      <c r="I670" s="837"/>
      <c r="J670" s="809"/>
      <c r="K670" s="829"/>
      <c r="L670" s="818"/>
      <c r="M670" s="809"/>
      <c r="N670" s="809"/>
      <c r="O670" s="819"/>
      <c r="P670" s="807"/>
      <c r="Q670" s="809"/>
      <c r="R670" s="807"/>
      <c r="S670" s="807"/>
      <c r="T670" s="807"/>
      <c r="U670" s="807"/>
      <c r="V670" s="807"/>
      <c r="W670" s="807"/>
      <c r="X670" s="819"/>
      <c r="Y670" s="819"/>
      <c r="Z670" s="819"/>
      <c r="AA670" s="710"/>
      <c r="AB670" s="710"/>
      <c r="AC670" s="710"/>
      <c r="AD670" s="710"/>
      <c r="AE670" s="710"/>
      <c r="AF670" s="710"/>
      <c r="AG670" s="710"/>
      <c r="AH670" s="710"/>
      <c r="AI670" s="710"/>
      <c r="AJ670" s="710"/>
      <c r="AK670" s="710"/>
      <c r="AL670" s="710"/>
      <c r="AM670" s="710"/>
    </row>
    <row r="671" spans="1:39" ht="13.95" customHeight="1">
      <c r="B671" s="747">
        <v>9</v>
      </c>
      <c r="C671" s="748" t="s">
        <v>1792</v>
      </c>
      <c r="D671" s="3">
        <v>200103043</v>
      </c>
      <c r="E671" s="1469" t="s">
        <v>3198</v>
      </c>
      <c r="F671" s="749">
        <v>1</v>
      </c>
      <c r="G671" s="3" t="s">
        <v>128</v>
      </c>
      <c r="H671" s="804"/>
      <c r="I671" s="786">
        <v>462.5</v>
      </c>
      <c r="J671" s="804"/>
      <c r="K671" s="827" t="s">
        <v>2556</v>
      </c>
      <c r="L671" s="790">
        <v>45166</v>
      </c>
      <c r="M671" s="842"/>
      <c r="N671" s="842"/>
      <c r="O671" s="761" t="s">
        <v>62</v>
      </c>
      <c r="P671" s="3" t="s">
        <v>3199</v>
      </c>
      <c r="Q671" s="842"/>
      <c r="R671" s="848"/>
      <c r="S671" s="3" t="s">
        <v>130</v>
      </c>
      <c r="T671" s="848"/>
      <c r="U671" s="786">
        <v>329.9</v>
      </c>
      <c r="V671" s="848"/>
      <c r="W671" s="848"/>
      <c r="X671" s="761" t="s">
        <v>2556</v>
      </c>
      <c r="Y671" s="761">
        <v>45166</v>
      </c>
      <c r="Z671" s="761" t="s">
        <v>62</v>
      </c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spans="1:39" ht="13.95" customHeight="1">
      <c r="B672" s="747">
        <v>9</v>
      </c>
      <c r="C672" s="748" t="s">
        <v>1792</v>
      </c>
      <c r="D672" s="3">
        <v>200103044</v>
      </c>
      <c r="E672" s="1469" t="s">
        <v>3200</v>
      </c>
      <c r="F672" s="749">
        <v>2</v>
      </c>
      <c r="G672" s="3" t="s">
        <v>128</v>
      </c>
      <c r="H672" s="804"/>
      <c r="I672" s="786">
        <f>153.4+157.3+155</f>
        <v>465.70000000000005</v>
      </c>
      <c r="J672" s="804"/>
      <c r="K672" s="827" t="s">
        <v>2556</v>
      </c>
      <c r="L672" s="790">
        <v>45166</v>
      </c>
      <c r="M672" s="842"/>
      <c r="N672" s="842"/>
      <c r="O672" s="761" t="s">
        <v>62</v>
      </c>
      <c r="P672" s="3" t="s">
        <v>3201</v>
      </c>
      <c r="Q672" s="842"/>
      <c r="R672" s="848"/>
      <c r="S672" s="3" t="s">
        <v>130</v>
      </c>
      <c r="T672" s="848"/>
      <c r="U672" s="786">
        <v>329.8</v>
      </c>
      <c r="V672" s="848"/>
      <c r="W672" s="848"/>
      <c r="X672" s="761" t="s">
        <v>2556</v>
      </c>
      <c r="Y672" s="761">
        <v>45167</v>
      </c>
      <c r="Z672" s="761" t="s">
        <v>62</v>
      </c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spans="2:39" ht="13.95" customHeight="1">
      <c r="B673" s="747">
        <v>9</v>
      </c>
      <c r="C673" s="748" t="s">
        <v>1792</v>
      </c>
      <c r="D673" s="3">
        <v>200103045</v>
      </c>
      <c r="E673" s="1469" t="s">
        <v>3202</v>
      </c>
      <c r="F673" s="749">
        <v>3</v>
      </c>
      <c r="G673" s="3" t="s">
        <v>128</v>
      </c>
      <c r="H673" s="804"/>
      <c r="I673" s="786">
        <v>462.4</v>
      </c>
      <c r="J673" s="804"/>
      <c r="K673" s="827" t="s">
        <v>2556</v>
      </c>
      <c r="L673" s="790">
        <v>45167</v>
      </c>
      <c r="M673" s="842"/>
      <c r="N673" s="842"/>
      <c r="O673" s="761" t="s">
        <v>62</v>
      </c>
      <c r="P673" s="3" t="s">
        <v>3203</v>
      </c>
      <c r="Q673" s="842"/>
      <c r="R673" s="848"/>
      <c r="S673" s="3" t="s">
        <v>130</v>
      </c>
      <c r="T673" s="848"/>
      <c r="U673" s="786">
        <v>329.7</v>
      </c>
      <c r="V673" s="848"/>
      <c r="W673" s="848"/>
      <c r="X673" s="761" t="s">
        <v>2556</v>
      </c>
      <c r="Y673" s="761">
        <v>45167</v>
      </c>
      <c r="Z673" s="761" t="s">
        <v>62</v>
      </c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spans="2:39" ht="13.95" customHeight="1">
      <c r="B674" s="747">
        <v>9</v>
      </c>
      <c r="C674" s="748" t="s">
        <v>1792</v>
      </c>
      <c r="D674" s="3">
        <v>200103046</v>
      </c>
      <c r="E674" s="1469" t="s">
        <v>3204</v>
      </c>
      <c r="F674" s="749">
        <v>4</v>
      </c>
      <c r="G674" s="3" t="s">
        <v>128</v>
      </c>
      <c r="H674" s="804"/>
      <c r="I674" s="786">
        <v>471.9</v>
      </c>
      <c r="J674" s="804"/>
      <c r="K674" s="827" t="s">
        <v>2556</v>
      </c>
      <c r="L674" s="790">
        <v>45167</v>
      </c>
      <c r="M674" s="842"/>
      <c r="N674" s="842"/>
      <c r="O674" s="761" t="s">
        <v>62</v>
      </c>
      <c r="P674" s="3" t="s">
        <v>3205</v>
      </c>
      <c r="Q674" s="842"/>
      <c r="R674" s="848"/>
      <c r="S674" s="3" t="s">
        <v>130</v>
      </c>
      <c r="T674" s="848"/>
      <c r="U674" s="786">
        <v>330.5</v>
      </c>
      <c r="V674" s="848"/>
      <c r="W674" s="848"/>
      <c r="X674" s="761" t="s">
        <v>2556</v>
      </c>
      <c r="Y674" s="761">
        <v>45168</v>
      </c>
      <c r="Z674" s="761" t="s">
        <v>62</v>
      </c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spans="2:39" ht="13.95" customHeight="1">
      <c r="B675" s="747">
        <v>9</v>
      </c>
      <c r="C675" s="748" t="s">
        <v>1792</v>
      </c>
      <c r="D675" s="3">
        <v>200103047</v>
      </c>
      <c r="E675" s="1469" t="s">
        <v>3206</v>
      </c>
      <c r="F675" s="749">
        <v>5</v>
      </c>
      <c r="G675" s="3" t="s">
        <v>128</v>
      </c>
      <c r="H675" s="804"/>
      <c r="I675" s="786">
        <v>455.8</v>
      </c>
      <c r="J675" s="804"/>
      <c r="K675" s="827" t="s">
        <v>2556</v>
      </c>
      <c r="L675" s="790">
        <v>45168</v>
      </c>
      <c r="M675" s="842"/>
      <c r="N675" s="842"/>
      <c r="O675" s="761" t="s">
        <v>62</v>
      </c>
      <c r="P675" s="3" t="s">
        <v>3207</v>
      </c>
      <c r="Q675" s="842"/>
      <c r="R675" s="848"/>
      <c r="S675" s="3" t="s">
        <v>130</v>
      </c>
      <c r="T675" s="848"/>
      <c r="U675" s="786">
        <v>329.8</v>
      </c>
      <c r="V675" s="848"/>
      <c r="W675" s="848"/>
      <c r="X675" s="761" t="s">
        <v>2556</v>
      </c>
      <c r="Y675" s="761">
        <v>45168</v>
      </c>
      <c r="Z675" s="761" t="s">
        <v>62</v>
      </c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spans="2:39" ht="13.95" customHeight="1">
      <c r="B676" s="747">
        <v>9</v>
      </c>
      <c r="C676" s="748" t="s">
        <v>1792</v>
      </c>
      <c r="D676" s="3">
        <v>200103048</v>
      </c>
      <c r="E676" s="1469" t="s">
        <v>3208</v>
      </c>
      <c r="F676" s="749">
        <v>6</v>
      </c>
      <c r="G676" s="3" t="s">
        <v>128</v>
      </c>
      <c r="H676" s="804"/>
      <c r="I676" s="786">
        <v>463.8</v>
      </c>
      <c r="J676" s="804"/>
      <c r="K676" s="827" t="s">
        <v>2556</v>
      </c>
      <c r="L676" s="790">
        <v>45168</v>
      </c>
      <c r="M676" s="842"/>
      <c r="N676" s="842"/>
      <c r="O676" s="761" t="s">
        <v>62</v>
      </c>
      <c r="P676" s="3" t="s">
        <v>3209</v>
      </c>
      <c r="Q676" s="842"/>
      <c r="R676" s="848"/>
      <c r="S676" s="3" t="s">
        <v>130</v>
      </c>
      <c r="T676" s="848"/>
      <c r="U676" s="786">
        <v>329.9</v>
      </c>
      <c r="V676" s="848"/>
      <c r="W676" s="848"/>
      <c r="X676" s="761" t="s">
        <v>2556</v>
      </c>
      <c r="Y676" s="761">
        <v>45168</v>
      </c>
      <c r="Z676" s="761" t="s">
        <v>62</v>
      </c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spans="2:39" ht="13.95" customHeight="1">
      <c r="B677" s="747">
        <v>9</v>
      </c>
      <c r="C677" s="748" t="s">
        <v>1792</v>
      </c>
      <c r="D677" s="3">
        <v>200103049</v>
      </c>
      <c r="E677" s="1469" t="s">
        <v>3210</v>
      </c>
      <c r="F677" s="749">
        <v>7</v>
      </c>
      <c r="G677" s="3" t="s">
        <v>128</v>
      </c>
      <c r="H677" s="804"/>
      <c r="I677" s="786">
        <v>463.6</v>
      </c>
      <c r="J677" s="804"/>
      <c r="K677" s="827" t="s">
        <v>2556</v>
      </c>
      <c r="L677" s="790">
        <v>45169</v>
      </c>
      <c r="M677" s="842"/>
      <c r="N677" s="842"/>
      <c r="O677" s="761" t="s">
        <v>62</v>
      </c>
      <c r="P677" s="3" t="s">
        <v>3211</v>
      </c>
      <c r="Q677" s="842"/>
      <c r="R677" s="848"/>
      <c r="S677" s="3" t="s">
        <v>130</v>
      </c>
      <c r="T677" s="848"/>
      <c r="U677" s="786">
        <v>330</v>
      </c>
      <c r="V677" s="848"/>
      <c r="W677" s="848"/>
      <c r="X677" s="761" t="s">
        <v>2556</v>
      </c>
      <c r="Y677" s="761">
        <v>45169</v>
      </c>
      <c r="Z677" s="761" t="s">
        <v>62</v>
      </c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spans="2:39" ht="13.95" customHeight="1">
      <c r="B678" s="747">
        <v>9</v>
      </c>
      <c r="C678" s="748" t="s">
        <v>1792</v>
      </c>
      <c r="D678" s="3">
        <v>200103200</v>
      </c>
      <c r="E678" s="1469" t="s">
        <v>3212</v>
      </c>
      <c r="F678" s="749">
        <v>8</v>
      </c>
      <c r="G678" s="3" t="s">
        <v>128</v>
      </c>
      <c r="H678" s="804"/>
      <c r="I678" s="786">
        <v>465.92</v>
      </c>
      <c r="J678" s="804"/>
      <c r="K678" s="827" t="s">
        <v>2661</v>
      </c>
      <c r="L678" s="790">
        <v>45170</v>
      </c>
      <c r="M678" s="842"/>
      <c r="N678" s="842"/>
      <c r="O678" s="761" t="s">
        <v>62</v>
      </c>
      <c r="P678" s="3" t="s">
        <v>3213</v>
      </c>
      <c r="Q678" s="842"/>
      <c r="R678" s="12"/>
      <c r="S678" s="3" t="s">
        <v>130</v>
      </c>
      <c r="T678" s="848"/>
      <c r="U678" s="786">
        <v>329.8</v>
      </c>
      <c r="V678" s="848"/>
      <c r="W678" s="848"/>
      <c r="X678" s="761" t="s">
        <v>2556</v>
      </c>
      <c r="Y678" s="761">
        <v>45169</v>
      </c>
      <c r="Z678" s="761" t="s">
        <v>62</v>
      </c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spans="2:39" ht="13.95" customHeight="1">
      <c r="B679" s="747">
        <v>9</v>
      </c>
      <c r="C679" s="748" t="s">
        <v>1792</v>
      </c>
      <c r="D679" s="3">
        <v>200103201</v>
      </c>
      <c r="E679" s="1469" t="s">
        <v>3214</v>
      </c>
      <c r="F679" s="749">
        <v>9</v>
      </c>
      <c r="G679" s="3" t="s">
        <v>128</v>
      </c>
      <c r="H679" s="804"/>
      <c r="I679" s="786">
        <v>462.28</v>
      </c>
      <c r="J679" s="804"/>
      <c r="K679" s="827" t="s">
        <v>2661</v>
      </c>
      <c r="L679" s="790">
        <v>45170</v>
      </c>
      <c r="M679" s="842"/>
      <c r="N679" s="842"/>
      <c r="O679" s="761" t="s">
        <v>62</v>
      </c>
      <c r="P679" s="3" t="s">
        <v>3215</v>
      </c>
      <c r="Q679" s="842"/>
      <c r="R679" s="848"/>
      <c r="S679" s="3" t="s">
        <v>130</v>
      </c>
      <c r="T679" s="848"/>
      <c r="U679" s="786">
        <v>330.5</v>
      </c>
      <c r="V679" s="848"/>
      <c r="W679" s="848"/>
      <c r="X679" s="761" t="s">
        <v>2556</v>
      </c>
      <c r="Y679" s="761">
        <v>45169</v>
      </c>
      <c r="Z679" s="761" t="s">
        <v>62</v>
      </c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spans="2:39" ht="13.95" customHeight="1">
      <c r="B680" s="747">
        <v>9</v>
      </c>
      <c r="C680" s="748" t="s">
        <v>1792</v>
      </c>
      <c r="D680" s="3">
        <v>200103202</v>
      </c>
      <c r="E680" s="1469" t="s">
        <v>3216</v>
      </c>
      <c r="F680" s="749">
        <v>10</v>
      </c>
      <c r="G680" s="3" t="s">
        <v>128</v>
      </c>
      <c r="H680" s="804"/>
      <c r="I680" s="786">
        <v>457.29</v>
      </c>
      <c r="J680" s="804"/>
      <c r="K680" s="827" t="s">
        <v>2661</v>
      </c>
      <c r="L680" s="790">
        <v>45173</v>
      </c>
      <c r="M680" s="842"/>
      <c r="N680" s="842"/>
      <c r="O680" s="761" t="s">
        <v>62</v>
      </c>
      <c r="P680" s="3" t="s">
        <v>3217</v>
      </c>
      <c r="Q680" s="842"/>
      <c r="R680" s="848"/>
      <c r="S680" s="3" t="s">
        <v>130</v>
      </c>
      <c r="T680" s="848"/>
      <c r="U680" s="786">
        <v>330.2</v>
      </c>
      <c r="V680" s="848"/>
      <c r="W680" s="848"/>
      <c r="X680" s="761" t="s">
        <v>2556</v>
      </c>
      <c r="Y680" s="761">
        <v>45169</v>
      </c>
      <c r="Z680" s="761" t="s">
        <v>62</v>
      </c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spans="2:39" ht="13.95" customHeight="1">
      <c r="B681" s="747">
        <v>9</v>
      </c>
      <c r="C681" s="748" t="s">
        <v>1792</v>
      </c>
      <c r="D681" s="3">
        <v>200103203</v>
      </c>
      <c r="E681" s="1469" t="s">
        <v>3218</v>
      </c>
      <c r="F681" s="749">
        <v>11</v>
      </c>
      <c r="G681" s="3" t="s">
        <v>128</v>
      </c>
      <c r="H681" s="804"/>
      <c r="I681" s="786">
        <v>475.1</v>
      </c>
      <c r="J681" s="804"/>
      <c r="K681" s="827" t="s">
        <v>2661</v>
      </c>
      <c r="L681" s="790">
        <v>45173</v>
      </c>
      <c r="M681" s="842"/>
      <c r="N681" s="842"/>
      <c r="O681" s="761" t="s">
        <v>62</v>
      </c>
      <c r="P681" s="3" t="s">
        <v>3219</v>
      </c>
      <c r="Q681" s="842"/>
      <c r="R681" s="848"/>
      <c r="S681" s="3" t="s">
        <v>130</v>
      </c>
      <c r="T681" s="848"/>
      <c r="U681" s="786">
        <v>330.5</v>
      </c>
      <c r="V681" s="848"/>
      <c r="W681" s="848"/>
      <c r="X681" s="761" t="s">
        <v>2556</v>
      </c>
      <c r="Y681" s="761">
        <v>45169</v>
      </c>
      <c r="Z681" s="761" t="s">
        <v>62</v>
      </c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spans="2:39" ht="13.95" customHeight="1">
      <c r="B682" s="747">
        <v>9</v>
      </c>
      <c r="C682" s="748" t="s">
        <v>1792</v>
      </c>
      <c r="D682" s="3">
        <v>200103204</v>
      </c>
      <c r="E682" s="1469" t="s">
        <v>3220</v>
      </c>
      <c r="F682" s="749">
        <v>12</v>
      </c>
      <c r="G682" s="3" t="s">
        <v>128</v>
      </c>
      <c r="H682" s="804"/>
      <c r="I682" s="786">
        <v>463.8</v>
      </c>
      <c r="J682" s="804"/>
      <c r="K682" s="827" t="s">
        <v>2661</v>
      </c>
      <c r="L682" s="790">
        <v>45173</v>
      </c>
      <c r="M682" s="842"/>
      <c r="N682" s="842"/>
      <c r="O682" s="761" t="s">
        <v>62</v>
      </c>
      <c r="P682" s="3" t="s">
        <v>3221</v>
      </c>
      <c r="Q682" s="842"/>
      <c r="R682" s="848"/>
      <c r="S682" s="3" t="s">
        <v>130</v>
      </c>
      <c r="T682" s="848"/>
      <c r="U682" s="786">
        <v>329.61</v>
      </c>
      <c r="V682" s="848"/>
      <c r="W682" s="848"/>
      <c r="X682" s="761" t="s">
        <v>2661</v>
      </c>
      <c r="Y682" s="761">
        <v>45173</v>
      </c>
      <c r="Z682" s="761" t="s">
        <v>62</v>
      </c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spans="2:39" ht="13.95" customHeight="1">
      <c r="B683" s="747">
        <v>9</v>
      </c>
      <c r="C683" s="748" t="s">
        <v>1792</v>
      </c>
      <c r="D683" s="3">
        <v>200103179</v>
      </c>
      <c r="E683" s="3" t="s">
        <v>3222</v>
      </c>
      <c r="F683" s="749">
        <v>13</v>
      </c>
      <c r="G683" s="3" t="s">
        <v>128</v>
      </c>
      <c r="H683" s="804"/>
      <c r="I683" s="786">
        <v>468.3</v>
      </c>
      <c r="J683" s="804"/>
      <c r="K683" s="827" t="s">
        <v>2661</v>
      </c>
      <c r="L683" s="790">
        <v>45173</v>
      </c>
      <c r="M683" s="842"/>
      <c r="N683" s="842"/>
      <c r="O683" s="761" t="s">
        <v>62</v>
      </c>
      <c r="P683" s="3" t="s">
        <v>3223</v>
      </c>
      <c r="Q683" s="842"/>
      <c r="R683" s="848"/>
      <c r="S683" s="3" t="s">
        <v>130</v>
      </c>
      <c r="T683" s="848"/>
      <c r="U683" s="786">
        <v>330.2</v>
      </c>
      <c r="V683" s="848"/>
      <c r="W683" s="848"/>
      <c r="X683" s="761" t="s">
        <v>2661</v>
      </c>
      <c r="Y683" s="761">
        <v>45174</v>
      </c>
      <c r="Z683" s="761" t="s">
        <v>62</v>
      </c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spans="2:39" ht="13.95" customHeight="1">
      <c r="B684" s="747">
        <v>9</v>
      </c>
      <c r="C684" s="748" t="s">
        <v>1792</v>
      </c>
      <c r="D684" s="3">
        <v>200103280</v>
      </c>
      <c r="E684" s="3" t="s">
        <v>3224</v>
      </c>
      <c r="F684" s="749">
        <v>14</v>
      </c>
      <c r="G684" s="3" t="s">
        <v>128</v>
      </c>
      <c r="H684" s="804"/>
      <c r="I684" s="786">
        <v>464.07</v>
      </c>
      <c r="J684" s="804"/>
      <c r="K684" s="827" t="s">
        <v>2661</v>
      </c>
      <c r="L684" s="790">
        <v>45174</v>
      </c>
      <c r="M684" s="842"/>
      <c r="N684" s="842"/>
      <c r="O684" s="761" t="s">
        <v>62</v>
      </c>
      <c r="P684" s="3" t="s">
        <v>3225</v>
      </c>
      <c r="Q684" s="842"/>
      <c r="R684" s="848"/>
      <c r="S684" s="3" t="s">
        <v>130</v>
      </c>
      <c r="T684" s="848"/>
      <c r="U684" s="786">
        <v>329.9</v>
      </c>
      <c r="V684" s="848"/>
      <c r="W684" s="848"/>
      <c r="X684" s="761" t="s">
        <v>2661</v>
      </c>
      <c r="Y684" s="761">
        <v>45174</v>
      </c>
      <c r="Z684" s="761" t="s">
        <v>62</v>
      </c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spans="2:39" ht="13.95" customHeight="1">
      <c r="B685" s="747">
        <v>9</v>
      </c>
      <c r="C685" s="748" t="s">
        <v>1792</v>
      </c>
      <c r="D685" s="3">
        <v>200103281</v>
      </c>
      <c r="E685" s="3" t="s">
        <v>3226</v>
      </c>
      <c r="F685" s="749">
        <v>15</v>
      </c>
      <c r="G685" s="3" t="s">
        <v>128</v>
      </c>
      <c r="H685" s="804"/>
      <c r="I685" s="786">
        <v>470.29</v>
      </c>
      <c r="J685" s="804"/>
      <c r="K685" s="827" t="s">
        <v>2661</v>
      </c>
      <c r="L685" s="790">
        <v>45175</v>
      </c>
      <c r="M685" s="842"/>
      <c r="N685" s="842"/>
      <c r="O685" s="761" t="s">
        <v>62</v>
      </c>
      <c r="P685" s="3" t="s">
        <v>3227</v>
      </c>
      <c r="Q685" s="842"/>
      <c r="R685" s="848"/>
      <c r="S685" s="3" t="s">
        <v>130</v>
      </c>
      <c r="T685" s="848"/>
      <c r="U685" s="786">
        <v>330</v>
      </c>
      <c r="V685" s="848"/>
      <c r="W685" s="848"/>
      <c r="X685" s="761" t="s">
        <v>2661</v>
      </c>
      <c r="Y685" s="761">
        <v>45175</v>
      </c>
      <c r="Z685" s="761" t="s">
        <v>62</v>
      </c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spans="2:39" ht="13.95" customHeight="1">
      <c r="B686" s="747">
        <v>9</v>
      </c>
      <c r="C686" s="748" t="s">
        <v>1792</v>
      </c>
      <c r="D686" s="3">
        <v>200103282</v>
      </c>
      <c r="E686" s="3" t="s">
        <v>3228</v>
      </c>
      <c r="F686" s="749">
        <v>16</v>
      </c>
      <c r="G686" s="3" t="s">
        <v>128</v>
      </c>
      <c r="H686" s="804"/>
      <c r="I686" s="786">
        <v>466</v>
      </c>
      <c r="J686" s="804"/>
      <c r="K686" s="827" t="s">
        <v>2661</v>
      </c>
      <c r="L686" s="790">
        <v>45175</v>
      </c>
      <c r="M686" s="842"/>
      <c r="N686" s="842"/>
      <c r="O686" s="761" t="s">
        <v>62</v>
      </c>
      <c r="P686" s="3" t="s">
        <v>3229</v>
      </c>
      <c r="Q686" s="842"/>
      <c r="R686" s="848"/>
      <c r="S686" s="3" t="s">
        <v>130</v>
      </c>
      <c r="T686" s="848"/>
      <c r="U686" s="786">
        <v>330.7</v>
      </c>
      <c r="V686" s="848"/>
      <c r="W686" s="848"/>
      <c r="X686" s="761" t="s">
        <v>2661</v>
      </c>
      <c r="Y686" s="761">
        <v>45175</v>
      </c>
      <c r="Z686" s="761" t="s">
        <v>62</v>
      </c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spans="2:39" ht="13.95" customHeight="1">
      <c r="B687" s="747">
        <v>9</v>
      </c>
      <c r="C687" s="748" t="s">
        <v>1792</v>
      </c>
      <c r="D687" s="3">
        <v>200103283</v>
      </c>
      <c r="E687" s="3" t="s">
        <v>3230</v>
      </c>
      <c r="F687" s="749">
        <v>17</v>
      </c>
      <c r="G687" s="3" t="s">
        <v>128</v>
      </c>
      <c r="H687" s="804"/>
      <c r="I687" s="786">
        <v>467.4</v>
      </c>
      <c r="J687" s="804"/>
      <c r="K687" s="827" t="s">
        <v>2661</v>
      </c>
      <c r="L687" s="790">
        <v>45175</v>
      </c>
      <c r="M687" s="842"/>
      <c r="N687" s="842"/>
      <c r="O687" s="761" t="s">
        <v>62</v>
      </c>
      <c r="P687" s="3" t="s">
        <v>3231</v>
      </c>
      <c r="Q687" s="842"/>
      <c r="R687" s="848"/>
      <c r="S687" s="3" t="s">
        <v>130</v>
      </c>
      <c r="T687" s="848"/>
      <c r="U687" s="786">
        <v>329.9</v>
      </c>
      <c r="V687" s="848"/>
      <c r="W687" s="848"/>
      <c r="X687" s="761" t="s">
        <v>2661</v>
      </c>
      <c r="Y687" s="761">
        <v>45175</v>
      </c>
      <c r="Z687" s="761" t="s">
        <v>62</v>
      </c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spans="2:39" ht="13.95" customHeight="1">
      <c r="B688" s="747">
        <v>9</v>
      </c>
      <c r="C688" s="748" t="s">
        <v>1792</v>
      </c>
      <c r="D688" s="3">
        <v>200103284</v>
      </c>
      <c r="E688" s="3" t="s">
        <v>3232</v>
      </c>
      <c r="F688" s="749">
        <v>18</v>
      </c>
      <c r="G688" s="3" t="s">
        <v>128</v>
      </c>
      <c r="H688" s="804"/>
      <c r="I688" s="762">
        <v>462.1</v>
      </c>
      <c r="J688" s="804"/>
      <c r="K688" s="827" t="s">
        <v>2661</v>
      </c>
      <c r="L688" s="790">
        <v>45175</v>
      </c>
      <c r="M688" s="842"/>
      <c r="N688" s="842"/>
      <c r="O688" s="761" t="s">
        <v>62</v>
      </c>
      <c r="P688" s="3" t="s">
        <v>3233</v>
      </c>
      <c r="Q688" s="842"/>
      <c r="R688" s="848"/>
      <c r="S688" s="3" t="s">
        <v>130</v>
      </c>
      <c r="T688" s="848"/>
      <c r="U688" s="786">
        <v>329.9</v>
      </c>
      <c r="V688" s="848"/>
      <c r="W688" s="848"/>
      <c r="X688" s="761" t="s">
        <v>2661</v>
      </c>
      <c r="Y688" s="761">
        <v>45176</v>
      </c>
      <c r="Z688" s="761" t="s">
        <v>62</v>
      </c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spans="1:39" ht="13.95" customHeight="1">
      <c r="B689" s="747">
        <v>9</v>
      </c>
      <c r="C689" s="748" t="s">
        <v>1792</v>
      </c>
      <c r="D689" s="3">
        <v>200103285</v>
      </c>
      <c r="E689" s="3" t="s">
        <v>3234</v>
      </c>
      <c r="F689" s="749">
        <v>19</v>
      </c>
      <c r="G689" s="3" t="s">
        <v>128</v>
      </c>
      <c r="H689" s="804"/>
      <c r="I689" s="786">
        <v>464.7</v>
      </c>
      <c r="J689" s="804"/>
      <c r="K689" s="827" t="s">
        <v>2661</v>
      </c>
      <c r="L689" s="790">
        <v>45180</v>
      </c>
      <c r="M689" s="842"/>
      <c r="N689" s="842"/>
      <c r="O689" s="761" t="s">
        <v>62</v>
      </c>
      <c r="P689" s="3" t="s">
        <v>3235</v>
      </c>
      <c r="Q689" s="842"/>
      <c r="R689" s="848"/>
      <c r="S689" s="3" t="s">
        <v>130</v>
      </c>
      <c r="T689" s="848"/>
      <c r="U689" s="786">
        <v>329.9</v>
      </c>
      <c r="V689" s="848"/>
      <c r="W689" s="848"/>
      <c r="X689" s="761" t="s">
        <v>2661</v>
      </c>
      <c r="Y689" s="761">
        <v>45176</v>
      </c>
      <c r="Z689" s="761" t="s">
        <v>62</v>
      </c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spans="1:39" ht="13.95" customHeight="1">
      <c r="B690" s="747">
        <v>9</v>
      </c>
      <c r="C690" s="748" t="s">
        <v>1792</v>
      </c>
      <c r="D690" s="3">
        <v>200103286</v>
      </c>
      <c r="E690" s="3" t="s">
        <v>3236</v>
      </c>
      <c r="F690" s="749">
        <v>20</v>
      </c>
      <c r="G690" s="3" t="s">
        <v>128</v>
      </c>
      <c r="H690" s="804"/>
      <c r="I690" s="786">
        <v>468.6</v>
      </c>
      <c r="J690" s="804"/>
      <c r="K690" s="827" t="s">
        <v>2661</v>
      </c>
      <c r="L690" s="790">
        <v>45180</v>
      </c>
      <c r="M690" s="842"/>
      <c r="N690" s="842"/>
      <c r="O690" s="761" t="s">
        <v>62</v>
      </c>
      <c r="P690" s="3" t="s">
        <v>3237</v>
      </c>
      <c r="Q690" s="842"/>
      <c r="R690" s="848"/>
      <c r="S690" s="3" t="s">
        <v>130</v>
      </c>
      <c r="T690" s="848"/>
      <c r="U690" s="786">
        <v>330</v>
      </c>
      <c r="V690" s="848"/>
      <c r="W690" s="848"/>
      <c r="X690" s="761" t="s">
        <v>2661</v>
      </c>
      <c r="Y690" s="761">
        <v>45177</v>
      </c>
      <c r="Z690" s="761" t="s">
        <v>62</v>
      </c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spans="1:39" ht="13.95" customHeight="1">
      <c r="B691" s="747">
        <v>9</v>
      </c>
      <c r="C691" s="748" t="s">
        <v>1792</v>
      </c>
      <c r="D691" s="3">
        <v>200103287</v>
      </c>
      <c r="E691" s="3" t="s">
        <v>3238</v>
      </c>
      <c r="F691" s="749">
        <v>21</v>
      </c>
      <c r="G691" s="3" t="s">
        <v>128</v>
      </c>
      <c r="H691" s="804"/>
      <c r="I691" s="786">
        <v>460.8</v>
      </c>
      <c r="J691" s="804"/>
      <c r="K691" s="827" t="s">
        <v>2661</v>
      </c>
      <c r="L691" s="790">
        <v>45180</v>
      </c>
      <c r="M691" s="842"/>
      <c r="N691" s="842"/>
      <c r="O691" s="761" t="s">
        <v>62</v>
      </c>
      <c r="P691" s="3" t="s">
        <v>3239</v>
      </c>
      <c r="Q691" s="842"/>
      <c r="R691" s="848"/>
      <c r="S691" s="3" t="s">
        <v>130</v>
      </c>
      <c r="T691" s="848"/>
      <c r="U691" s="786">
        <v>329.8</v>
      </c>
      <c r="V691" s="848"/>
      <c r="W691" s="848"/>
      <c r="X691" s="761" t="s">
        <v>2661</v>
      </c>
      <c r="Y691" s="761">
        <v>45177</v>
      </c>
      <c r="Z691" s="761" t="s">
        <v>62</v>
      </c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spans="1:39" ht="13.95" customHeight="1">
      <c r="B692" s="747">
        <v>9</v>
      </c>
      <c r="C692" s="748" t="s">
        <v>1792</v>
      </c>
      <c r="D692" s="3">
        <v>200103303</v>
      </c>
      <c r="E692" s="1469" t="s">
        <v>3240</v>
      </c>
      <c r="F692" s="749">
        <v>22</v>
      </c>
      <c r="G692" s="3" t="s">
        <v>128</v>
      </c>
      <c r="H692" s="804"/>
      <c r="I692" s="762">
        <v>474.1</v>
      </c>
      <c r="J692" s="804"/>
      <c r="K692" s="827" t="s">
        <v>2661</v>
      </c>
      <c r="L692" s="790">
        <v>45180</v>
      </c>
      <c r="M692" s="842"/>
      <c r="N692" s="842"/>
      <c r="O692" s="761" t="s">
        <v>62</v>
      </c>
      <c r="P692" s="3" t="s">
        <v>3241</v>
      </c>
      <c r="Q692" s="842"/>
      <c r="R692" s="848"/>
      <c r="S692" s="3" t="s">
        <v>130</v>
      </c>
      <c r="T692" s="848"/>
      <c r="U692" s="786">
        <v>329.9</v>
      </c>
      <c r="V692" s="848"/>
      <c r="W692" s="848"/>
      <c r="X692" s="761" t="s">
        <v>2661</v>
      </c>
      <c r="Y692" s="761">
        <v>45181</v>
      </c>
      <c r="Z692" s="761" t="s">
        <v>62</v>
      </c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spans="1:39" ht="13.95" customHeight="1">
      <c r="B693" s="747">
        <v>9</v>
      </c>
      <c r="C693" s="748" t="s">
        <v>1792</v>
      </c>
      <c r="D693" s="3">
        <v>200103304</v>
      </c>
      <c r="E693" s="1469" t="s">
        <v>3242</v>
      </c>
      <c r="F693" s="749">
        <v>23</v>
      </c>
      <c r="G693" s="3" t="s">
        <v>128</v>
      </c>
      <c r="H693" s="804"/>
      <c r="I693" s="786">
        <v>466.1</v>
      </c>
      <c r="J693" s="804"/>
      <c r="K693" s="827" t="s">
        <v>2661</v>
      </c>
      <c r="L693" s="790">
        <v>45181</v>
      </c>
      <c r="M693" s="842"/>
      <c r="N693" s="842"/>
      <c r="O693" s="761" t="s">
        <v>62</v>
      </c>
      <c r="P693" s="3" t="s">
        <v>3243</v>
      </c>
      <c r="Q693" s="842"/>
      <c r="R693" s="848"/>
      <c r="S693" s="3" t="s">
        <v>130</v>
      </c>
      <c r="T693" s="848"/>
      <c r="U693" s="786">
        <v>329.9</v>
      </c>
      <c r="V693" s="848"/>
      <c r="W693" s="848"/>
      <c r="X693" s="761" t="s">
        <v>2661</v>
      </c>
      <c r="Y693" s="761">
        <v>45181</v>
      </c>
      <c r="Z693" s="761" t="s">
        <v>62</v>
      </c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spans="1:39" ht="13.95" customHeight="1">
      <c r="B694" s="747">
        <v>9</v>
      </c>
      <c r="C694" s="748" t="s">
        <v>1792</v>
      </c>
      <c r="D694" s="3">
        <v>200103305</v>
      </c>
      <c r="E694" s="1469" t="s">
        <v>3244</v>
      </c>
      <c r="F694" s="749">
        <v>24</v>
      </c>
      <c r="G694" s="3" t="s">
        <v>128</v>
      </c>
      <c r="H694" s="804"/>
      <c r="I694" s="786">
        <v>467.3</v>
      </c>
      <c r="J694" s="804"/>
      <c r="K694" s="827" t="s">
        <v>2661</v>
      </c>
      <c r="L694" s="790">
        <v>45182</v>
      </c>
      <c r="M694" s="842"/>
      <c r="N694" s="842"/>
      <c r="O694" s="761" t="s">
        <v>62</v>
      </c>
      <c r="P694" s="3" t="s">
        <v>3245</v>
      </c>
      <c r="Q694" s="842"/>
      <c r="R694" s="848"/>
      <c r="S694" s="3" t="s">
        <v>130</v>
      </c>
      <c r="T694" s="848"/>
      <c r="U694" s="786">
        <v>329.9</v>
      </c>
      <c r="V694" s="848"/>
      <c r="W694" s="848"/>
      <c r="X694" s="761" t="s">
        <v>2661</v>
      </c>
      <c r="Y694" s="761">
        <v>45181</v>
      </c>
      <c r="Z694" s="761" t="s">
        <v>62</v>
      </c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spans="1:39" ht="13.95" customHeight="1">
      <c r="B695" s="747">
        <v>9</v>
      </c>
      <c r="C695" s="748" t="s">
        <v>1792</v>
      </c>
      <c r="D695" s="3">
        <v>200103306</v>
      </c>
      <c r="E695" s="1469" t="s">
        <v>3246</v>
      </c>
      <c r="F695" s="749">
        <v>25</v>
      </c>
      <c r="G695" s="3" t="s">
        <v>128</v>
      </c>
      <c r="H695" s="804"/>
      <c r="I695" s="828">
        <v>470.8</v>
      </c>
      <c r="J695" s="804"/>
      <c r="K695" s="827" t="s">
        <v>2661</v>
      </c>
      <c r="L695" s="790">
        <v>45182</v>
      </c>
      <c r="M695" s="842"/>
      <c r="N695" s="842"/>
      <c r="O695" s="761" t="s">
        <v>62</v>
      </c>
      <c r="P695" s="3" t="s">
        <v>3247</v>
      </c>
      <c r="Q695" s="842"/>
      <c r="R695" s="848"/>
      <c r="S695" s="3" t="s">
        <v>130</v>
      </c>
      <c r="T695" s="848"/>
      <c r="U695" s="850">
        <v>329.9</v>
      </c>
      <c r="V695" s="848"/>
      <c r="W695" s="848"/>
      <c r="X695" s="761" t="s">
        <v>2661</v>
      </c>
      <c r="Y695" s="761">
        <v>45182</v>
      </c>
      <c r="Z695" s="761" t="s">
        <v>62</v>
      </c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spans="1:39" s="707" customFormat="1">
      <c r="A696"/>
      <c r="B696" s="805" t="s">
        <v>13</v>
      </c>
      <c r="C696" s="806" t="s">
        <v>1899</v>
      </c>
      <c r="D696" s="807"/>
      <c r="E696" s="807"/>
      <c r="F696" s="808"/>
      <c r="G696" s="807"/>
      <c r="H696" s="809"/>
      <c r="I696" s="837"/>
      <c r="J696" s="809"/>
      <c r="K696" s="829"/>
      <c r="L696" s="818"/>
      <c r="M696" s="809"/>
      <c r="N696" s="809"/>
      <c r="O696" s="819"/>
      <c r="P696" s="807"/>
      <c r="Q696" s="809"/>
      <c r="R696" s="807"/>
      <c r="S696" s="807"/>
      <c r="T696" s="807"/>
      <c r="U696" s="807"/>
      <c r="V696" s="807"/>
      <c r="W696" s="807"/>
      <c r="X696" s="819"/>
      <c r="Y696" s="819"/>
      <c r="Z696" s="819"/>
      <c r="AA696" s="710"/>
      <c r="AB696" s="710"/>
      <c r="AC696" s="710"/>
      <c r="AD696" s="710"/>
      <c r="AE696" s="710"/>
      <c r="AF696" s="710"/>
      <c r="AG696" s="710"/>
      <c r="AH696" s="710"/>
      <c r="AI696" s="710"/>
      <c r="AJ696" s="710"/>
      <c r="AK696" s="710"/>
      <c r="AL696" s="710"/>
      <c r="AM696" s="710"/>
    </row>
    <row r="697" spans="1:39" ht="13.95" customHeight="1">
      <c r="B697" s="747">
        <v>10</v>
      </c>
      <c r="C697" s="748" t="s">
        <v>1792</v>
      </c>
      <c r="D697" s="3">
        <v>200103520</v>
      </c>
      <c r="E697" s="3">
        <v>100323</v>
      </c>
      <c r="F697" s="749">
        <v>1</v>
      </c>
      <c r="G697" s="3" t="s">
        <v>128</v>
      </c>
      <c r="H697" s="804"/>
      <c r="I697" s="786">
        <v>463.4</v>
      </c>
      <c r="J697" s="804"/>
      <c r="K697" s="827" t="s">
        <v>2661</v>
      </c>
      <c r="L697" s="790">
        <v>45195</v>
      </c>
      <c r="M697" s="842"/>
      <c r="N697" s="842"/>
      <c r="O697" s="761" t="s">
        <v>62</v>
      </c>
      <c r="P697" s="3" t="s">
        <v>3248</v>
      </c>
      <c r="Q697" s="842"/>
      <c r="R697" s="848"/>
      <c r="S697" s="3" t="s">
        <v>130</v>
      </c>
      <c r="T697" s="848"/>
      <c r="U697" s="786">
        <v>329.8</v>
      </c>
      <c r="V697" s="848"/>
      <c r="W697" s="848"/>
      <c r="X697" s="761" t="s">
        <v>2661</v>
      </c>
      <c r="Y697" s="761">
        <v>45195</v>
      </c>
      <c r="Z697" s="761" t="s">
        <v>62</v>
      </c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spans="1:39" ht="13.95" customHeight="1">
      <c r="B698" s="747">
        <v>10</v>
      </c>
      <c r="C698" s="748" t="s">
        <v>1792</v>
      </c>
      <c r="D698" s="3">
        <v>200103521</v>
      </c>
      <c r="E698" s="3">
        <v>100333</v>
      </c>
      <c r="F698" s="749">
        <v>2</v>
      </c>
      <c r="G698" s="3" t="s">
        <v>128</v>
      </c>
      <c r="H698" s="804"/>
      <c r="I698" s="786">
        <v>466.4</v>
      </c>
      <c r="J698" s="804"/>
      <c r="K698" s="827" t="s">
        <v>2661</v>
      </c>
      <c r="L698" s="790">
        <v>45195</v>
      </c>
      <c r="M698" s="842"/>
      <c r="N698" s="842"/>
      <c r="O698" s="761" t="s">
        <v>62</v>
      </c>
      <c r="P698" s="3" t="s">
        <v>3249</v>
      </c>
      <c r="Q698" s="842"/>
      <c r="R698" s="848"/>
      <c r="S698" s="3" t="s">
        <v>130</v>
      </c>
      <c r="T698" s="848"/>
      <c r="U698" s="786">
        <v>329.6</v>
      </c>
      <c r="V698" s="848"/>
      <c r="W698" s="848"/>
      <c r="X698" s="761" t="s">
        <v>2661</v>
      </c>
      <c r="Y698" s="761">
        <v>45196</v>
      </c>
      <c r="Z698" s="761" t="s">
        <v>62</v>
      </c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spans="1:39" ht="13.95" customHeight="1">
      <c r="B699" s="747">
        <v>10</v>
      </c>
      <c r="C699" s="748" t="s">
        <v>1792</v>
      </c>
      <c r="D699" s="3">
        <v>200103522</v>
      </c>
      <c r="E699" s="3">
        <v>100343</v>
      </c>
      <c r="F699" s="749">
        <v>3</v>
      </c>
      <c r="G699" s="3" t="s">
        <v>128</v>
      </c>
      <c r="H699" s="804"/>
      <c r="I699" s="786">
        <v>465</v>
      </c>
      <c r="J699" s="804"/>
      <c r="K699" s="827" t="s">
        <v>2661</v>
      </c>
      <c r="L699" s="790">
        <v>45195</v>
      </c>
      <c r="M699" s="842"/>
      <c r="N699" s="842"/>
      <c r="O699" s="761" t="s">
        <v>62</v>
      </c>
      <c r="P699" s="3" t="s">
        <v>3250</v>
      </c>
      <c r="Q699" s="842"/>
      <c r="R699" s="848"/>
      <c r="S699" s="3" t="s">
        <v>130</v>
      </c>
      <c r="T699" s="848"/>
      <c r="U699" s="786">
        <v>329.7</v>
      </c>
      <c r="V699" s="848"/>
      <c r="W699" s="848"/>
      <c r="X699" s="761" t="s">
        <v>2661</v>
      </c>
      <c r="Y699" s="761">
        <v>45196</v>
      </c>
      <c r="Z699" s="761" t="s">
        <v>62</v>
      </c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spans="1:39" ht="13.95" customHeight="1">
      <c r="B700" s="747">
        <v>10</v>
      </c>
      <c r="C700" s="748" t="s">
        <v>1792</v>
      </c>
      <c r="D700" s="3">
        <v>200103523</v>
      </c>
      <c r="E700" s="3">
        <v>100353</v>
      </c>
      <c r="F700" s="749">
        <v>4</v>
      </c>
      <c r="G700" s="3" t="s">
        <v>128</v>
      </c>
      <c r="H700" s="804"/>
      <c r="I700" s="786">
        <v>465.7</v>
      </c>
      <c r="J700" s="804"/>
      <c r="K700" s="827" t="s">
        <v>2661</v>
      </c>
      <c r="L700" s="790">
        <v>45198</v>
      </c>
      <c r="M700" s="842"/>
      <c r="N700" s="842"/>
      <c r="O700" s="761" t="s">
        <v>62</v>
      </c>
      <c r="P700" s="3" t="s">
        <v>3251</v>
      </c>
      <c r="Q700" s="842"/>
      <c r="R700" s="848"/>
      <c r="S700" s="3" t="s">
        <v>130</v>
      </c>
      <c r="T700" s="848"/>
      <c r="U700" s="786">
        <v>329.8</v>
      </c>
      <c r="V700" s="848"/>
      <c r="W700" s="848"/>
      <c r="X700" s="761" t="s">
        <v>2661</v>
      </c>
      <c r="Y700" s="761">
        <v>45198</v>
      </c>
      <c r="Z700" s="761" t="s">
        <v>62</v>
      </c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spans="1:39" ht="13.95" customHeight="1">
      <c r="B701" s="747">
        <v>10</v>
      </c>
      <c r="C701" s="748" t="s">
        <v>1792</v>
      </c>
      <c r="D701" s="3">
        <v>200103524</v>
      </c>
      <c r="E701" s="3">
        <v>100363</v>
      </c>
      <c r="F701" s="749">
        <v>5</v>
      </c>
      <c r="G701" s="3" t="s">
        <v>128</v>
      </c>
      <c r="H701" s="804"/>
      <c r="I701" s="786">
        <v>464.2</v>
      </c>
      <c r="J701" s="804"/>
      <c r="K701" s="827" t="s">
        <v>2661</v>
      </c>
      <c r="L701" s="790">
        <v>45198</v>
      </c>
      <c r="M701" s="842"/>
      <c r="N701" s="842"/>
      <c r="O701" s="761" t="s">
        <v>62</v>
      </c>
      <c r="P701" s="3" t="s">
        <v>3251</v>
      </c>
      <c r="Q701" s="842"/>
      <c r="R701" s="848"/>
      <c r="S701" s="3" t="s">
        <v>130</v>
      </c>
      <c r="T701" s="848"/>
      <c r="U701" s="786">
        <v>329.6</v>
      </c>
      <c r="V701" s="848"/>
      <c r="W701" s="848"/>
      <c r="X701" s="761" t="s">
        <v>2698</v>
      </c>
      <c r="Y701" s="761">
        <v>45202</v>
      </c>
      <c r="Z701" s="761" t="s">
        <v>62</v>
      </c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spans="1:39" ht="13.95" customHeight="1">
      <c r="B702" s="747">
        <v>10</v>
      </c>
      <c r="C702" s="748" t="s">
        <v>1792</v>
      </c>
      <c r="D702" s="3">
        <v>200103580</v>
      </c>
      <c r="E702" s="3">
        <v>100433</v>
      </c>
      <c r="F702" s="749">
        <v>6</v>
      </c>
      <c r="G702" s="3" t="s">
        <v>128</v>
      </c>
      <c r="H702" s="804"/>
      <c r="I702" s="762">
        <v>464.15</v>
      </c>
      <c r="J702" s="804"/>
      <c r="K702" s="827" t="s">
        <v>2661</v>
      </c>
      <c r="L702" s="790">
        <v>45198</v>
      </c>
      <c r="M702" s="842"/>
      <c r="N702" s="842"/>
      <c r="O702" s="761" t="s">
        <v>62</v>
      </c>
      <c r="P702" s="3" t="s">
        <v>3252</v>
      </c>
      <c r="Q702" s="842"/>
      <c r="R702" s="848"/>
      <c r="S702" s="3" t="s">
        <v>130</v>
      </c>
      <c r="T702" s="848"/>
      <c r="U702" s="786">
        <v>329.7</v>
      </c>
      <c r="V702" s="848"/>
      <c r="W702" s="848"/>
      <c r="X702" s="761" t="s">
        <v>2698</v>
      </c>
      <c r="Y702" s="761">
        <v>45202</v>
      </c>
      <c r="Z702" s="761" t="s">
        <v>62</v>
      </c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spans="1:39" ht="13.95" customHeight="1">
      <c r="B703" s="747">
        <v>10</v>
      </c>
      <c r="C703" s="748" t="s">
        <v>1792</v>
      </c>
      <c r="D703" s="3">
        <v>200103600</v>
      </c>
      <c r="E703" s="3">
        <v>100443</v>
      </c>
      <c r="F703" s="749">
        <v>7</v>
      </c>
      <c r="G703" s="3" t="s">
        <v>128</v>
      </c>
      <c r="H703" s="804"/>
      <c r="I703" s="762">
        <v>463.97</v>
      </c>
      <c r="J703" s="804"/>
      <c r="K703" s="827" t="s">
        <v>2661</v>
      </c>
      <c r="L703" s="790">
        <v>45198</v>
      </c>
      <c r="M703" s="842"/>
      <c r="N703" s="842"/>
      <c r="O703" s="761" t="s">
        <v>62</v>
      </c>
      <c r="P703" s="3" t="s">
        <v>3253</v>
      </c>
      <c r="Q703" s="842"/>
      <c r="R703" s="848"/>
      <c r="S703" s="3" t="s">
        <v>130</v>
      </c>
      <c r="T703" s="848"/>
      <c r="U703" s="762">
        <v>329.9</v>
      </c>
      <c r="V703" s="848"/>
      <c r="W703" s="848"/>
      <c r="X703" s="761" t="s">
        <v>2698</v>
      </c>
      <c r="Y703" s="761">
        <v>45202</v>
      </c>
      <c r="Z703" s="761" t="s">
        <v>62</v>
      </c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spans="1:39" ht="13.95" customHeight="1">
      <c r="B704" s="747">
        <v>10</v>
      </c>
      <c r="C704" s="748" t="s">
        <v>1792</v>
      </c>
      <c r="D704" s="3">
        <v>200103601</v>
      </c>
      <c r="E704" s="3">
        <v>100453</v>
      </c>
      <c r="F704" s="749">
        <v>8</v>
      </c>
      <c r="G704" s="3" t="s">
        <v>128</v>
      </c>
      <c r="H704" s="804"/>
      <c r="I704" s="762">
        <v>463.13</v>
      </c>
      <c r="J704" s="804"/>
      <c r="K704" s="827" t="s">
        <v>2716</v>
      </c>
      <c r="L704" s="790">
        <v>45201</v>
      </c>
      <c r="M704" s="842"/>
      <c r="N704" s="842"/>
      <c r="O704" s="761" t="s">
        <v>62</v>
      </c>
      <c r="P704" s="3" t="s">
        <v>3254</v>
      </c>
      <c r="Q704" s="842"/>
      <c r="R704" s="848"/>
      <c r="S704" s="3" t="s">
        <v>130</v>
      </c>
      <c r="T704" s="848"/>
      <c r="U704" s="784">
        <v>329.8</v>
      </c>
      <c r="V704" s="848"/>
      <c r="W704" s="848"/>
      <c r="X704" s="761" t="s">
        <v>2698</v>
      </c>
      <c r="Y704" s="761">
        <v>45203</v>
      </c>
      <c r="Z704" s="761" t="s">
        <v>62</v>
      </c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spans="2:39" ht="13.95" customHeight="1">
      <c r="B705" s="747">
        <v>10</v>
      </c>
      <c r="C705" s="748" t="s">
        <v>1792</v>
      </c>
      <c r="D705" s="3">
        <v>200103602</v>
      </c>
      <c r="E705" s="3">
        <v>100463</v>
      </c>
      <c r="F705" s="749">
        <v>9</v>
      </c>
      <c r="G705" s="3" t="s">
        <v>128</v>
      </c>
      <c r="H705" s="804"/>
      <c r="I705" s="762">
        <v>466.33</v>
      </c>
      <c r="J705" s="804"/>
      <c r="K705" s="827" t="s">
        <v>2716</v>
      </c>
      <c r="L705" s="790">
        <v>45201</v>
      </c>
      <c r="M705" s="842"/>
      <c r="N705" s="842"/>
      <c r="O705" s="761" t="s">
        <v>62</v>
      </c>
      <c r="P705" s="3" t="s">
        <v>3255</v>
      </c>
      <c r="Q705" s="842"/>
      <c r="R705" s="848"/>
      <c r="S705" s="3" t="s">
        <v>130</v>
      </c>
      <c r="T705" s="848"/>
      <c r="U705" s="762">
        <v>329.8</v>
      </c>
      <c r="V705" s="848"/>
      <c r="W705" s="848"/>
      <c r="X705" s="761" t="s">
        <v>2698</v>
      </c>
      <c r="Y705" s="761">
        <v>45203</v>
      </c>
      <c r="Z705" s="761" t="s">
        <v>62</v>
      </c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spans="2:39" ht="13.95" customHeight="1">
      <c r="B706" s="747">
        <v>10</v>
      </c>
      <c r="C706" s="748" t="s">
        <v>1792</v>
      </c>
      <c r="D706" s="3">
        <v>200103721</v>
      </c>
      <c r="E706" s="3">
        <v>101443</v>
      </c>
      <c r="F706" s="749">
        <v>10</v>
      </c>
      <c r="G706" s="3" t="s">
        <v>128</v>
      </c>
      <c r="H706" s="804"/>
      <c r="I706" s="762">
        <v>468.5</v>
      </c>
      <c r="J706" s="804"/>
      <c r="K706" s="827" t="s">
        <v>2716</v>
      </c>
      <c r="L706" s="790">
        <v>45201</v>
      </c>
      <c r="M706" s="842"/>
      <c r="N706" s="842"/>
      <c r="O706" s="761" t="s">
        <v>62</v>
      </c>
      <c r="P706" s="3" t="s">
        <v>3256</v>
      </c>
      <c r="Q706" s="842"/>
      <c r="R706" s="848"/>
      <c r="S706" s="3" t="s">
        <v>130</v>
      </c>
      <c r="T706" s="848"/>
      <c r="U706" s="786">
        <v>329.9</v>
      </c>
      <c r="V706" s="848"/>
      <c r="W706" s="848"/>
      <c r="X706" s="761" t="s">
        <v>2698</v>
      </c>
      <c r="Y706" s="761">
        <v>45203</v>
      </c>
      <c r="Z706" s="761" t="s">
        <v>62</v>
      </c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spans="2:39" ht="13.95" customHeight="1">
      <c r="B707" s="747">
        <v>10</v>
      </c>
      <c r="C707" s="748" t="s">
        <v>1792</v>
      </c>
      <c r="D707" s="3">
        <v>200103722</v>
      </c>
      <c r="E707" s="3">
        <v>101453</v>
      </c>
      <c r="F707" s="749">
        <v>11</v>
      </c>
      <c r="G707" s="3" t="s">
        <v>128</v>
      </c>
      <c r="H707" s="804"/>
      <c r="I707" s="762">
        <v>465.9</v>
      </c>
      <c r="J707" s="804"/>
      <c r="K707" s="827" t="s">
        <v>2716</v>
      </c>
      <c r="L707" s="790">
        <v>45204</v>
      </c>
      <c r="M707" s="842"/>
      <c r="N707" s="842"/>
      <c r="O707" s="761" t="s">
        <v>62</v>
      </c>
      <c r="P707" s="3" t="s">
        <v>3257</v>
      </c>
      <c r="Q707" s="842"/>
      <c r="R707" s="848"/>
      <c r="S707" s="3" t="s">
        <v>130</v>
      </c>
      <c r="T707" s="848"/>
      <c r="U707" s="762">
        <v>329.8</v>
      </c>
      <c r="V707" s="848"/>
      <c r="W707" s="848"/>
      <c r="X707" s="761" t="s">
        <v>2698</v>
      </c>
      <c r="Y707" s="761">
        <v>45203</v>
      </c>
      <c r="Z707" s="761" t="s">
        <v>62</v>
      </c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spans="2:39" ht="13.95" customHeight="1">
      <c r="B708" s="747">
        <v>10</v>
      </c>
      <c r="C708" s="748" t="s">
        <v>1792</v>
      </c>
      <c r="D708" s="3">
        <v>200103747</v>
      </c>
      <c r="E708" s="3">
        <v>101653</v>
      </c>
      <c r="F708" s="749">
        <v>12</v>
      </c>
      <c r="G708" s="3" t="s">
        <v>128</v>
      </c>
      <c r="H708" s="804"/>
      <c r="I708" s="786">
        <v>468.5</v>
      </c>
      <c r="J708" s="804"/>
      <c r="K708" s="827" t="s">
        <v>2716</v>
      </c>
      <c r="L708" s="790">
        <v>45204</v>
      </c>
      <c r="M708" s="842"/>
      <c r="N708" s="842"/>
      <c r="O708" s="761" t="s">
        <v>62</v>
      </c>
      <c r="P708" s="3" t="s">
        <v>2937</v>
      </c>
      <c r="Q708" s="842"/>
      <c r="R708" s="848"/>
      <c r="S708" s="3" t="s">
        <v>130</v>
      </c>
      <c r="T708" s="848"/>
      <c r="U708" s="786">
        <v>329.7</v>
      </c>
      <c r="V708" s="848"/>
      <c r="W708" s="848"/>
      <c r="X708" s="761" t="s">
        <v>2698</v>
      </c>
      <c r="Y708" s="761">
        <v>45204</v>
      </c>
      <c r="Z708" s="761" t="s">
        <v>62</v>
      </c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spans="2:39" ht="13.95" customHeight="1">
      <c r="B709" s="747">
        <v>10</v>
      </c>
      <c r="C709" s="748" t="s">
        <v>1792</v>
      </c>
      <c r="D709" s="3">
        <v>200103748</v>
      </c>
      <c r="E709" s="3">
        <v>101663</v>
      </c>
      <c r="F709" s="749">
        <v>13</v>
      </c>
      <c r="G709" s="3" t="s">
        <v>128</v>
      </c>
      <c r="H709" s="804"/>
      <c r="I709" s="786">
        <v>462.7</v>
      </c>
      <c r="J709" s="804"/>
      <c r="K709" s="827" t="s">
        <v>2716</v>
      </c>
      <c r="L709" s="790">
        <v>45208</v>
      </c>
      <c r="M709" s="842"/>
      <c r="N709" s="842"/>
      <c r="O709" s="761" t="s">
        <v>62</v>
      </c>
      <c r="P709" s="3" t="s">
        <v>3258</v>
      </c>
      <c r="Q709" s="842"/>
      <c r="R709" s="848"/>
      <c r="S709" s="3" t="s">
        <v>130</v>
      </c>
      <c r="T709" s="848"/>
      <c r="U709" s="786">
        <v>330</v>
      </c>
      <c r="V709" s="848"/>
      <c r="W709" s="848"/>
      <c r="X709" s="761" t="s">
        <v>2698</v>
      </c>
      <c r="Y709" s="761">
        <v>45209</v>
      </c>
      <c r="Z709" s="761" t="s">
        <v>62</v>
      </c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spans="2:39" ht="13.95" customHeight="1">
      <c r="B710" s="747">
        <v>10</v>
      </c>
      <c r="C710" s="748" t="s">
        <v>1792</v>
      </c>
      <c r="D710" s="3">
        <v>200103749</v>
      </c>
      <c r="E710" s="3">
        <v>101673</v>
      </c>
      <c r="F710" s="749">
        <v>14</v>
      </c>
      <c r="G710" s="3" t="s">
        <v>128</v>
      </c>
      <c r="H710" s="804"/>
      <c r="I710" s="762">
        <v>466.7</v>
      </c>
      <c r="J710" s="804"/>
      <c r="K710" s="827" t="s">
        <v>2716</v>
      </c>
      <c r="L710" s="790">
        <v>45208</v>
      </c>
      <c r="M710" s="842"/>
      <c r="N710" s="842"/>
      <c r="O710" s="761" t="s">
        <v>62</v>
      </c>
      <c r="P710" s="3" t="s">
        <v>3259</v>
      </c>
      <c r="Q710" s="842"/>
      <c r="R710" s="848"/>
      <c r="S710" s="3" t="s">
        <v>130</v>
      </c>
      <c r="T710" s="848"/>
      <c r="U710" s="762">
        <v>329.8</v>
      </c>
      <c r="V710" s="848"/>
      <c r="W710" s="848"/>
      <c r="X710" s="761" t="s">
        <v>2698</v>
      </c>
      <c r="Y710" s="761">
        <v>45209</v>
      </c>
      <c r="Z710" s="761" t="s">
        <v>62</v>
      </c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spans="2:39" ht="13.95" customHeight="1">
      <c r="B711" s="747">
        <v>10</v>
      </c>
      <c r="C711" s="748" t="s">
        <v>1792</v>
      </c>
      <c r="D711" s="3">
        <v>200103757</v>
      </c>
      <c r="E711" s="3">
        <v>102113</v>
      </c>
      <c r="F711" s="749">
        <v>15</v>
      </c>
      <c r="G711" s="3" t="s">
        <v>128</v>
      </c>
      <c r="H711" s="804"/>
      <c r="I711" s="3">
        <f>150.7+156.2+158.7</f>
        <v>465.59999999999997</v>
      </c>
      <c r="J711" s="804"/>
      <c r="K711" s="827" t="s">
        <v>2716</v>
      </c>
      <c r="L711" s="790">
        <v>45211</v>
      </c>
      <c r="M711" s="842"/>
      <c r="N711" s="842"/>
      <c r="O711" s="761" t="s">
        <v>62</v>
      </c>
      <c r="P711" s="784" t="s">
        <v>3260</v>
      </c>
      <c r="Q711" s="842"/>
      <c r="R711" s="848"/>
      <c r="S711" s="3" t="s">
        <v>130</v>
      </c>
      <c r="T711" s="848"/>
      <c r="U711" s="786">
        <v>330</v>
      </c>
      <c r="V711" s="848"/>
      <c r="W711" s="848"/>
      <c r="X711" s="761" t="s">
        <v>2698</v>
      </c>
      <c r="Y711" s="761">
        <v>45211</v>
      </c>
      <c r="Z711" s="761" t="s">
        <v>62</v>
      </c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spans="2:39" ht="13.95" customHeight="1">
      <c r="B712" s="747">
        <v>10</v>
      </c>
      <c r="C712" s="748" t="s">
        <v>1792</v>
      </c>
      <c r="D712" s="3">
        <v>200103758</v>
      </c>
      <c r="E712" s="3">
        <v>102123</v>
      </c>
      <c r="F712" s="749">
        <v>16</v>
      </c>
      <c r="G712" s="3" t="s">
        <v>128</v>
      </c>
      <c r="H712" s="804"/>
      <c r="I712" s="786">
        <v>464.4</v>
      </c>
      <c r="J712" s="804"/>
      <c r="K712" s="827" t="s">
        <v>2716</v>
      </c>
      <c r="L712" s="790">
        <v>45212</v>
      </c>
      <c r="M712" s="842"/>
      <c r="N712" s="842"/>
      <c r="O712" s="761" t="s">
        <v>62</v>
      </c>
      <c r="P712" s="3" t="s">
        <v>3261</v>
      </c>
      <c r="Q712" s="842"/>
      <c r="R712" s="848"/>
      <c r="S712" s="3" t="s">
        <v>130</v>
      </c>
      <c r="T712" s="848"/>
      <c r="U712" s="786">
        <v>330</v>
      </c>
      <c r="V712" s="848"/>
      <c r="W712" s="848"/>
      <c r="X712" s="761" t="s">
        <v>2698</v>
      </c>
      <c r="Y712" s="761">
        <v>45211</v>
      </c>
      <c r="Z712" s="761" t="s">
        <v>62</v>
      </c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spans="2:39" ht="13.95" customHeight="1">
      <c r="B713" s="747">
        <v>10</v>
      </c>
      <c r="C713" s="748" t="s">
        <v>1792</v>
      </c>
      <c r="D713" s="3">
        <v>200103759</v>
      </c>
      <c r="E713" s="3">
        <v>102133</v>
      </c>
      <c r="F713" s="749">
        <v>17</v>
      </c>
      <c r="G713" s="3" t="s">
        <v>128</v>
      </c>
      <c r="H713" s="804"/>
      <c r="I713" s="786">
        <v>455.7</v>
      </c>
      <c r="J713" s="804"/>
      <c r="K713" s="827" t="s">
        <v>2716</v>
      </c>
      <c r="L713" s="790">
        <v>45212</v>
      </c>
      <c r="M713" s="842"/>
      <c r="N713" s="842"/>
      <c r="O713" s="761" t="s">
        <v>62</v>
      </c>
      <c r="P713" s="3" t="s">
        <v>3262</v>
      </c>
      <c r="Q713" s="842"/>
      <c r="R713" s="848"/>
      <c r="S713" s="3" t="s">
        <v>130</v>
      </c>
      <c r="T713" s="848"/>
      <c r="U713" s="786">
        <v>330</v>
      </c>
      <c r="V713" s="848"/>
      <c r="W713" s="848"/>
      <c r="X713" s="761" t="s">
        <v>2698</v>
      </c>
      <c r="Y713" s="761">
        <v>45211</v>
      </c>
      <c r="Z713" s="761" t="s">
        <v>62</v>
      </c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spans="2:39" ht="13.95" customHeight="1">
      <c r="B714" s="747">
        <v>10</v>
      </c>
      <c r="C714" s="748" t="s">
        <v>1792</v>
      </c>
      <c r="D714" s="3">
        <v>200103860</v>
      </c>
      <c r="E714" s="3">
        <v>102143</v>
      </c>
      <c r="F714" s="749">
        <v>18</v>
      </c>
      <c r="G714" s="3" t="s">
        <v>128</v>
      </c>
      <c r="H714" s="804"/>
      <c r="I714" s="786">
        <v>467.8</v>
      </c>
      <c r="J714" s="804"/>
      <c r="K714" s="827" t="s">
        <v>2716</v>
      </c>
      <c r="L714" s="790">
        <v>45212</v>
      </c>
      <c r="M714" s="842"/>
      <c r="N714" s="842"/>
      <c r="O714" s="761" t="s">
        <v>62</v>
      </c>
      <c r="P714" s="784" t="s">
        <v>3263</v>
      </c>
      <c r="Q714" s="842"/>
      <c r="R714" s="848"/>
      <c r="S714" s="3" t="s">
        <v>130</v>
      </c>
      <c r="T714" s="848"/>
      <c r="U714" s="3">
        <v>330.1</v>
      </c>
      <c r="V714" s="848"/>
      <c r="W714" s="848"/>
      <c r="X714" s="761" t="s">
        <v>2698</v>
      </c>
      <c r="Y714" s="761">
        <v>45211</v>
      </c>
      <c r="Z714" s="761" t="s">
        <v>62</v>
      </c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spans="2:39" ht="13.95" customHeight="1">
      <c r="B715" s="747">
        <v>10</v>
      </c>
      <c r="C715" s="748" t="s">
        <v>1792</v>
      </c>
      <c r="D715" s="3">
        <v>200103869</v>
      </c>
      <c r="E715" s="3">
        <v>102153</v>
      </c>
      <c r="F715" s="749">
        <v>19</v>
      </c>
      <c r="G715" s="3" t="s">
        <v>128</v>
      </c>
      <c r="H715" s="804"/>
      <c r="I715" s="786">
        <v>466.6</v>
      </c>
      <c r="J715" s="804"/>
      <c r="K715" s="827" t="s">
        <v>2716</v>
      </c>
      <c r="L715" s="790">
        <v>45212</v>
      </c>
      <c r="M715" s="842"/>
      <c r="N715" s="842"/>
      <c r="O715" s="761" t="s">
        <v>62</v>
      </c>
      <c r="P715" s="784" t="s">
        <v>3264</v>
      </c>
      <c r="Q715" s="842"/>
      <c r="R715" s="848"/>
      <c r="S715" s="3" t="s">
        <v>130</v>
      </c>
      <c r="T715" s="848"/>
      <c r="U715" s="786">
        <v>330.1</v>
      </c>
      <c r="V715" s="848"/>
      <c r="W715" s="848"/>
      <c r="X715" s="761" t="s">
        <v>2698</v>
      </c>
      <c r="Y715" s="761">
        <v>45217</v>
      </c>
      <c r="Z715" s="761" t="s">
        <v>62</v>
      </c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spans="2:39" ht="13.95" customHeight="1">
      <c r="B716" s="747">
        <v>10</v>
      </c>
      <c r="C716" s="748" t="s">
        <v>1792</v>
      </c>
      <c r="D716" s="3">
        <v>200103870</v>
      </c>
      <c r="E716" s="3">
        <v>102163</v>
      </c>
      <c r="F716" s="749">
        <v>20</v>
      </c>
      <c r="G716" s="3" t="s">
        <v>128</v>
      </c>
      <c r="H716" s="804"/>
      <c r="I716" s="786">
        <f>156.1+151.5+156.9</f>
        <v>464.5</v>
      </c>
      <c r="J716" s="804"/>
      <c r="K716" s="827" t="s">
        <v>2716</v>
      </c>
      <c r="L716" s="790">
        <v>45215</v>
      </c>
      <c r="M716" s="842"/>
      <c r="N716" s="842"/>
      <c r="O716" s="761" t="s">
        <v>62</v>
      </c>
      <c r="P716" s="784" t="s">
        <v>3265</v>
      </c>
      <c r="Q716" s="842"/>
      <c r="R716" s="848"/>
      <c r="S716" s="3" t="s">
        <v>130</v>
      </c>
      <c r="T716" s="848"/>
      <c r="U716" s="786">
        <v>330.3</v>
      </c>
      <c r="V716" s="848"/>
      <c r="W716" s="848"/>
      <c r="X716" s="761" t="s">
        <v>2698</v>
      </c>
      <c r="Y716" s="761">
        <v>45218</v>
      </c>
      <c r="Z716" s="761" t="s">
        <v>62</v>
      </c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spans="2:39" ht="13.95" customHeight="1">
      <c r="B717" s="747">
        <v>10</v>
      </c>
      <c r="C717" s="748" t="s">
        <v>1792</v>
      </c>
      <c r="D717" s="3">
        <v>200103871</v>
      </c>
      <c r="E717" s="3">
        <v>102173</v>
      </c>
      <c r="F717" s="749">
        <v>21</v>
      </c>
      <c r="G717" s="3" t="s">
        <v>128</v>
      </c>
      <c r="H717" s="804"/>
      <c r="I717" s="786">
        <v>468.17</v>
      </c>
      <c r="J717" s="804"/>
      <c r="K717" s="827" t="s">
        <v>2716</v>
      </c>
      <c r="L717" s="790">
        <v>45215</v>
      </c>
      <c r="M717" s="842"/>
      <c r="N717" s="842"/>
      <c r="O717" s="761" t="s">
        <v>62</v>
      </c>
      <c r="P717" s="3" t="s">
        <v>3266</v>
      </c>
      <c r="Q717" s="842"/>
      <c r="R717" s="848"/>
      <c r="S717" s="3" t="s">
        <v>130</v>
      </c>
      <c r="T717" s="848"/>
      <c r="U717" s="786">
        <v>329.9</v>
      </c>
      <c r="V717" s="848"/>
      <c r="W717" s="848"/>
      <c r="X717" s="761" t="s">
        <v>2698</v>
      </c>
      <c r="Y717" s="761">
        <v>45218</v>
      </c>
      <c r="Z717" s="761" t="s">
        <v>62</v>
      </c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spans="2:39" ht="13.95" customHeight="1">
      <c r="B718" s="747">
        <v>10</v>
      </c>
      <c r="C718" s="748" t="s">
        <v>1792</v>
      </c>
      <c r="D718" s="3">
        <v>200103872</v>
      </c>
      <c r="E718" s="3">
        <v>102183</v>
      </c>
      <c r="F718" s="749">
        <v>22</v>
      </c>
      <c r="G718" s="3" t="s">
        <v>128</v>
      </c>
      <c r="H718" s="804"/>
      <c r="I718" s="786">
        <f>149.8+153.9+159.8</f>
        <v>463.50000000000006</v>
      </c>
      <c r="J718" s="804"/>
      <c r="K718" s="827" t="s">
        <v>2716</v>
      </c>
      <c r="L718" s="790">
        <v>45219</v>
      </c>
      <c r="M718" s="842"/>
      <c r="N718" s="842"/>
      <c r="O718" s="761" t="s">
        <v>62</v>
      </c>
      <c r="P718" s="784" t="s">
        <v>3267</v>
      </c>
      <c r="Q718" s="842"/>
      <c r="R718" s="848"/>
      <c r="S718" s="3" t="s">
        <v>130</v>
      </c>
      <c r="T718" s="848"/>
      <c r="U718" s="786">
        <v>329.9</v>
      </c>
      <c r="V718" s="848"/>
      <c r="W718" s="848"/>
      <c r="X718" s="761" t="s">
        <v>2698</v>
      </c>
      <c r="Y718" s="761">
        <v>45219</v>
      </c>
      <c r="Z718" s="761" t="s">
        <v>62</v>
      </c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spans="2:39" ht="13.95" customHeight="1">
      <c r="B719" s="747">
        <v>10</v>
      </c>
      <c r="C719" s="748" t="s">
        <v>1792</v>
      </c>
      <c r="D719" s="3">
        <v>200103873</v>
      </c>
      <c r="E719" s="3">
        <v>102193</v>
      </c>
      <c r="F719" s="749">
        <v>23</v>
      </c>
      <c r="G719" s="3" t="s">
        <v>128</v>
      </c>
      <c r="H719" s="804"/>
      <c r="I719" s="786">
        <v>466.3</v>
      </c>
      <c r="J719" s="804"/>
      <c r="K719" s="827" t="s">
        <v>2716</v>
      </c>
      <c r="L719" s="790">
        <v>45222</v>
      </c>
      <c r="M719" s="842"/>
      <c r="N719" s="842"/>
      <c r="O719" s="761" t="s">
        <v>62</v>
      </c>
      <c r="P719" s="3" t="s">
        <v>3268</v>
      </c>
      <c r="Q719" s="842"/>
      <c r="R719" s="848"/>
      <c r="S719" s="3" t="s">
        <v>130</v>
      </c>
      <c r="T719" s="848"/>
      <c r="U719" s="786">
        <v>329</v>
      </c>
      <c r="V719" s="848"/>
      <c r="W719" s="848"/>
      <c r="X719" s="761" t="s">
        <v>2698</v>
      </c>
      <c r="Y719" s="761">
        <v>45222</v>
      </c>
      <c r="Z719" s="761" t="s">
        <v>62</v>
      </c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spans="2:39" ht="13.95" customHeight="1">
      <c r="B720" s="747">
        <v>10</v>
      </c>
      <c r="C720" s="748" t="s">
        <v>1792</v>
      </c>
      <c r="D720" s="3">
        <v>200103874</v>
      </c>
      <c r="E720" s="3">
        <v>102203</v>
      </c>
      <c r="F720" s="749">
        <v>24</v>
      </c>
      <c r="G720" s="3" t="s">
        <v>128</v>
      </c>
      <c r="H720" s="804"/>
      <c r="I720" s="786">
        <f>153.3+156.7+156.7</f>
        <v>466.7</v>
      </c>
      <c r="J720" s="804"/>
      <c r="K720" s="827" t="s">
        <v>2716</v>
      </c>
      <c r="L720" s="790">
        <v>45222</v>
      </c>
      <c r="M720" s="842"/>
      <c r="N720" s="842"/>
      <c r="O720" s="761" t="s">
        <v>62</v>
      </c>
      <c r="P720" s="3" t="s">
        <v>3269</v>
      </c>
      <c r="Q720" s="842"/>
      <c r="R720" s="848"/>
      <c r="S720" s="3" t="s">
        <v>130</v>
      </c>
      <c r="T720" s="848"/>
      <c r="U720" s="786">
        <v>329.8</v>
      </c>
      <c r="V720" s="848"/>
      <c r="W720" s="848"/>
      <c r="X720" s="761" t="s">
        <v>2698</v>
      </c>
      <c r="Y720" s="761">
        <v>45223</v>
      </c>
      <c r="Z720" s="761" t="s">
        <v>62</v>
      </c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spans="1:39" ht="13.95" customHeight="1">
      <c r="B721" s="747">
        <v>10</v>
      </c>
      <c r="C721" s="748" t="s">
        <v>1792</v>
      </c>
      <c r="D721" s="3">
        <v>200103875</v>
      </c>
      <c r="E721" s="3">
        <v>102213</v>
      </c>
      <c r="F721" s="749">
        <v>25</v>
      </c>
      <c r="G721" s="3" t="s">
        <v>128</v>
      </c>
      <c r="H721" s="804"/>
      <c r="I721" s="786">
        <v>469.5</v>
      </c>
      <c r="J721" s="804"/>
      <c r="K721" s="827" t="s">
        <v>2716</v>
      </c>
      <c r="L721" s="790">
        <v>45222</v>
      </c>
      <c r="M721" s="842"/>
      <c r="N721" s="842"/>
      <c r="O721" s="761" t="s">
        <v>62</v>
      </c>
      <c r="P721" s="3" t="s">
        <v>3270</v>
      </c>
      <c r="Q721" s="842"/>
      <c r="R721" s="848"/>
      <c r="S721" s="3" t="s">
        <v>130</v>
      </c>
      <c r="T721" s="848"/>
      <c r="U721" s="786">
        <v>329.8</v>
      </c>
      <c r="V721" s="848"/>
      <c r="W721" s="848"/>
      <c r="X721" s="761" t="s">
        <v>2698</v>
      </c>
      <c r="Y721" s="761">
        <v>45223</v>
      </c>
      <c r="Z721" s="761" t="s">
        <v>62</v>
      </c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spans="1:39" s="707" customFormat="1">
      <c r="A722"/>
      <c r="B722" s="805" t="s">
        <v>13</v>
      </c>
      <c r="C722" s="806" t="s">
        <v>1756</v>
      </c>
      <c r="D722" s="807"/>
      <c r="E722" s="807"/>
      <c r="F722" s="808"/>
      <c r="G722" s="807"/>
      <c r="H722" s="809"/>
      <c r="I722" s="837"/>
      <c r="J722" s="809"/>
      <c r="K722" s="829"/>
      <c r="L722" s="818"/>
      <c r="M722" s="809"/>
      <c r="N722" s="809"/>
      <c r="O722" s="819"/>
      <c r="P722" s="807"/>
      <c r="Q722" s="809"/>
      <c r="R722" s="807"/>
      <c r="S722" s="807"/>
      <c r="T722" s="807"/>
      <c r="U722" s="807"/>
      <c r="V722" s="807"/>
      <c r="W722" s="807"/>
      <c r="X722" s="819"/>
      <c r="Y722" s="819"/>
      <c r="Z722" s="819"/>
      <c r="AA722" s="710"/>
      <c r="AB722" s="710"/>
      <c r="AC722" s="710"/>
      <c r="AD722" s="710"/>
      <c r="AE722" s="710"/>
      <c r="AF722" s="710"/>
      <c r="AG722" s="710"/>
      <c r="AH722" s="710"/>
      <c r="AI722" s="710"/>
      <c r="AJ722" s="710"/>
      <c r="AK722" s="710"/>
      <c r="AL722" s="710"/>
      <c r="AM722" s="710"/>
    </row>
    <row r="723" spans="1:39" ht="13.95" customHeight="1">
      <c r="B723" s="747">
        <v>11</v>
      </c>
      <c r="C723" s="748" t="s">
        <v>1792</v>
      </c>
      <c r="D723" s="3">
        <v>200103907</v>
      </c>
      <c r="E723" s="3">
        <v>110573</v>
      </c>
      <c r="F723" s="749">
        <v>1</v>
      </c>
      <c r="G723" s="3" t="s">
        <v>128</v>
      </c>
      <c r="H723" s="804"/>
      <c r="I723" s="786">
        <v>470</v>
      </c>
      <c r="J723" s="804"/>
      <c r="K723" s="827" t="s">
        <v>2716</v>
      </c>
      <c r="L723" s="790">
        <v>45222</v>
      </c>
      <c r="M723" s="842"/>
      <c r="N723" s="842"/>
      <c r="O723" s="761" t="s">
        <v>62</v>
      </c>
      <c r="P723" s="3" t="s">
        <v>3271</v>
      </c>
      <c r="Q723" s="842"/>
      <c r="R723" s="848"/>
      <c r="S723" s="3" t="s">
        <v>130</v>
      </c>
      <c r="T723" s="848"/>
      <c r="U723" s="786">
        <v>329.7</v>
      </c>
      <c r="V723" s="848"/>
      <c r="W723" s="848"/>
      <c r="X723" s="761" t="s">
        <v>2698</v>
      </c>
      <c r="Y723" s="761">
        <v>45225</v>
      </c>
      <c r="Z723" s="761" t="s">
        <v>62</v>
      </c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spans="1:39" ht="13.95" customHeight="1">
      <c r="B724" s="747">
        <v>11</v>
      </c>
      <c r="C724" s="748" t="s">
        <v>1792</v>
      </c>
      <c r="D724" s="3">
        <v>200103908</v>
      </c>
      <c r="E724" s="3">
        <v>110583</v>
      </c>
      <c r="F724" s="749">
        <v>2</v>
      </c>
      <c r="G724" s="3" t="s">
        <v>128</v>
      </c>
      <c r="H724" s="804"/>
      <c r="I724" s="786">
        <v>463.1</v>
      </c>
      <c r="J724" s="804"/>
      <c r="K724" s="827" t="s">
        <v>2716</v>
      </c>
      <c r="L724" s="790">
        <v>45224</v>
      </c>
      <c r="M724" s="842"/>
      <c r="N724" s="842"/>
      <c r="O724" s="761" t="s">
        <v>62</v>
      </c>
      <c r="P724" s="3" t="s">
        <v>3272</v>
      </c>
      <c r="Q724" s="842"/>
      <c r="R724" s="848"/>
      <c r="S724" s="3" t="s">
        <v>130</v>
      </c>
      <c r="T724" s="848"/>
      <c r="U724" s="786">
        <v>330.1</v>
      </c>
      <c r="V724" s="848"/>
      <c r="W724" s="848"/>
      <c r="X724" s="761" t="s">
        <v>2698</v>
      </c>
      <c r="Y724" s="761">
        <v>45225</v>
      </c>
      <c r="Z724" s="761" t="s">
        <v>62</v>
      </c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spans="1:39" ht="13.95" customHeight="1">
      <c r="B725" s="747">
        <v>11</v>
      </c>
      <c r="C725" s="748" t="s">
        <v>1792</v>
      </c>
      <c r="D725" s="3">
        <v>200103909</v>
      </c>
      <c r="E725" s="3">
        <v>110593</v>
      </c>
      <c r="F725" s="749">
        <v>3</v>
      </c>
      <c r="G725" s="3" t="s">
        <v>128</v>
      </c>
      <c r="H725" s="804"/>
      <c r="I725" s="786">
        <v>465.2</v>
      </c>
      <c r="J725" s="804"/>
      <c r="K725" s="827" t="s">
        <v>2716</v>
      </c>
      <c r="L725" s="790">
        <v>45224</v>
      </c>
      <c r="M725" s="842"/>
      <c r="N725" s="842"/>
      <c r="O725" s="761" t="s">
        <v>62</v>
      </c>
      <c r="P725" s="784" t="s">
        <v>3273</v>
      </c>
      <c r="Q725" s="842"/>
      <c r="R725" s="848"/>
      <c r="S725" s="3" t="s">
        <v>130</v>
      </c>
      <c r="T725" s="848"/>
      <c r="U725" s="786">
        <v>329.8</v>
      </c>
      <c r="V725" s="848"/>
      <c r="W725" s="848"/>
      <c r="X725" s="761" t="s">
        <v>2698</v>
      </c>
      <c r="Y725" s="761">
        <v>45225</v>
      </c>
      <c r="Z725" s="761" t="s">
        <v>62</v>
      </c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spans="1:39" ht="13.95" customHeight="1">
      <c r="B726" s="747">
        <v>11</v>
      </c>
      <c r="C726" s="748" t="s">
        <v>1792</v>
      </c>
      <c r="D726" s="3">
        <v>200103910</v>
      </c>
      <c r="E726" s="3">
        <v>110603</v>
      </c>
      <c r="F726" s="749">
        <v>4</v>
      </c>
      <c r="G726" s="3" t="s">
        <v>128</v>
      </c>
      <c r="H726" s="804"/>
      <c r="I726" s="786">
        <v>462.9</v>
      </c>
      <c r="J726" s="804"/>
      <c r="K726" s="827" t="s">
        <v>2716</v>
      </c>
      <c r="L726" s="790">
        <v>45225</v>
      </c>
      <c r="M726" s="842"/>
      <c r="N726" s="842"/>
      <c r="O726" s="761" t="s">
        <v>62</v>
      </c>
      <c r="P726" s="784" t="s">
        <v>3274</v>
      </c>
      <c r="Q726" s="842"/>
      <c r="R726" s="848"/>
      <c r="S726" s="3" t="s">
        <v>130</v>
      </c>
      <c r="T726" s="848"/>
      <c r="U726" s="760">
        <v>329.7</v>
      </c>
      <c r="V726" s="848"/>
      <c r="W726" s="848"/>
      <c r="X726" s="761" t="s">
        <v>2698</v>
      </c>
      <c r="Y726" s="761">
        <v>45226</v>
      </c>
      <c r="Z726" s="761" t="s">
        <v>62</v>
      </c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spans="1:39" ht="13.95" customHeight="1">
      <c r="B727" s="747">
        <v>11</v>
      </c>
      <c r="C727" s="748" t="s">
        <v>1792</v>
      </c>
      <c r="D727" s="3">
        <v>200103911</v>
      </c>
      <c r="E727" s="3">
        <v>110613</v>
      </c>
      <c r="F727" s="749">
        <v>5</v>
      </c>
      <c r="G727" s="3" t="s">
        <v>128</v>
      </c>
      <c r="H727" s="804"/>
      <c r="I727" s="786">
        <v>470.1</v>
      </c>
      <c r="J727" s="804"/>
      <c r="K727" s="827" t="s">
        <v>2716</v>
      </c>
      <c r="L727" s="790">
        <v>45225</v>
      </c>
      <c r="M727" s="842"/>
      <c r="N727" s="842"/>
      <c r="O727" s="761" t="s">
        <v>62</v>
      </c>
      <c r="P727" s="784" t="s">
        <v>3275</v>
      </c>
      <c r="Q727" s="842"/>
      <c r="R727" s="848"/>
      <c r="S727" s="3" t="s">
        <v>130</v>
      </c>
      <c r="T727" s="848"/>
      <c r="U727" s="786">
        <v>329.8</v>
      </c>
      <c r="V727" s="848"/>
      <c r="W727" s="848"/>
      <c r="X727" s="761" t="s">
        <v>2698</v>
      </c>
      <c r="Y727" s="761">
        <v>45226</v>
      </c>
      <c r="Z727" s="761" t="s">
        <v>62</v>
      </c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spans="1:39" ht="13.95" customHeight="1">
      <c r="B728" s="747">
        <v>11</v>
      </c>
      <c r="C728" s="748" t="s">
        <v>1792</v>
      </c>
      <c r="D728" s="3">
        <v>200103913</v>
      </c>
      <c r="E728" s="3">
        <v>110903</v>
      </c>
      <c r="F728" s="749">
        <v>6</v>
      </c>
      <c r="G728" s="3" t="s">
        <v>128</v>
      </c>
      <c r="H728" s="804"/>
      <c r="I728" s="786">
        <v>464.7</v>
      </c>
      <c r="J728" s="804"/>
      <c r="K728" s="827" t="s">
        <v>2716</v>
      </c>
      <c r="L728" s="790">
        <v>45230</v>
      </c>
      <c r="M728" s="842"/>
      <c r="N728" s="842"/>
      <c r="O728" s="761" t="s">
        <v>62</v>
      </c>
      <c r="P728" s="3" t="s">
        <v>3276</v>
      </c>
      <c r="Q728" s="842"/>
      <c r="R728" s="848"/>
      <c r="S728" s="3" t="s">
        <v>130</v>
      </c>
      <c r="T728" s="848"/>
      <c r="U728" s="786">
        <v>330</v>
      </c>
      <c r="V728" s="848"/>
      <c r="W728" s="848"/>
      <c r="X728" s="761" t="s">
        <v>2698</v>
      </c>
      <c r="Y728" s="761">
        <v>45226</v>
      </c>
      <c r="Z728" s="761" t="s">
        <v>62</v>
      </c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spans="1:39" ht="13.95" customHeight="1">
      <c r="B729" s="747">
        <v>11</v>
      </c>
      <c r="C729" s="748" t="s">
        <v>1792</v>
      </c>
      <c r="D729" s="3">
        <v>200103914</v>
      </c>
      <c r="E729" s="3">
        <v>110913</v>
      </c>
      <c r="F729" s="749">
        <v>7</v>
      </c>
      <c r="G729" s="3" t="s">
        <v>128</v>
      </c>
      <c r="H729" s="804"/>
      <c r="I729" s="786">
        <v>465.2</v>
      </c>
      <c r="J729" s="804"/>
      <c r="K729" s="827" t="s">
        <v>2716</v>
      </c>
      <c r="L729" s="790">
        <v>45230</v>
      </c>
      <c r="M729" s="842"/>
      <c r="N729" s="842"/>
      <c r="O729" s="761" t="s">
        <v>62</v>
      </c>
      <c r="P729" s="784" t="s">
        <v>3277</v>
      </c>
      <c r="Q729" s="842"/>
      <c r="R729" s="848"/>
      <c r="S729" s="3" t="s">
        <v>130</v>
      </c>
      <c r="T729" s="848"/>
      <c r="U729" s="786">
        <v>329.9</v>
      </c>
      <c r="V729" s="848"/>
      <c r="W729" s="848"/>
      <c r="X729" s="761" t="s">
        <v>2698</v>
      </c>
      <c r="Y729" s="761">
        <v>45229</v>
      </c>
      <c r="Z729" s="761" t="s">
        <v>62</v>
      </c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spans="1:39" ht="13.95" customHeight="1">
      <c r="B730" s="747">
        <v>11</v>
      </c>
      <c r="C730" s="748" t="s">
        <v>1792</v>
      </c>
      <c r="D730" s="3">
        <v>200103915</v>
      </c>
      <c r="E730" s="3">
        <v>110923</v>
      </c>
      <c r="F730" s="749">
        <v>8</v>
      </c>
      <c r="G730" s="3" t="s">
        <v>128</v>
      </c>
      <c r="H730" s="804"/>
      <c r="I730" s="786">
        <v>463.3</v>
      </c>
      <c r="J730" s="804"/>
      <c r="K730" s="827" t="s">
        <v>2716</v>
      </c>
      <c r="L730" s="790">
        <v>45230</v>
      </c>
      <c r="M730" s="842"/>
      <c r="N730" s="842"/>
      <c r="O730" s="761" t="s">
        <v>62</v>
      </c>
      <c r="P730" s="784" t="s">
        <v>3278</v>
      </c>
      <c r="Q730" s="842"/>
      <c r="R730" s="848"/>
      <c r="S730" s="3" t="s">
        <v>130</v>
      </c>
      <c r="T730" s="848"/>
      <c r="U730" s="786">
        <v>330.2</v>
      </c>
      <c r="V730" s="848"/>
      <c r="W730" s="848"/>
      <c r="X730" s="761" t="s">
        <v>2698</v>
      </c>
      <c r="Y730" s="761">
        <v>45229</v>
      </c>
      <c r="Z730" s="761" t="s">
        <v>62</v>
      </c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spans="1:39" ht="13.95" customHeight="1">
      <c r="B731" s="747">
        <v>11</v>
      </c>
      <c r="C731" s="748" t="s">
        <v>1792</v>
      </c>
      <c r="D731" s="3">
        <v>200103916</v>
      </c>
      <c r="E731" s="3">
        <v>110933</v>
      </c>
      <c r="F731" s="749">
        <v>9</v>
      </c>
      <c r="G731" s="3" t="s">
        <v>128</v>
      </c>
      <c r="H731" s="804"/>
      <c r="I731" s="762">
        <v>464.2</v>
      </c>
      <c r="J731" s="804"/>
      <c r="K731" s="827" t="s">
        <v>1756</v>
      </c>
      <c r="L731" s="790">
        <v>45232</v>
      </c>
      <c r="M731" s="842"/>
      <c r="N731" s="842"/>
      <c r="O731" s="761" t="s">
        <v>62</v>
      </c>
      <c r="P731" s="3" t="s">
        <v>3279</v>
      </c>
      <c r="Q731" s="842"/>
      <c r="R731" s="848"/>
      <c r="S731" s="3" t="s">
        <v>130</v>
      </c>
      <c r="T731" s="848"/>
      <c r="U731" s="760">
        <v>329.6</v>
      </c>
      <c r="V731" s="848"/>
      <c r="W731" s="848"/>
      <c r="X731" s="761" t="s">
        <v>2698</v>
      </c>
      <c r="Y731" s="761">
        <v>45230</v>
      </c>
      <c r="Z731" s="761" t="s">
        <v>62</v>
      </c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spans="1:39" ht="13.95" customHeight="1">
      <c r="B732" s="747">
        <v>11</v>
      </c>
      <c r="C732" s="748" t="s">
        <v>1792</v>
      </c>
      <c r="D732" s="3">
        <v>200103917</v>
      </c>
      <c r="E732" s="3">
        <v>110943</v>
      </c>
      <c r="F732" s="749">
        <v>10</v>
      </c>
      <c r="G732" s="3" t="s">
        <v>128</v>
      </c>
      <c r="H732" s="804"/>
      <c r="I732" s="762">
        <v>462.7</v>
      </c>
      <c r="J732" s="804"/>
      <c r="K732" s="827" t="s">
        <v>1756</v>
      </c>
      <c r="L732" s="790">
        <v>45232</v>
      </c>
      <c r="M732" s="842"/>
      <c r="N732" s="842"/>
      <c r="O732" s="761" t="s">
        <v>62</v>
      </c>
      <c r="P732" s="3" t="s">
        <v>3280</v>
      </c>
      <c r="Q732" s="842"/>
      <c r="R732" s="848"/>
      <c r="S732" s="3" t="s">
        <v>130</v>
      </c>
      <c r="T732" s="848"/>
      <c r="U732" s="786">
        <v>329.8</v>
      </c>
      <c r="V732" s="848"/>
      <c r="W732" s="848"/>
      <c r="X732" s="761" t="s">
        <v>2698</v>
      </c>
      <c r="Y732" s="761">
        <v>45230</v>
      </c>
      <c r="Z732" s="761" t="s">
        <v>62</v>
      </c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spans="1:39" ht="13.95" customHeight="1">
      <c r="B733" s="747">
        <v>11</v>
      </c>
      <c r="C733" s="748" t="s">
        <v>1792</v>
      </c>
      <c r="D733" s="3">
        <v>200103919</v>
      </c>
      <c r="E733" s="3">
        <v>110953</v>
      </c>
      <c r="F733" s="749">
        <v>11</v>
      </c>
      <c r="G733" s="3" t="s">
        <v>128</v>
      </c>
      <c r="H733" s="804"/>
      <c r="I733" s="786">
        <v>463.1</v>
      </c>
      <c r="J733" s="804"/>
      <c r="K733" s="827" t="s">
        <v>1756</v>
      </c>
      <c r="L733" s="790">
        <v>45232</v>
      </c>
      <c r="M733" s="842"/>
      <c r="N733" s="842"/>
      <c r="O733" s="761" t="s">
        <v>62</v>
      </c>
      <c r="P733" s="3" t="s">
        <v>3281</v>
      </c>
      <c r="Q733" s="842"/>
      <c r="R733" s="848"/>
      <c r="S733" s="3" t="s">
        <v>130</v>
      </c>
      <c r="T733" s="848"/>
      <c r="U733" s="786">
        <v>329.9</v>
      </c>
      <c r="V733" s="848"/>
      <c r="W733" s="848"/>
      <c r="X733" s="761" t="s">
        <v>2698</v>
      </c>
      <c r="Y733" s="761">
        <v>45230</v>
      </c>
      <c r="Z733" s="761" t="s">
        <v>62</v>
      </c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spans="1:39" ht="13.95" customHeight="1">
      <c r="B734" s="747">
        <v>11</v>
      </c>
      <c r="C734" s="748" t="s">
        <v>1792</v>
      </c>
      <c r="D734" s="784">
        <v>200104146</v>
      </c>
      <c r="E734" s="784">
        <v>111673</v>
      </c>
      <c r="F734" s="749">
        <v>12</v>
      </c>
      <c r="G734" s="851" t="s">
        <v>3282</v>
      </c>
      <c r="H734" s="804"/>
      <c r="I734" s="851">
        <v>456.76</v>
      </c>
      <c r="J734" s="804"/>
      <c r="K734" s="827" t="s">
        <v>1756</v>
      </c>
      <c r="L734" s="790">
        <v>45240</v>
      </c>
      <c r="M734" s="842"/>
      <c r="N734" s="842"/>
      <c r="O734" s="761" t="s">
        <v>62</v>
      </c>
      <c r="P734" s="782" t="s">
        <v>3283</v>
      </c>
      <c r="Q734" s="842"/>
      <c r="R734" s="848"/>
      <c r="S734" s="856" t="s">
        <v>3284</v>
      </c>
      <c r="T734" s="848"/>
      <c r="U734" s="856">
        <v>329.82</v>
      </c>
      <c r="V734" s="848"/>
      <c r="W734" s="848"/>
      <c r="X734" s="761" t="s">
        <v>1756</v>
      </c>
      <c r="Y734" s="761">
        <v>45243</v>
      </c>
      <c r="Z734" s="761" t="s">
        <v>62</v>
      </c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spans="1:39" ht="13.95" customHeight="1">
      <c r="B735" s="747">
        <v>11</v>
      </c>
      <c r="C735" s="748" t="s">
        <v>1792</v>
      </c>
      <c r="D735" s="784">
        <v>200104147</v>
      </c>
      <c r="E735" s="784">
        <v>111683</v>
      </c>
      <c r="F735" s="749">
        <v>13</v>
      </c>
      <c r="G735" s="851" t="s">
        <v>3282</v>
      </c>
      <c r="H735" s="804"/>
      <c r="I735" s="851">
        <v>455.9</v>
      </c>
      <c r="J735" s="804"/>
      <c r="K735" s="827" t="s">
        <v>1756</v>
      </c>
      <c r="L735" s="790">
        <v>45240</v>
      </c>
      <c r="M735" s="842"/>
      <c r="N735" s="842"/>
      <c r="O735" s="761" t="s">
        <v>62</v>
      </c>
      <c r="P735" s="782" t="s">
        <v>3285</v>
      </c>
      <c r="Q735" s="842"/>
      <c r="R735" s="848"/>
      <c r="S735" s="856" t="s">
        <v>3284</v>
      </c>
      <c r="T735" s="848"/>
      <c r="U735" s="856">
        <v>329.96</v>
      </c>
      <c r="V735" s="848"/>
      <c r="W735" s="848"/>
      <c r="X735" s="761" t="s">
        <v>1756</v>
      </c>
      <c r="Y735" s="761">
        <v>45243</v>
      </c>
      <c r="Z735" s="761" t="s">
        <v>62</v>
      </c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spans="1:39" ht="13.95" customHeight="1">
      <c r="B736" s="747">
        <v>11</v>
      </c>
      <c r="C736" s="748" t="s">
        <v>1792</v>
      </c>
      <c r="D736" s="784">
        <v>200104148</v>
      </c>
      <c r="E736" s="784">
        <v>111693</v>
      </c>
      <c r="F736" s="749">
        <v>14</v>
      </c>
      <c r="G736" s="851" t="s">
        <v>3282</v>
      </c>
      <c r="H736" s="804"/>
      <c r="I736" s="851">
        <v>463.44</v>
      </c>
      <c r="J736" s="804"/>
      <c r="K736" s="827" t="s">
        <v>1756</v>
      </c>
      <c r="L736" s="790">
        <v>45240</v>
      </c>
      <c r="M736" s="842"/>
      <c r="N736" s="842"/>
      <c r="O736" s="761" t="s">
        <v>62</v>
      </c>
      <c r="P736" s="782" t="s">
        <v>3286</v>
      </c>
      <c r="Q736" s="782"/>
      <c r="R736" s="848"/>
      <c r="S736" s="856" t="s">
        <v>3287</v>
      </c>
      <c r="T736" s="848"/>
      <c r="U736" s="856">
        <v>329.92</v>
      </c>
      <c r="V736" s="848"/>
      <c r="W736" s="848"/>
      <c r="X736" s="761" t="s">
        <v>1756</v>
      </c>
      <c r="Y736" s="761">
        <v>45243</v>
      </c>
      <c r="Z736" s="761" t="s">
        <v>62</v>
      </c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spans="1:39" ht="13.95" customHeight="1">
      <c r="B737" s="747">
        <v>11</v>
      </c>
      <c r="C737" s="748" t="s">
        <v>1792</v>
      </c>
      <c r="D737" s="784">
        <v>200104149</v>
      </c>
      <c r="E737" s="784">
        <v>111703</v>
      </c>
      <c r="F737" s="749">
        <v>15</v>
      </c>
      <c r="G737" s="851" t="s">
        <v>3288</v>
      </c>
      <c r="H737" s="804"/>
      <c r="I737" s="851">
        <v>455</v>
      </c>
      <c r="J737" s="804"/>
      <c r="K737" s="827" t="s">
        <v>1756</v>
      </c>
      <c r="L737" s="790">
        <v>45244</v>
      </c>
      <c r="M737" s="842"/>
      <c r="N737" s="842"/>
      <c r="O737" s="761" t="s">
        <v>62</v>
      </c>
      <c r="P737" s="784" t="s">
        <v>3289</v>
      </c>
      <c r="Q737" s="842"/>
      <c r="R737" s="848"/>
      <c r="S737" s="856" t="s">
        <v>3287</v>
      </c>
      <c r="T737" s="848"/>
      <c r="U737" s="856">
        <v>330</v>
      </c>
      <c r="V737" s="848"/>
      <c r="W737" s="848"/>
      <c r="X737" s="761" t="s">
        <v>1756</v>
      </c>
      <c r="Y737" s="761">
        <v>45244</v>
      </c>
      <c r="Z737" s="761" t="s">
        <v>62</v>
      </c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spans="1:39" ht="13.95" customHeight="1">
      <c r="B738" s="747">
        <v>11</v>
      </c>
      <c r="C738" s="748" t="s">
        <v>1792</v>
      </c>
      <c r="D738" s="784">
        <v>200104150</v>
      </c>
      <c r="E738" s="784">
        <v>111713</v>
      </c>
      <c r="F738" s="749">
        <v>16</v>
      </c>
      <c r="G738" s="851" t="s">
        <v>3288</v>
      </c>
      <c r="H738" s="804"/>
      <c r="I738" s="851">
        <v>459.94</v>
      </c>
      <c r="J738" s="804"/>
      <c r="K738" s="827" t="s">
        <v>1756</v>
      </c>
      <c r="L738" s="790">
        <v>45244</v>
      </c>
      <c r="M738" s="842"/>
      <c r="N738" s="842"/>
      <c r="O738" s="761" t="s">
        <v>62</v>
      </c>
      <c r="P738" s="784" t="s">
        <v>3290</v>
      </c>
      <c r="Q738" s="842"/>
      <c r="R738" s="848"/>
      <c r="S738" s="856" t="s">
        <v>3287</v>
      </c>
      <c r="T738" s="848"/>
      <c r="U738" s="856">
        <v>330.04</v>
      </c>
      <c r="V738" s="848"/>
      <c r="W738" s="848"/>
      <c r="X738" s="761" t="s">
        <v>1756</v>
      </c>
      <c r="Y738" s="761">
        <v>45244</v>
      </c>
      <c r="Z738" s="761" t="s">
        <v>62</v>
      </c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spans="1:39" ht="13.95" customHeight="1">
      <c r="B739" s="747">
        <v>11</v>
      </c>
      <c r="C739" s="748" t="s">
        <v>1792</v>
      </c>
      <c r="D739" s="784">
        <v>200104151</v>
      </c>
      <c r="E739" s="784">
        <v>111723</v>
      </c>
      <c r="F739" s="749">
        <v>17</v>
      </c>
      <c r="G739" s="851" t="s">
        <v>3288</v>
      </c>
      <c r="H739" s="804"/>
      <c r="I739" s="851">
        <v>309.77999999999997</v>
      </c>
      <c r="J739" s="804"/>
      <c r="K739" s="827" t="s">
        <v>1756</v>
      </c>
      <c r="L739" s="790">
        <v>45244</v>
      </c>
      <c r="M739" s="842"/>
      <c r="N739" s="842"/>
      <c r="O739" s="761" t="s">
        <v>62</v>
      </c>
      <c r="P739" s="784" t="s">
        <v>3291</v>
      </c>
      <c r="Q739" s="842"/>
      <c r="R739" s="848"/>
      <c r="S739" s="856" t="s">
        <v>3292</v>
      </c>
      <c r="T739" s="848"/>
      <c r="U739" s="856">
        <v>330</v>
      </c>
      <c r="V739" s="848"/>
      <c r="W739" s="848"/>
      <c r="X739" s="761" t="s">
        <v>1756</v>
      </c>
      <c r="Y739" s="761">
        <v>45246</v>
      </c>
      <c r="Z739" s="761" t="s">
        <v>62</v>
      </c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spans="1:39" ht="13.95" customHeight="1">
      <c r="B740" s="747">
        <v>11</v>
      </c>
      <c r="C740" s="748" t="s">
        <v>1792</v>
      </c>
      <c r="D740" s="784">
        <v>200104152</v>
      </c>
      <c r="E740" s="784">
        <v>111733</v>
      </c>
      <c r="F740" s="749">
        <v>18</v>
      </c>
      <c r="G740" s="851" t="s">
        <v>3288</v>
      </c>
      <c r="H740" s="804"/>
      <c r="I740" s="851">
        <v>460.66</v>
      </c>
      <c r="J740" s="804"/>
      <c r="K740" s="827" t="s">
        <v>1756</v>
      </c>
      <c r="L740" s="790">
        <v>45244</v>
      </c>
      <c r="M740" s="842"/>
      <c r="N740" s="842"/>
      <c r="O740" s="761" t="s">
        <v>62</v>
      </c>
      <c r="P740" s="784" t="s">
        <v>3293</v>
      </c>
      <c r="Q740" s="842"/>
      <c r="R740" s="848"/>
      <c r="S740" s="856" t="s">
        <v>3292</v>
      </c>
      <c r="T740" s="848"/>
      <c r="U740" s="856">
        <v>330</v>
      </c>
      <c r="V740" s="848"/>
      <c r="W740" s="848"/>
      <c r="X740" s="761" t="s">
        <v>1756</v>
      </c>
      <c r="Y740" s="761">
        <v>45246</v>
      </c>
      <c r="Z740" s="761" t="s">
        <v>62</v>
      </c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spans="1:39" s="707" customFormat="1">
      <c r="A741"/>
      <c r="B741" s="805" t="s">
        <v>13</v>
      </c>
      <c r="C741" s="806" t="s">
        <v>1710</v>
      </c>
      <c r="D741" s="807"/>
      <c r="E741" s="807"/>
      <c r="F741" s="808"/>
      <c r="G741" s="807"/>
      <c r="H741" s="809"/>
      <c r="I741" s="837"/>
      <c r="J741" s="809"/>
      <c r="K741" s="829"/>
      <c r="L741" s="818"/>
      <c r="M741" s="809"/>
      <c r="N741" s="809"/>
      <c r="O741" s="819"/>
      <c r="P741" s="819"/>
      <c r="Q741" s="809"/>
      <c r="R741" s="807"/>
      <c r="S741" s="807"/>
      <c r="T741" s="807"/>
      <c r="U741" s="807"/>
      <c r="V741" s="807"/>
      <c r="W741" s="807"/>
      <c r="X741" s="819"/>
      <c r="Y741" s="819"/>
      <c r="Z741" s="819"/>
      <c r="AA741" s="710"/>
      <c r="AB741" s="710"/>
      <c r="AC741" s="710"/>
      <c r="AD741" s="710"/>
      <c r="AE741" s="710"/>
      <c r="AF741" s="710"/>
      <c r="AG741" s="710"/>
      <c r="AH741" s="710"/>
      <c r="AI741" s="710"/>
      <c r="AJ741" s="710"/>
      <c r="AK741" s="710"/>
      <c r="AL741" s="710"/>
      <c r="AM741" s="710"/>
    </row>
    <row r="742" spans="1:39" ht="13.95" customHeight="1">
      <c r="B742" s="747">
        <v>12</v>
      </c>
      <c r="C742" s="748" t="s">
        <v>1792</v>
      </c>
      <c r="D742" s="784">
        <v>200104201</v>
      </c>
      <c r="E742" s="784">
        <v>120093</v>
      </c>
      <c r="F742" s="749">
        <v>1</v>
      </c>
      <c r="G742" s="851" t="s">
        <v>3288</v>
      </c>
      <c r="H742" s="804"/>
      <c r="I742" s="851">
        <v>473.6</v>
      </c>
      <c r="J742" s="804"/>
      <c r="K742" s="827" t="s">
        <v>1756</v>
      </c>
      <c r="L742" s="790">
        <v>45244</v>
      </c>
      <c r="M742" s="842"/>
      <c r="N742" s="842"/>
      <c r="O742" s="761" t="s">
        <v>62</v>
      </c>
      <c r="P742" s="2" t="s">
        <v>3294</v>
      </c>
      <c r="Q742" s="842"/>
      <c r="R742" s="848"/>
      <c r="S742" s="856" t="s">
        <v>3284</v>
      </c>
      <c r="T742" s="848"/>
      <c r="U742" s="856">
        <v>329.5</v>
      </c>
      <c r="V742" s="848"/>
      <c r="W742" s="848"/>
      <c r="X742" s="761" t="s">
        <v>1756</v>
      </c>
      <c r="Y742" s="761">
        <v>45246</v>
      </c>
      <c r="Z742" s="761" t="s">
        <v>62</v>
      </c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spans="1:39" ht="13.95" customHeight="1">
      <c r="B743" s="747">
        <v>12</v>
      </c>
      <c r="C743" s="748" t="s">
        <v>1792</v>
      </c>
      <c r="D743" s="784">
        <v>200104202</v>
      </c>
      <c r="E743" s="784">
        <v>120103</v>
      </c>
      <c r="F743" s="749">
        <v>2</v>
      </c>
      <c r="G743" s="851" t="s">
        <v>3288</v>
      </c>
      <c r="H743" s="804"/>
      <c r="I743" s="851">
        <v>455</v>
      </c>
      <c r="J743" s="804"/>
      <c r="K743" s="827" t="s">
        <v>1756</v>
      </c>
      <c r="L743" s="790">
        <v>45246</v>
      </c>
      <c r="M743" s="842"/>
      <c r="N743" s="842"/>
      <c r="O743" s="761" t="s">
        <v>62</v>
      </c>
      <c r="P743" s="784" t="s">
        <v>3295</v>
      </c>
      <c r="Q743" s="842"/>
      <c r="R743" s="848"/>
      <c r="S743" s="856" t="s">
        <v>3284</v>
      </c>
      <c r="T743" s="848"/>
      <c r="U743" s="856">
        <v>329.96</v>
      </c>
      <c r="V743" s="848"/>
      <c r="W743" s="848"/>
      <c r="X743" s="761" t="s">
        <v>1756</v>
      </c>
      <c r="Y743" s="761">
        <v>45246</v>
      </c>
      <c r="Z743" s="761" t="s">
        <v>62</v>
      </c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spans="1:39" ht="13.95" customHeight="1">
      <c r="B744" s="747">
        <v>12</v>
      </c>
      <c r="C744" s="748" t="s">
        <v>1792</v>
      </c>
      <c r="D744" s="784">
        <v>200104203</v>
      </c>
      <c r="E744" s="784">
        <v>120113</v>
      </c>
      <c r="F744" s="749">
        <v>3</v>
      </c>
      <c r="G744" s="851" t="s">
        <v>3288</v>
      </c>
      <c r="H744" s="804"/>
      <c r="I744" s="851">
        <v>471.36</v>
      </c>
      <c r="J744" s="804"/>
      <c r="K744" s="827" t="s">
        <v>1756</v>
      </c>
      <c r="L744" s="790">
        <v>45246</v>
      </c>
      <c r="M744" s="842"/>
      <c r="N744" s="842"/>
      <c r="O744" s="761" t="s">
        <v>62</v>
      </c>
      <c r="P744" s="784" t="s">
        <v>3296</v>
      </c>
      <c r="Q744" s="842"/>
      <c r="R744" s="848"/>
      <c r="S744" s="856" t="s">
        <v>3292</v>
      </c>
      <c r="T744" s="848"/>
      <c r="U744" s="856">
        <v>329.88</v>
      </c>
      <c r="V744" s="848"/>
      <c r="W744" s="848"/>
      <c r="X744" s="761" t="s">
        <v>1756</v>
      </c>
      <c r="Y744" s="761">
        <v>45247</v>
      </c>
      <c r="Z744" s="761" t="s">
        <v>62</v>
      </c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spans="1:39" ht="13.95" customHeight="1">
      <c r="B745" s="747">
        <v>12</v>
      </c>
      <c r="C745" s="748" t="s">
        <v>1792</v>
      </c>
      <c r="D745" s="784">
        <v>200104204</v>
      </c>
      <c r="E745" s="784">
        <v>120123</v>
      </c>
      <c r="F745" s="749">
        <v>4</v>
      </c>
      <c r="G745" s="851" t="s">
        <v>3288</v>
      </c>
      <c r="H745" s="804"/>
      <c r="I745" s="851">
        <v>474.56</v>
      </c>
      <c r="J745" s="804"/>
      <c r="K745" s="827" t="s">
        <v>1756</v>
      </c>
      <c r="L745" s="790">
        <v>45246</v>
      </c>
      <c r="M745" s="842"/>
      <c r="N745" s="842"/>
      <c r="O745" s="761" t="s">
        <v>62</v>
      </c>
      <c r="P745" s="784" t="s">
        <v>3297</v>
      </c>
      <c r="Q745" s="842"/>
      <c r="R745" s="848"/>
      <c r="S745" s="856" t="s">
        <v>3292</v>
      </c>
      <c r="T745" s="848"/>
      <c r="U745" s="856">
        <v>330.04</v>
      </c>
      <c r="V745" s="848"/>
      <c r="W745" s="848"/>
      <c r="X745" s="761" t="s">
        <v>1756</v>
      </c>
      <c r="Y745" s="761">
        <v>45247</v>
      </c>
      <c r="Z745" s="761" t="s">
        <v>62</v>
      </c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spans="1:39">
      <c r="B746" s="747">
        <v>12</v>
      </c>
      <c r="C746" s="748" t="s">
        <v>1792</v>
      </c>
      <c r="D746" s="784">
        <v>200104205</v>
      </c>
      <c r="E746" s="784">
        <v>120133</v>
      </c>
      <c r="F746" s="749">
        <v>5</v>
      </c>
      <c r="G746" s="3" t="s">
        <v>60</v>
      </c>
      <c r="H746" s="804"/>
      <c r="I746" s="762">
        <v>457.2</v>
      </c>
      <c r="J746" s="804"/>
      <c r="K746" s="827" t="s">
        <v>1756</v>
      </c>
      <c r="L746" s="790">
        <v>45253</v>
      </c>
      <c r="M746" s="842"/>
      <c r="N746" s="842"/>
      <c r="O746" s="761" t="s">
        <v>62</v>
      </c>
      <c r="P746" s="3" t="s">
        <v>3298</v>
      </c>
      <c r="Q746" s="842"/>
      <c r="R746" s="848"/>
      <c r="S746" s="3" t="s">
        <v>1757</v>
      </c>
      <c r="T746" s="848"/>
      <c r="U746" s="786">
        <v>329.8</v>
      </c>
      <c r="V746" s="848"/>
      <c r="W746" s="848"/>
      <c r="X746" s="761" t="s">
        <v>1756</v>
      </c>
      <c r="Y746" s="761">
        <v>45253</v>
      </c>
      <c r="Z746" s="761" t="s">
        <v>62</v>
      </c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spans="1:39" ht="13.95" customHeight="1">
      <c r="B747" s="747">
        <v>12</v>
      </c>
      <c r="C747" s="748" t="s">
        <v>1792</v>
      </c>
      <c r="D747" s="784">
        <v>200104234</v>
      </c>
      <c r="E747" s="784">
        <v>120423</v>
      </c>
      <c r="F747" s="749">
        <v>6</v>
      </c>
      <c r="G747" s="3" t="s">
        <v>60</v>
      </c>
      <c r="H747" s="804"/>
      <c r="I747" s="762">
        <v>467.4</v>
      </c>
      <c r="J747" s="804"/>
      <c r="K747" s="827" t="s">
        <v>1756</v>
      </c>
      <c r="L747" s="790">
        <v>45253</v>
      </c>
      <c r="M747" s="842"/>
      <c r="N747" s="842"/>
      <c r="O747" s="761" t="s">
        <v>62</v>
      </c>
      <c r="P747" s="3" t="s">
        <v>3299</v>
      </c>
      <c r="Q747" s="842"/>
      <c r="R747" s="848"/>
      <c r="S747" s="3" t="s">
        <v>1757</v>
      </c>
      <c r="T747" s="848"/>
      <c r="U747" s="786">
        <v>329.8</v>
      </c>
      <c r="V747" s="848"/>
      <c r="W747" s="848"/>
      <c r="X747" s="761" t="s">
        <v>1756</v>
      </c>
      <c r="Y747" s="761">
        <v>45253</v>
      </c>
      <c r="Z747" s="761" t="s">
        <v>62</v>
      </c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spans="1:39" ht="13.95" customHeight="1">
      <c r="B748" s="747">
        <v>12</v>
      </c>
      <c r="C748" s="748" t="s">
        <v>1792</v>
      </c>
      <c r="D748" s="784">
        <v>200104235</v>
      </c>
      <c r="E748" s="784">
        <v>120433</v>
      </c>
      <c r="F748" s="749">
        <v>7</v>
      </c>
      <c r="G748" s="3" t="s">
        <v>128</v>
      </c>
      <c r="H748" s="804"/>
      <c r="I748" s="786">
        <v>467.7</v>
      </c>
      <c r="J748" s="804"/>
      <c r="K748" s="827" t="s">
        <v>1756</v>
      </c>
      <c r="L748" s="790">
        <v>45254</v>
      </c>
      <c r="M748" s="842"/>
      <c r="N748" s="842"/>
      <c r="O748" s="761" t="s">
        <v>62</v>
      </c>
      <c r="P748" s="3" t="s">
        <v>3300</v>
      </c>
      <c r="Q748" s="842"/>
      <c r="R748" s="848"/>
      <c r="S748" s="3" t="s">
        <v>1757</v>
      </c>
      <c r="T748" s="848"/>
      <c r="U748" s="786">
        <v>329.7</v>
      </c>
      <c r="V748" s="848"/>
      <c r="W748" s="848"/>
      <c r="X748" s="761" t="s">
        <v>1756</v>
      </c>
      <c r="Y748" s="761">
        <v>45253</v>
      </c>
      <c r="Z748" s="761" t="s">
        <v>62</v>
      </c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spans="1:39" ht="13.95" customHeight="1">
      <c r="B749" s="747">
        <v>12</v>
      </c>
      <c r="C749" s="748" t="s">
        <v>1792</v>
      </c>
      <c r="D749" s="784">
        <v>200104236</v>
      </c>
      <c r="E749" s="784">
        <v>120443</v>
      </c>
      <c r="F749" s="749">
        <v>8</v>
      </c>
      <c r="G749" s="3" t="s">
        <v>128</v>
      </c>
      <c r="H749" s="804"/>
      <c r="I749" s="786">
        <v>466.5</v>
      </c>
      <c r="J749" s="804"/>
      <c r="K749" s="827" t="s">
        <v>1756</v>
      </c>
      <c r="L749" s="790">
        <v>45254</v>
      </c>
      <c r="M749" s="842"/>
      <c r="N749" s="842"/>
      <c r="O749" s="761" t="s">
        <v>62</v>
      </c>
      <c r="P749" s="3" t="s">
        <v>3301</v>
      </c>
      <c r="Q749" s="842"/>
      <c r="R749" s="848"/>
      <c r="S749" s="3" t="s">
        <v>130</v>
      </c>
      <c r="T749" s="848"/>
      <c r="U749" s="786">
        <v>329.8</v>
      </c>
      <c r="V749" s="848"/>
      <c r="W749" s="848"/>
      <c r="X749" s="761" t="s">
        <v>1756</v>
      </c>
      <c r="Y749" s="761">
        <v>45254</v>
      </c>
      <c r="Z749" s="761" t="s">
        <v>62</v>
      </c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spans="1:39" ht="13.95" customHeight="1">
      <c r="B750" s="747">
        <v>12</v>
      </c>
      <c r="C750" s="748" t="s">
        <v>1792</v>
      </c>
      <c r="D750" s="784">
        <v>200104237</v>
      </c>
      <c r="E750" s="784">
        <v>120453</v>
      </c>
      <c r="F750" s="749">
        <v>9</v>
      </c>
      <c r="G750" s="3" t="s">
        <v>128</v>
      </c>
      <c r="H750" s="804"/>
      <c r="I750" s="786">
        <v>467.1</v>
      </c>
      <c r="J750" s="804"/>
      <c r="K750" s="827" t="s">
        <v>1756</v>
      </c>
      <c r="L750" s="790">
        <v>45254</v>
      </c>
      <c r="M750" s="842"/>
      <c r="N750" s="842"/>
      <c r="O750" s="761" t="s">
        <v>62</v>
      </c>
      <c r="P750" s="3" t="s">
        <v>3302</v>
      </c>
      <c r="Q750" s="842"/>
      <c r="R750" s="848"/>
      <c r="S750" s="3" t="s">
        <v>130</v>
      </c>
      <c r="T750" s="848"/>
      <c r="U750" s="786">
        <v>330.1</v>
      </c>
      <c r="V750" s="848"/>
      <c r="W750" s="848"/>
      <c r="X750" s="761" t="s">
        <v>1756</v>
      </c>
      <c r="Y750" s="761">
        <v>45254</v>
      </c>
      <c r="Z750" s="761" t="s">
        <v>62</v>
      </c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spans="1:39" ht="13.95" customHeight="1">
      <c r="B751" s="747">
        <v>12</v>
      </c>
      <c r="C751" s="748" t="s">
        <v>1792</v>
      </c>
      <c r="D751" s="784">
        <v>200104238</v>
      </c>
      <c r="E751" s="784">
        <v>120463</v>
      </c>
      <c r="F751" s="749">
        <v>10</v>
      </c>
      <c r="G751" s="3" t="s">
        <v>128</v>
      </c>
      <c r="H751" s="804"/>
      <c r="I751" s="762">
        <v>470.91</v>
      </c>
      <c r="J751" s="804"/>
      <c r="K751" s="827" t="s">
        <v>1756</v>
      </c>
      <c r="L751" s="790">
        <v>45254</v>
      </c>
      <c r="M751" s="842"/>
      <c r="N751" s="842"/>
      <c r="O751" s="761" t="s">
        <v>62</v>
      </c>
      <c r="P751" s="3" t="s">
        <v>3303</v>
      </c>
      <c r="Q751" s="842"/>
      <c r="R751" s="848"/>
      <c r="S751" s="3" t="s">
        <v>130</v>
      </c>
      <c r="T751" s="848"/>
      <c r="U751" s="786">
        <v>330</v>
      </c>
      <c r="V751" s="848"/>
      <c r="W751" s="848"/>
      <c r="X751" s="761" t="s">
        <v>1756</v>
      </c>
      <c r="Y751" s="761">
        <v>45254</v>
      </c>
      <c r="Z751" s="761" t="s">
        <v>62</v>
      </c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spans="1:39" ht="13.95" customHeight="1">
      <c r="B752" s="747">
        <v>12</v>
      </c>
      <c r="C752" s="748" t="s">
        <v>1792</v>
      </c>
      <c r="D752" s="784">
        <v>200104283</v>
      </c>
      <c r="E752" s="784">
        <v>120713</v>
      </c>
      <c r="F752" s="749">
        <v>11</v>
      </c>
      <c r="G752" s="3" t="s">
        <v>128</v>
      </c>
      <c r="H752" s="804"/>
      <c r="I752" s="786">
        <f>153.2+155.4+155.3</f>
        <v>463.90000000000003</v>
      </c>
      <c r="J752" s="804"/>
      <c r="K752" s="827" t="s">
        <v>1756</v>
      </c>
      <c r="L752" s="790">
        <v>45257</v>
      </c>
      <c r="M752" s="842"/>
      <c r="N752" s="842"/>
      <c r="O752" s="761" t="s">
        <v>62</v>
      </c>
      <c r="P752" s="786" t="s">
        <v>3304</v>
      </c>
      <c r="Q752" s="842"/>
      <c r="R752" s="848"/>
      <c r="S752" s="3" t="s">
        <v>130</v>
      </c>
      <c r="T752" s="848"/>
      <c r="U752" s="786">
        <v>330.4</v>
      </c>
      <c r="V752" s="848"/>
      <c r="W752" s="848"/>
      <c r="X752" s="761" t="s">
        <v>1756</v>
      </c>
      <c r="Y752" s="761">
        <v>45258</v>
      </c>
      <c r="Z752" s="761" t="s">
        <v>62</v>
      </c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spans="1:39" ht="13.95" customHeight="1">
      <c r="B753" s="747">
        <v>12</v>
      </c>
      <c r="C753" s="748" t="s">
        <v>1792</v>
      </c>
      <c r="D753" s="784">
        <v>200104284</v>
      </c>
      <c r="E753" s="784">
        <v>120723</v>
      </c>
      <c r="F753" s="749">
        <v>12</v>
      </c>
      <c r="G753" s="3" t="s">
        <v>128</v>
      </c>
      <c r="H753" s="804"/>
      <c r="I753" s="786">
        <f>154+153.8+156.8</f>
        <v>464.6</v>
      </c>
      <c r="J753" s="804"/>
      <c r="K753" s="827" t="s">
        <v>1756</v>
      </c>
      <c r="L753" s="790">
        <v>45257</v>
      </c>
      <c r="M753" s="842"/>
      <c r="N753" s="842"/>
      <c r="O753" s="761" t="s">
        <v>62</v>
      </c>
      <c r="P753" s="786" t="s">
        <v>3305</v>
      </c>
      <c r="Q753" s="842"/>
      <c r="R753" s="848"/>
      <c r="S753" s="3" t="s">
        <v>130</v>
      </c>
      <c r="T753" s="848"/>
      <c r="U753" s="786">
        <v>330</v>
      </c>
      <c r="V753" s="848"/>
      <c r="W753" s="848"/>
      <c r="X753" s="761" t="s">
        <v>1756</v>
      </c>
      <c r="Y753" s="761">
        <v>45258</v>
      </c>
      <c r="Z753" s="761" t="s">
        <v>62</v>
      </c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spans="1:39" ht="13.95" customHeight="1">
      <c r="B754" s="747">
        <v>12</v>
      </c>
      <c r="C754" s="748" t="s">
        <v>1792</v>
      </c>
      <c r="D754" s="784">
        <v>200104285</v>
      </c>
      <c r="E754" s="784">
        <v>120733</v>
      </c>
      <c r="F754" s="749">
        <v>13</v>
      </c>
      <c r="G754" s="3" t="s">
        <v>128</v>
      </c>
      <c r="H754" s="804"/>
      <c r="I754" s="786">
        <f>152.4+155.3+155.7</f>
        <v>463.40000000000003</v>
      </c>
      <c r="J754" s="804"/>
      <c r="K754" s="827" t="s">
        <v>1756</v>
      </c>
      <c r="L754" s="790">
        <v>45259</v>
      </c>
      <c r="M754" s="842"/>
      <c r="N754" s="842"/>
      <c r="O754" s="761" t="s">
        <v>62</v>
      </c>
      <c r="P754" s="3" t="s">
        <v>3306</v>
      </c>
      <c r="Q754" s="842"/>
      <c r="R754" s="848"/>
      <c r="S754" s="3" t="s">
        <v>130</v>
      </c>
      <c r="T754" s="848"/>
      <c r="U754" s="762">
        <v>330.4</v>
      </c>
      <c r="V754" s="848"/>
      <c r="W754" s="848"/>
      <c r="X754" s="761" t="s">
        <v>1756</v>
      </c>
      <c r="Y754" s="761">
        <v>45258</v>
      </c>
      <c r="Z754" s="761" t="s">
        <v>62</v>
      </c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spans="1:39" ht="13.95" customHeight="1">
      <c r="B755" s="747">
        <v>12</v>
      </c>
      <c r="C755" s="748" t="s">
        <v>1792</v>
      </c>
      <c r="D755" s="784">
        <v>200104286</v>
      </c>
      <c r="E755" s="784">
        <v>120743</v>
      </c>
      <c r="F755" s="749">
        <v>14</v>
      </c>
      <c r="G755" s="3" t="s">
        <v>128</v>
      </c>
      <c r="H755" s="804"/>
      <c r="I755" s="786">
        <f>155.5+157+156.1</f>
        <v>468.6</v>
      </c>
      <c r="J755" s="804"/>
      <c r="K755" s="827" t="s">
        <v>1756</v>
      </c>
      <c r="L755" s="790">
        <v>45259</v>
      </c>
      <c r="M755" s="842"/>
      <c r="N755" s="842"/>
      <c r="O755" s="761" t="s">
        <v>62</v>
      </c>
      <c r="P755" s="3" t="s">
        <v>3307</v>
      </c>
      <c r="Q755" s="842"/>
      <c r="R755" s="848"/>
      <c r="S755" s="3" t="s">
        <v>130</v>
      </c>
      <c r="T755" s="848"/>
      <c r="U755" s="786">
        <v>330</v>
      </c>
      <c r="V755" s="848"/>
      <c r="W755" s="848"/>
      <c r="X755" s="761" t="s">
        <v>1756</v>
      </c>
      <c r="Y755" s="761">
        <v>45260</v>
      </c>
      <c r="Z755" s="761" t="s">
        <v>62</v>
      </c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spans="1:39" ht="13.95" customHeight="1">
      <c r="B756" s="747">
        <v>12</v>
      </c>
      <c r="C756" s="748" t="s">
        <v>1792</v>
      </c>
      <c r="D756" s="784">
        <v>200104327</v>
      </c>
      <c r="E756" s="784">
        <v>120923</v>
      </c>
      <c r="F756" s="749">
        <v>15</v>
      </c>
      <c r="G756" s="3" t="s">
        <v>128</v>
      </c>
      <c r="H756" s="804"/>
      <c r="I756" s="786">
        <f>152.9+155.9+156.6</f>
        <v>465.4</v>
      </c>
      <c r="J756" s="804"/>
      <c r="K756" s="827" t="s">
        <v>1756</v>
      </c>
      <c r="L756" s="790">
        <v>45260</v>
      </c>
      <c r="M756" s="842"/>
      <c r="N756" s="842"/>
      <c r="O756" s="761" t="s">
        <v>62</v>
      </c>
      <c r="P756" s="3" t="s">
        <v>3308</v>
      </c>
      <c r="Q756" s="842"/>
      <c r="R756" s="848"/>
      <c r="S756" s="3" t="s">
        <v>130</v>
      </c>
      <c r="T756" s="848"/>
      <c r="U756" s="786">
        <v>329.8</v>
      </c>
      <c r="V756" s="848"/>
      <c r="W756" s="848"/>
      <c r="X756" s="761" t="s">
        <v>1756</v>
      </c>
      <c r="Y756" s="761">
        <v>45260</v>
      </c>
      <c r="Z756" s="761" t="s">
        <v>62</v>
      </c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spans="1:39" ht="13.95" customHeight="1">
      <c r="B757" s="747">
        <v>12</v>
      </c>
      <c r="C757" s="748" t="s">
        <v>1792</v>
      </c>
      <c r="D757" s="784">
        <v>200104328</v>
      </c>
      <c r="E757" s="784">
        <v>120933</v>
      </c>
      <c r="F757" s="749">
        <v>16</v>
      </c>
      <c r="G757" s="3" t="s">
        <v>128</v>
      </c>
      <c r="H757" s="804"/>
      <c r="I757" s="786">
        <f>149.2+158.3+155.9</f>
        <v>463.4</v>
      </c>
      <c r="J757" s="804"/>
      <c r="K757" s="827" t="s">
        <v>1710</v>
      </c>
      <c r="L757" s="790">
        <v>45267</v>
      </c>
      <c r="M757" s="842"/>
      <c r="N757" s="842"/>
      <c r="O757" s="761" t="s">
        <v>62</v>
      </c>
      <c r="P757" s="3" t="s">
        <v>3309</v>
      </c>
      <c r="Q757" s="842"/>
      <c r="R757" s="848"/>
      <c r="S757" s="3" t="s">
        <v>130</v>
      </c>
      <c r="T757" s="848"/>
      <c r="U757" s="786">
        <v>330.1</v>
      </c>
      <c r="V757" s="848"/>
      <c r="W757" s="848"/>
      <c r="X757" s="761" t="s">
        <v>2067</v>
      </c>
      <c r="Y757" s="761">
        <v>45265</v>
      </c>
      <c r="Z757" s="761" t="s">
        <v>62</v>
      </c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spans="1:39" ht="13.95" customHeight="1">
      <c r="B758" s="747">
        <v>12</v>
      </c>
      <c r="C758" s="748" t="s">
        <v>1792</v>
      </c>
      <c r="D758" s="784">
        <v>200104329</v>
      </c>
      <c r="E758" s="784">
        <v>120943</v>
      </c>
      <c r="F758" s="749">
        <v>17</v>
      </c>
      <c r="G758" s="3" t="s">
        <v>128</v>
      </c>
      <c r="H758" s="804"/>
      <c r="I758" s="786">
        <f>156.7+153.2+160.5</f>
        <v>470.4</v>
      </c>
      <c r="J758" s="804"/>
      <c r="K758" s="827" t="s">
        <v>1710</v>
      </c>
      <c r="L758" s="790">
        <v>45267</v>
      </c>
      <c r="M758" s="842"/>
      <c r="N758" s="842"/>
      <c r="O758" s="761" t="s">
        <v>62</v>
      </c>
      <c r="P758" s="3" t="s">
        <v>3310</v>
      </c>
      <c r="Q758" s="842"/>
      <c r="R758" s="848"/>
      <c r="S758" s="3" t="s">
        <v>130</v>
      </c>
      <c r="T758" s="848"/>
      <c r="U758" s="786">
        <v>330.2</v>
      </c>
      <c r="V758" s="848"/>
      <c r="W758" s="848"/>
      <c r="X758" s="761" t="s">
        <v>2067</v>
      </c>
      <c r="Y758" s="761">
        <v>45267</v>
      </c>
      <c r="Z758" s="761" t="s">
        <v>62</v>
      </c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spans="1:39" ht="13.95" customHeight="1">
      <c r="B759" s="747">
        <v>12</v>
      </c>
      <c r="C759" s="748" t="s">
        <v>1792</v>
      </c>
      <c r="D759" s="784">
        <v>200104400</v>
      </c>
      <c r="E759" s="784">
        <v>121393</v>
      </c>
      <c r="F759" s="749">
        <v>18</v>
      </c>
      <c r="G759" s="3" t="s">
        <v>128</v>
      </c>
      <c r="H759" s="804"/>
      <c r="I759" s="786">
        <f>145+153.4+165.8</f>
        <v>464.2</v>
      </c>
      <c r="J759" s="804"/>
      <c r="K759" s="827" t="s">
        <v>1710</v>
      </c>
      <c r="L759" s="790">
        <v>45271</v>
      </c>
      <c r="M759" s="842"/>
      <c r="N759" s="842"/>
      <c r="O759" s="761" t="s">
        <v>62</v>
      </c>
      <c r="P759" s="3" t="s">
        <v>3311</v>
      </c>
      <c r="Q759" s="842"/>
      <c r="R759" s="848"/>
      <c r="S759" s="3" t="s">
        <v>130</v>
      </c>
      <c r="T759" s="848"/>
      <c r="U759" s="786">
        <v>329.9</v>
      </c>
      <c r="V759" s="848"/>
      <c r="W759" s="848"/>
      <c r="X759" s="761" t="s">
        <v>2067</v>
      </c>
      <c r="Y759" s="761">
        <v>45272</v>
      </c>
      <c r="Z759" s="761" t="s">
        <v>62</v>
      </c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spans="1:39" s="807" customFormat="1" ht="19.95" customHeight="1">
      <c r="A760" s="3"/>
      <c r="B760" s="807" t="s">
        <v>13</v>
      </c>
      <c r="C760" s="852" t="s">
        <v>3312</v>
      </c>
    </row>
    <row r="761" spans="1:39" s="821" customFormat="1" ht="10.050000000000001" customHeight="1">
      <c r="A761" s="2"/>
      <c r="B761" s="853"/>
      <c r="C761" s="854" t="s">
        <v>3313</v>
      </c>
      <c r="D761" s="807"/>
      <c r="E761" s="807"/>
      <c r="F761" s="807"/>
      <c r="G761" s="807"/>
      <c r="H761" s="807"/>
      <c r="I761" s="807"/>
      <c r="J761" s="807"/>
      <c r="K761" s="807"/>
      <c r="L761" s="855"/>
      <c r="M761" s="807"/>
      <c r="N761" s="807"/>
      <c r="O761" s="807"/>
      <c r="P761" s="807"/>
      <c r="Q761" s="807"/>
      <c r="R761" s="807"/>
      <c r="S761" s="807"/>
      <c r="T761" s="807"/>
      <c r="U761" s="807"/>
      <c r="V761" s="807"/>
      <c r="W761" s="807"/>
      <c r="X761" s="807"/>
      <c r="Y761" s="807"/>
      <c r="Z761" s="807"/>
      <c r="AA761" s="807"/>
      <c r="AB761" s="807"/>
      <c r="AC761" s="807"/>
      <c r="AD761" s="807"/>
      <c r="AE761" s="807"/>
      <c r="AF761" s="807"/>
      <c r="AG761" s="807"/>
      <c r="AH761" s="807"/>
      <c r="AI761" s="807"/>
      <c r="AJ761" s="807"/>
      <c r="AK761" s="807"/>
      <c r="AL761" s="807"/>
      <c r="AM761" s="807"/>
    </row>
    <row r="762" spans="1:39" ht="13.95" customHeight="1">
      <c r="B762" s="747">
        <v>1</v>
      </c>
      <c r="C762" s="748" t="s">
        <v>1792</v>
      </c>
      <c r="D762" s="784">
        <v>200104487</v>
      </c>
      <c r="E762" s="1460" t="s">
        <v>127</v>
      </c>
      <c r="F762" s="749">
        <v>1</v>
      </c>
      <c r="G762" s="3" t="s">
        <v>128</v>
      </c>
      <c r="H762" s="804"/>
      <c r="I762" s="762">
        <v>466.4</v>
      </c>
      <c r="J762" s="804"/>
      <c r="K762" s="827" t="s">
        <v>1710</v>
      </c>
      <c r="L762" s="790">
        <v>45281</v>
      </c>
      <c r="M762" s="842"/>
      <c r="N762" s="842"/>
      <c r="O762" s="761" t="s">
        <v>62</v>
      </c>
      <c r="P762" s="3" t="s">
        <v>129</v>
      </c>
      <c r="Q762" s="842"/>
      <c r="R762" s="848"/>
      <c r="S762" s="3" t="s">
        <v>130</v>
      </c>
      <c r="T762" s="848"/>
      <c r="U762" s="762">
        <v>330</v>
      </c>
      <c r="V762" s="848"/>
      <c r="W762" s="848"/>
      <c r="X762" s="761" t="s">
        <v>1710</v>
      </c>
      <c r="Y762" s="761">
        <v>45280</v>
      </c>
      <c r="Z762" s="761" t="s">
        <v>62</v>
      </c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spans="1:39" ht="13.95" customHeight="1">
      <c r="B763" s="747">
        <v>1</v>
      </c>
      <c r="C763" s="748" t="s">
        <v>1792</v>
      </c>
      <c r="D763" s="784">
        <v>200104488</v>
      </c>
      <c r="E763" s="1460" t="s">
        <v>3314</v>
      </c>
      <c r="F763" s="749">
        <v>2</v>
      </c>
      <c r="G763" s="3" t="s">
        <v>128</v>
      </c>
      <c r="H763" s="804"/>
      <c r="I763" s="762">
        <v>460.2</v>
      </c>
      <c r="J763" s="804"/>
      <c r="K763" s="827" t="s">
        <v>1710</v>
      </c>
      <c r="L763" s="790">
        <v>45282</v>
      </c>
      <c r="M763" s="842"/>
      <c r="N763" s="842"/>
      <c r="O763" s="761" t="s">
        <v>62</v>
      </c>
      <c r="P763" s="3" t="s">
        <v>134</v>
      </c>
      <c r="Q763" s="842"/>
      <c r="R763" s="848"/>
      <c r="S763" s="3" t="s">
        <v>130</v>
      </c>
      <c r="T763" s="848"/>
      <c r="U763" s="762">
        <v>330.1</v>
      </c>
      <c r="V763" s="848"/>
      <c r="W763" s="848"/>
      <c r="X763" s="761" t="s">
        <v>1710</v>
      </c>
      <c r="Y763" s="761">
        <v>45282</v>
      </c>
      <c r="Z763" s="761" t="s">
        <v>62</v>
      </c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spans="1:39" ht="13.95" customHeight="1">
      <c r="B764" s="747">
        <v>1</v>
      </c>
      <c r="C764" s="748" t="s">
        <v>1792</v>
      </c>
      <c r="D764" s="784">
        <v>200104489</v>
      </c>
      <c r="E764" s="1460" t="s">
        <v>135</v>
      </c>
      <c r="F764" s="749">
        <v>3</v>
      </c>
      <c r="G764" s="3" t="s">
        <v>128</v>
      </c>
      <c r="H764" s="804"/>
      <c r="I764" s="762">
        <v>466.1</v>
      </c>
      <c r="J764" s="804"/>
      <c r="K764" s="827" t="s">
        <v>1710</v>
      </c>
      <c r="L764" s="790">
        <v>45282</v>
      </c>
      <c r="M764" s="842"/>
      <c r="N764" s="842"/>
      <c r="O764" s="761" t="s">
        <v>62</v>
      </c>
      <c r="P764" s="3" t="s">
        <v>136</v>
      </c>
      <c r="Q764" s="842"/>
      <c r="R764" s="848"/>
      <c r="S764" s="3" t="s">
        <v>130</v>
      </c>
      <c r="T764" s="848"/>
      <c r="U764" s="762">
        <v>330.2</v>
      </c>
      <c r="V764" s="848"/>
      <c r="W764" s="848"/>
      <c r="X764" s="761" t="s">
        <v>1710</v>
      </c>
      <c r="Y764" s="761">
        <v>45282</v>
      </c>
      <c r="Z764" s="761" t="s">
        <v>62</v>
      </c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spans="1:39" ht="13.95" customHeight="1">
      <c r="B765" s="747">
        <v>1</v>
      </c>
      <c r="C765" s="748" t="s">
        <v>1792</v>
      </c>
      <c r="D765" s="784">
        <v>200104490</v>
      </c>
      <c r="E765" s="1460" t="s">
        <v>137</v>
      </c>
      <c r="F765" s="749">
        <v>4</v>
      </c>
      <c r="G765" s="3" t="s">
        <v>128</v>
      </c>
      <c r="H765" s="804"/>
      <c r="I765" s="762">
        <f>152.4+156.5+155.3</f>
        <v>464.2</v>
      </c>
      <c r="J765" s="804"/>
      <c r="K765" s="827" t="s">
        <v>1710</v>
      </c>
      <c r="L765" s="790">
        <v>45287</v>
      </c>
      <c r="M765" s="842"/>
      <c r="N765" s="842"/>
      <c r="O765" s="761" t="s">
        <v>62</v>
      </c>
      <c r="P765" s="3" t="s">
        <v>138</v>
      </c>
      <c r="Q765" s="842"/>
      <c r="R765" s="848"/>
      <c r="S765" s="3" t="s">
        <v>130</v>
      </c>
      <c r="T765" s="848"/>
      <c r="U765" s="762">
        <v>330.2</v>
      </c>
      <c r="V765" s="848"/>
      <c r="W765" s="848"/>
      <c r="X765" s="761" t="s">
        <v>1710</v>
      </c>
      <c r="Y765" s="761">
        <v>45282</v>
      </c>
      <c r="Z765" s="761" t="s">
        <v>62</v>
      </c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spans="1:39" ht="13.95" customHeight="1">
      <c r="B766" s="747">
        <v>1</v>
      </c>
      <c r="C766" s="748" t="s">
        <v>1792</v>
      </c>
      <c r="D766" s="784">
        <v>200104491</v>
      </c>
      <c r="E766" s="1460" t="s">
        <v>139</v>
      </c>
      <c r="F766" s="749">
        <v>5</v>
      </c>
      <c r="G766" s="3" t="s">
        <v>128</v>
      </c>
      <c r="H766" s="804"/>
      <c r="I766" s="762">
        <f>155.5+154.4+155.5</f>
        <v>465.4</v>
      </c>
      <c r="J766" s="804"/>
      <c r="K766" s="827" t="s">
        <v>1710</v>
      </c>
      <c r="L766" s="790">
        <v>45287</v>
      </c>
      <c r="M766" s="842"/>
      <c r="N766" s="842"/>
      <c r="O766" s="761" t="s">
        <v>62</v>
      </c>
      <c r="P766" s="3" t="s">
        <v>140</v>
      </c>
      <c r="Q766" s="842"/>
      <c r="R766" s="848"/>
      <c r="S766" s="3" t="s">
        <v>130</v>
      </c>
      <c r="T766" s="848"/>
      <c r="U766" s="762">
        <v>330.2</v>
      </c>
      <c r="V766" s="848"/>
      <c r="W766" s="848"/>
      <c r="X766" s="761" t="s">
        <v>1710</v>
      </c>
      <c r="Y766" s="761">
        <v>45288</v>
      </c>
      <c r="Z766" s="761" t="s">
        <v>62</v>
      </c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spans="1:39" ht="13.95" customHeight="1">
      <c r="B767" s="747">
        <v>1</v>
      </c>
      <c r="C767" s="748" t="s">
        <v>1792</v>
      </c>
      <c r="D767" s="784">
        <v>200104492</v>
      </c>
      <c r="E767" s="1460" t="s">
        <v>141</v>
      </c>
      <c r="F767" s="749">
        <v>6</v>
      </c>
      <c r="G767" s="3" t="s">
        <v>128</v>
      </c>
      <c r="H767" s="804"/>
      <c r="I767" s="786">
        <f>148.5+149.1+167</f>
        <v>464.6</v>
      </c>
      <c r="J767" s="804"/>
      <c r="K767" s="827" t="s">
        <v>1710</v>
      </c>
      <c r="L767" s="790">
        <v>45296</v>
      </c>
      <c r="M767" s="842"/>
      <c r="N767" s="842"/>
      <c r="O767" s="761" t="s">
        <v>62</v>
      </c>
      <c r="P767" s="3" t="s">
        <v>142</v>
      </c>
      <c r="Q767" s="842"/>
      <c r="R767" s="848"/>
      <c r="S767" s="3" t="s">
        <v>130</v>
      </c>
      <c r="T767" s="848"/>
      <c r="U767" s="786">
        <v>330</v>
      </c>
      <c r="V767" s="848"/>
      <c r="W767" s="848"/>
      <c r="X767" s="761" t="s">
        <v>2094</v>
      </c>
      <c r="Y767" s="761">
        <v>45295</v>
      </c>
      <c r="Z767" s="761" t="s">
        <v>62</v>
      </c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spans="1:39" ht="13.95" customHeight="1">
      <c r="B768" s="747">
        <v>1</v>
      </c>
      <c r="C768" s="748" t="s">
        <v>1792</v>
      </c>
      <c r="D768" s="784">
        <v>200104538</v>
      </c>
      <c r="E768" s="1460" t="s">
        <v>143</v>
      </c>
      <c r="F768" s="749">
        <v>7</v>
      </c>
      <c r="G768" s="804"/>
      <c r="H768" s="804"/>
      <c r="I768" s="804"/>
      <c r="J768" s="804"/>
      <c r="K768" s="842"/>
      <c r="L768" s="842"/>
      <c r="M768" s="842"/>
      <c r="N768" s="842"/>
      <c r="O768" s="761" t="s">
        <v>62</v>
      </c>
      <c r="P768" s="842"/>
      <c r="Q768" s="842"/>
      <c r="R768" s="848"/>
      <c r="S768" s="3" t="s">
        <v>130</v>
      </c>
      <c r="T768" s="848"/>
      <c r="U768" s="786">
        <v>329.8</v>
      </c>
      <c r="V768" s="848"/>
      <c r="W768" s="848"/>
      <c r="X768" s="761" t="s">
        <v>2094</v>
      </c>
      <c r="Y768" s="761">
        <v>45295</v>
      </c>
      <c r="Z768" s="761" t="s">
        <v>62</v>
      </c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spans="1:39" ht="13.95" customHeight="1">
      <c r="B769" s="747">
        <v>1</v>
      </c>
      <c r="C769" s="748" t="s">
        <v>1792</v>
      </c>
      <c r="D769" s="784">
        <v>200104539</v>
      </c>
      <c r="E769" s="1460" t="s">
        <v>145</v>
      </c>
      <c r="F769" s="749">
        <v>8</v>
      </c>
      <c r="G769" s="804"/>
      <c r="H769" s="804"/>
      <c r="I769" s="804"/>
      <c r="J769" s="804"/>
      <c r="K769" s="842"/>
      <c r="L769" s="842"/>
      <c r="M769" s="842"/>
      <c r="N769" s="842"/>
      <c r="O769" s="761" t="s">
        <v>62</v>
      </c>
      <c r="P769" s="842"/>
      <c r="Q769" s="842"/>
      <c r="R769" s="848"/>
      <c r="S769" s="3" t="s">
        <v>130</v>
      </c>
      <c r="T769" s="848"/>
      <c r="U769" s="786">
        <v>329.9</v>
      </c>
      <c r="V769" s="848"/>
      <c r="W769" s="848"/>
      <c r="X769" s="761" t="s">
        <v>2094</v>
      </c>
      <c r="Y769" s="761">
        <v>45299</v>
      </c>
      <c r="Z769" s="761" t="s">
        <v>62</v>
      </c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spans="1:39" ht="13.95" customHeight="1">
      <c r="B770" s="747">
        <v>1</v>
      </c>
      <c r="C770" s="748" t="s">
        <v>1792</v>
      </c>
      <c r="D770" s="784">
        <v>200104540</v>
      </c>
      <c r="E770" s="1460" t="s">
        <v>147</v>
      </c>
      <c r="F770" s="749">
        <v>9</v>
      </c>
      <c r="G770" s="3" t="s">
        <v>128</v>
      </c>
      <c r="H770" s="804"/>
      <c r="I770" s="786">
        <f>153+154.3+157.7</f>
        <v>465</v>
      </c>
      <c r="J770" s="804"/>
      <c r="K770" s="827" t="s">
        <v>2094</v>
      </c>
      <c r="L770" s="790">
        <v>45300</v>
      </c>
      <c r="M770" s="842"/>
      <c r="N770" s="842"/>
      <c r="O770" s="761" t="s">
        <v>62</v>
      </c>
      <c r="P770" s="3" t="s">
        <v>148</v>
      </c>
      <c r="Q770" s="842"/>
      <c r="R770" s="848"/>
      <c r="S770" s="3" t="s">
        <v>130</v>
      </c>
      <c r="T770" s="848"/>
      <c r="U770" s="786">
        <v>329.9</v>
      </c>
      <c r="V770" s="848"/>
      <c r="W770" s="848"/>
      <c r="X770" s="761" t="s">
        <v>2094</v>
      </c>
      <c r="Y770" s="761">
        <v>45300</v>
      </c>
      <c r="Z770" s="761" t="s">
        <v>62</v>
      </c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spans="1:39" ht="13.95" customHeight="1">
      <c r="B771" s="747">
        <v>1</v>
      </c>
      <c r="C771" s="748" t="s">
        <v>1792</v>
      </c>
      <c r="D771" s="784">
        <v>200104541</v>
      </c>
      <c r="E771" s="1460" t="s">
        <v>150</v>
      </c>
      <c r="F771" s="749">
        <v>10</v>
      </c>
      <c r="G771" s="3" t="s">
        <v>128</v>
      </c>
      <c r="H771" s="804"/>
      <c r="I771" s="786">
        <f>154.7+155.6+157</f>
        <v>467.29999999999995</v>
      </c>
      <c r="J771" s="804"/>
      <c r="K771" s="827" t="s">
        <v>2094</v>
      </c>
      <c r="L771" s="790">
        <v>45300</v>
      </c>
      <c r="M771" s="842"/>
      <c r="N771" s="842"/>
      <c r="O771" s="761" t="s">
        <v>62</v>
      </c>
      <c r="P771" s="3" t="s">
        <v>151</v>
      </c>
      <c r="Q771" s="842"/>
      <c r="R771" s="848"/>
      <c r="S771" s="3" t="s">
        <v>130</v>
      </c>
      <c r="T771" s="848"/>
      <c r="U771" s="786">
        <v>330.2</v>
      </c>
      <c r="V771" s="848"/>
      <c r="W771" s="848"/>
      <c r="X771" s="761" t="s">
        <v>2094</v>
      </c>
      <c r="Y771" s="761">
        <v>45300</v>
      </c>
      <c r="Z771" s="761" t="s">
        <v>62</v>
      </c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spans="1:39" ht="13.95" customHeight="1">
      <c r="B772" s="747">
        <v>1</v>
      </c>
      <c r="C772" s="748" t="s">
        <v>1792</v>
      </c>
      <c r="D772" s="784">
        <v>200104542</v>
      </c>
      <c r="E772" s="1460" t="s">
        <v>154</v>
      </c>
      <c r="F772" s="749">
        <v>11</v>
      </c>
      <c r="G772" s="3" t="s">
        <v>128</v>
      </c>
      <c r="H772" s="804"/>
      <c r="I772" s="762">
        <f>152.5+150.9+158.6</f>
        <v>462</v>
      </c>
      <c r="J772" s="804"/>
      <c r="K772" s="827" t="s">
        <v>2094</v>
      </c>
      <c r="L772" s="790">
        <v>45302</v>
      </c>
      <c r="M772" s="842"/>
      <c r="N772" s="842"/>
      <c r="O772" s="761" t="s">
        <v>62</v>
      </c>
      <c r="P772" s="3" t="s">
        <v>155</v>
      </c>
      <c r="Q772" s="842"/>
      <c r="R772" s="848"/>
      <c r="S772" s="3" t="s">
        <v>130</v>
      </c>
      <c r="T772" s="848"/>
      <c r="U772" s="786">
        <v>330.1</v>
      </c>
      <c r="V772" s="848"/>
      <c r="W772" s="848"/>
      <c r="X772" s="761" t="s">
        <v>2094</v>
      </c>
      <c r="Y772" s="761">
        <v>45301</v>
      </c>
      <c r="Z772" s="761" t="s">
        <v>62</v>
      </c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spans="1:39" ht="13.95" customHeight="1">
      <c r="B773" s="747">
        <v>1</v>
      </c>
      <c r="C773" s="748" t="s">
        <v>1792</v>
      </c>
      <c r="D773" s="784">
        <v>200104620</v>
      </c>
      <c r="E773" s="1460" t="s">
        <v>157</v>
      </c>
      <c r="F773" s="749">
        <v>12</v>
      </c>
      <c r="G773" s="3" t="s">
        <v>128</v>
      </c>
      <c r="H773" s="804"/>
      <c r="I773" s="786">
        <f>155.7+154.9+153.8</f>
        <v>464.40000000000003</v>
      </c>
      <c r="J773" s="804"/>
      <c r="K773" s="827" t="s">
        <v>2094</v>
      </c>
      <c r="L773" s="790">
        <v>45302</v>
      </c>
      <c r="M773" s="842"/>
      <c r="N773" s="842"/>
      <c r="O773" s="761" t="s">
        <v>62</v>
      </c>
      <c r="P773" s="3" t="s">
        <v>158</v>
      </c>
      <c r="Q773" s="842"/>
      <c r="R773" s="848"/>
      <c r="S773" s="3" t="s">
        <v>130</v>
      </c>
      <c r="T773" s="848"/>
      <c r="U773" s="786">
        <v>330.1</v>
      </c>
      <c r="V773" s="848"/>
      <c r="W773" s="848"/>
      <c r="X773" s="761" t="s">
        <v>2094</v>
      </c>
      <c r="Y773" s="761">
        <v>45301</v>
      </c>
      <c r="Z773" s="761" t="s">
        <v>62</v>
      </c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spans="1:39" ht="13.95" customHeight="1">
      <c r="B774" s="747">
        <v>1</v>
      </c>
      <c r="C774" s="748" t="s">
        <v>1792</v>
      </c>
      <c r="D774" s="784">
        <v>200104621</v>
      </c>
      <c r="E774" s="1460" t="s">
        <v>159</v>
      </c>
      <c r="F774" s="749">
        <v>13</v>
      </c>
      <c r="G774" s="3" t="s">
        <v>128</v>
      </c>
      <c r="H774" s="804"/>
      <c r="I774" s="762">
        <v>466.1</v>
      </c>
      <c r="J774" s="804"/>
      <c r="K774" s="827" t="s">
        <v>2094</v>
      </c>
      <c r="L774" s="790">
        <v>45303</v>
      </c>
      <c r="M774" s="842"/>
      <c r="N774" s="842"/>
      <c r="O774" s="761" t="s">
        <v>62</v>
      </c>
      <c r="P774" s="3" t="s">
        <v>160</v>
      </c>
      <c r="Q774" s="842"/>
      <c r="R774" s="848"/>
      <c r="S774" s="3" t="s">
        <v>130</v>
      </c>
      <c r="T774" s="848"/>
      <c r="U774" s="762">
        <v>330.11</v>
      </c>
      <c r="V774" s="848"/>
      <c r="W774" s="848"/>
      <c r="X774" s="761" t="s">
        <v>2094</v>
      </c>
      <c r="Y774" s="761">
        <v>45302</v>
      </c>
      <c r="Z774" s="761" t="s">
        <v>62</v>
      </c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spans="1:39" s="807" customFormat="1" ht="13.95" customHeight="1">
      <c r="A775" s="3"/>
      <c r="B775" s="807" t="s">
        <v>13</v>
      </c>
      <c r="C775" s="807" t="s">
        <v>3315</v>
      </c>
    </row>
    <row r="776" spans="1:39" ht="13.95" customHeight="1">
      <c r="B776" s="747">
        <v>2</v>
      </c>
      <c r="C776" s="748" t="s">
        <v>1792</v>
      </c>
      <c r="D776" s="784">
        <v>200104726</v>
      </c>
      <c r="E776" s="1460" t="s">
        <v>165</v>
      </c>
      <c r="F776" s="749">
        <v>1</v>
      </c>
      <c r="G776" s="3" t="s">
        <v>128</v>
      </c>
      <c r="H776" s="804"/>
      <c r="I776" s="762">
        <v>464.7</v>
      </c>
      <c r="J776" s="804"/>
      <c r="K776" s="827" t="s">
        <v>2094</v>
      </c>
      <c r="L776" s="790">
        <v>45310</v>
      </c>
      <c r="M776" s="842"/>
      <c r="N776" s="842"/>
      <c r="O776" s="761" t="s">
        <v>62</v>
      </c>
      <c r="P776" s="3" t="s">
        <v>166</v>
      </c>
      <c r="Q776" s="842"/>
      <c r="R776" s="848"/>
      <c r="S776" s="3" t="s">
        <v>130</v>
      </c>
      <c r="T776" s="848"/>
      <c r="U776" s="762">
        <v>329.9</v>
      </c>
      <c r="V776" s="848"/>
      <c r="W776" s="848"/>
      <c r="X776" s="761" t="s">
        <v>2094</v>
      </c>
      <c r="Y776" s="761">
        <v>45310</v>
      </c>
      <c r="Z776" s="761" t="s">
        <v>62</v>
      </c>
      <c r="AA776" s="761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spans="1:39" ht="13.95" customHeight="1">
      <c r="B777" s="747">
        <v>2</v>
      </c>
      <c r="C777" s="748" t="s">
        <v>1792</v>
      </c>
      <c r="D777" s="784">
        <v>200104727</v>
      </c>
      <c r="E777" s="1460" t="s">
        <v>167</v>
      </c>
      <c r="F777" s="749">
        <v>2</v>
      </c>
      <c r="G777" s="3" t="s">
        <v>128</v>
      </c>
      <c r="H777" s="804"/>
      <c r="I777" s="762">
        <v>464</v>
      </c>
      <c r="J777" s="804"/>
      <c r="K777" s="827" t="s">
        <v>2094</v>
      </c>
      <c r="L777" s="790">
        <v>45310</v>
      </c>
      <c r="M777" s="842"/>
      <c r="N777" s="842"/>
      <c r="O777" s="761" t="s">
        <v>62</v>
      </c>
      <c r="P777" s="3" t="s">
        <v>168</v>
      </c>
      <c r="Q777" s="842"/>
      <c r="R777" s="848"/>
      <c r="S777" s="3" t="s">
        <v>130</v>
      </c>
      <c r="T777" s="848"/>
      <c r="U777" s="762">
        <v>330</v>
      </c>
      <c r="V777" s="848"/>
      <c r="W777" s="848"/>
      <c r="X777" s="761" t="s">
        <v>2094</v>
      </c>
      <c r="Y777" s="761">
        <v>45310</v>
      </c>
      <c r="Z777" s="761" t="s">
        <v>62</v>
      </c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spans="1:39" ht="13.95" customHeight="1">
      <c r="B778" s="747">
        <v>2</v>
      </c>
      <c r="C778" s="748" t="s">
        <v>1792</v>
      </c>
      <c r="D778" s="784">
        <v>200104728</v>
      </c>
      <c r="E778" s="1460" t="s">
        <v>169</v>
      </c>
      <c r="F778" s="749">
        <v>3</v>
      </c>
      <c r="G778" s="3" t="s">
        <v>128</v>
      </c>
      <c r="H778" s="804"/>
      <c r="I778" s="762">
        <f>152.7+155.6+154.7</f>
        <v>462.99999999999994</v>
      </c>
      <c r="J778" s="804"/>
      <c r="K778" s="827" t="s">
        <v>2094</v>
      </c>
      <c r="L778" s="790">
        <v>45313</v>
      </c>
      <c r="M778" s="842"/>
      <c r="N778" s="842"/>
      <c r="O778" s="761" t="s">
        <v>62</v>
      </c>
      <c r="P778" s="3" t="s">
        <v>170</v>
      </c>
      <c r="Q778" s="842"/>
      <c r="R778" s="848"/>
      <c r="S778" s="3" t="s">
        <v>130</v>
      </c>
      <c r="T778" s="848"/>
      <c r="U778" s="762">
        <v>320.2</v>
      </c>
      <c r="V778" s="848"/>
      <c r="W778" s="848"/>
      <c r="X778" s="761" t="s">
        <v>2094</v>
      </c>
      <c r="Y778" s="761">
        <v>45310</v>
      </c>
      <c r="Z778" s="761" t="s">
        <v>62</v>
      </c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spans="1:39" ht="13.95" customHeight="1">
      <c r="B779" s="747">
        <v>2</v>
      </c>
      <c r="C779" s="748" t="s">
        <v>1792</v>
      </c>
      <c r="D779" s="784">
        <v>200104729</v>
      </c>
      <c r="E779" s="1460" t="s">
        <v>171</v>
      </c>
      <c r="F779" s="749">
        <v>4</v>
      </c>
      <c r="G779" s="3" t="s">
        <v>128</v>
      </c>
      <c r="H779" s="804"/>
      <c r="I779" s="762">
        <f>152.7+155.6+154.7</f>
        <v>462.99999999999994</v>
      </c>
      <c r="J779" s="804"/>
      <c r="K779" s="827" t="s">
        <v>2094</v>
      </c>
      <c r="L779" s="790">
        <v>45313</v>
      </c>
      <c r="M779" s="842"/>
      <c r="N779" s="842"/>
      <c r="O779" s="761" t="s">
        <v>62</v>
      </c>
      <c r="P779" s="3" t="s">
        <v>172</v>
      </c>
      <c r="Q779" s="842"/>
      <c r="R779" s="848"/>
      <c r="S779" s="3" t="s">
        <v>130</v>
      </c>
      <c r="T779" s="848"/>
      <c r="U779" s="762">
        <v>330.3</v>
      </c>
      <c r="V779" s="848"/>
      <c r="W779" s="848"/>
      <c r="X779" s="761" t="s">
        <v>2094</v>
      </c>
      <c r="Y779" s="761">
        <v>45314</v>
      </c>
      <c r="Z779" s="761" t="s">
        <v>62</v>
      </c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spans="1:39" ht="13.95" customHeight="1">
      <c r="B780" s="747">
        <v>2</v>
      </c>
      <c r="C780" s="748" t="s">
        <v>1792</v>
      </c>
      <c r="D780" s="784">
        <v>200104730</v>
      </c>
      <c r="E780" s="1460" t="s">
        <v>173</v>
      </c>
      <c r="F780" s="749">
        <v>5</v>
      </c>
      <c r="G780" s="3" t="s">
        <v>128</v>
      </c>
      <c r="H780" s="804"/>
      <c r="I780" s="762">
        <f>153.4+153.9+155.4</f>
        <v>462.70000000000005</v>
      </c>
      <c r="J780" s="804"/>
      <c r="K780" s="827" t="s">
        <v>2094</v>
      </c>
      <c r="L780" s="790">
        <v>45314</v>
      </c>
      <c r="M780" s="842"/>
      <c r="N780" s="842"/>
      <c r="O780" s="761" t="s">
        <v>62</v>
      </c>
      <c r="P780" s="3" t="s">
        <v>174</v>
      </c>
      <c r="Q780" s="842"/>
      <c r="R780" s="848"/>
      <c r="S780" s="3" t="s">
        <v>130</v>
      </c>
      <c r="T780" s="848"/>
      <c r="U780" s="762">
        <v>330.3</v>
      </c>
      <c r="V780" s="848"/>
      <c r="W780" s="848"/>
      <c r="X780" s="761" t="s">
        <v>2094</v>
      </c>
      <c r="Y780" s="761">
        <v>45314</v>
      </c>
      <c r="Z780" s="761" t="s">
        <v>62</v>
      </c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spans="1:39" ht="13.95" customHeight="1">
      <c r="B781" s="747">
        <v>2</v>
      </c>
      <c r="C781" s="748" t="s">
        <v>1792</v>
      </c>
      <c r="D781" s="784">
        <v>200104731</v>
      </c>
      <c r="E781" s="1460" t="s">
        <v>175</v>
      </c>
      <c r="F781" s="749">
        <v>6</v>
      </c>
      <c r="G781" s="3" t="s">
        <v>128</v>
      </c>
      <c r="H781" s="804"/>
      <c r="I781" s="762">
        <v>467.5</v>
      </c>
      <c r="J781" s="804"/>
      <c r="K781" s="827" t="s">
        <v>2094</v>
      </c>
      <c r="L781" s="790">
        <v>45314</v>
      </c>
      <c r="M781" s="842"/>
      <c r="N781" s="842"/>
      <c r="O781" s="761" t="s">
        <v>62</v>
      </c>
      <c r="P781" s="3" t="s">
        <v>176</v>
      </c>
      <c r="Q781" s="842"/>
      <c r="R781" s="848"/>
      <c r="S781" s="3" t="s">
        <v>130</v>
      </c>
      <c r="T781" s="848"/>
      <c r="U781" s="762">
        <v>330.2</v>
      </c>
      <c r="V781" s="848"/>
      <c r="W781" s="848"/>
      <c r="X781" s="761" t="s">
        <v>2094</v>
      </c>
      <c r="Y781" s="761">
        <v>45314</v>
      </c>
      <c r="Z781" s="761" t="s">
        <v>62</v>
      </c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spans="1:39" ht="13.95" customHeight="1">
      <c r="B782" s="747">
        <v>2</v>
      </c>
      <c r="C782" s="748" t="s">
        <v>1792</v>
      </c>
      <c r="D782" s="784">
        <v>200104732</v>
      </c>
      <c r="E782" s="1460" t="s">
        <v>177</v>
      </c>
      <c r="F782" s="749">
        <v>7</v>
      </c>
      <c r="G782" s="3" t="s">
        <v>128</v>
      </c>
      <c r="H782" s="804"/>
      <c r="I782" s="762">
        <f>153.3+153.1+155.9</f>
        <v>462.29999999999995</v>
      </c>
      <c r="J782" s="804"/>
      <c r="K782" s="827" t="s">
        <v>2094</v>
      </c>
      <c r="L782" s="790">
        <v>45315</v>
      </c>
      <c r="M782" s="842"/>
      <c r="N782" s="842"/>
      <c r="O782" s="761" t="s">
        <v>62</v>
      </c>
      <c r="P782" s="3" t="s">
        <v>178</v>
      </c>
      <c r="Q782" s="842"/>
      <c r="R782" s="848"/>
      <c r="S782" s="3" t="s">
        <v>130</v>
      </c>
      <c r="T782" s="848"/>
      <c r="U782" s="762">
        <v>330</v>
      </c>
      <c r="V782" s="848"/>
      <c r="W782" s="848"/>
      <c r="X782" s="761" t="s">
        <v>2094</v>
      </c>
      <c r="Y782" s="761">
        <v>45315</v>
      </c>
      <c r="Z782" s="761" t="s">
        <v>62</v>
      </c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spans="1:39" ht="13.95" customHeight="1">
      <c r="B783" s="747">
        <v>2</v>
      </c>
      <c r="C783" s="748" t="s">
        <v>1792</v>
      </c>
      <c r="D783" s="784">
        <v>200104733</v>
      </c>
      <c r="E783" s="1460" t="s">
        <v>179</v>
      </c>
      <c r="F783" s="749">
        <v>8</v>
      </c>
      <c r="G783" s="3" t="s">
        <v>128</v>
      </c>
      <c r="H783" s="804"/>
      <c r="I783" s="762">
        <f>154.5+153.6+157.5</f>
        <v>465.6</v>
      </c>
      <c r="J783" s="804"/>
      <c r="K783" s="827" t="s">
        <v>2094</v>
      </c>
      <c r="L783" s="790">
        <v>45315</v>
      </c>
      <c r="M783" s="842"/>
      <c r="N783" s="842"/>
      <c r="O783" s="761" t="s">
        <v>62</v>
      </c>
      <c r="P783" s="3" t="s">
        <v>180</v>
      </c>
      <c r="Q783" s="842"/>
      <c r="R783" s="848"/>
      <c r="S783" s="3" t="s">
        <v>130</v>
      </c>
      <c r="T783" s="848"/>
      <c r="U783" s="786">
        <v>330</v>
      </c>
      <c r="V783" s="848"/>
      <c r="W783" s="848"/>
      <c r="X783" s="761" t="s">
        <v>2125</v>
      </c>
      <c r="Y783" s="761">
        <v>45324</v>
      </c>
      <c r="Z783" s="761" t="s">
        <v>62</v>
      </c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spans="1:39" ht="13.95" customHeight="1">
      <c r="B784" s="747">
        <v>2</v>
      </c>
      <c r="C784" s="748" t="s">
        <v>1792</v>
      </c>
      <c r="D784" s="784">
        <v>200104737</v>
      </c>
      <c r="E784" s="1460" t="s">
        <v>181</v>
      </c>
      <c r="F784" s="749">
        <v>9</v>
      </c>
      <c r="G784" s="3" t="s">
        <v>128</v>
      </c>
      <c r="H784" s="804"/>
      <c r="I784" s="786">
        <v>462.4</v>
      </c>
      <c r="J784" s="804"/>
      <c r="K784" s="827" t="s">
        <v>2125</v>
      </c>
      <c r="L784" s="790">
        <v>45324</v>
      </c>
      <c r="M784" s="842"/>
      <c r="N784" s="842"/>
      <c r="O784" s="761" t="s">
        <v>62</v>
      </c>
      <c r="P784" s="3" t="s">
        <v>182</v>
      </c>
      <c r="Q784" s="842"/>
      <c r="R784" s="848"/>
      <c r="S784" s="3" t="s">
        <v>130</v>
      </c>
      <c r="T784" s="848"/>
      <c r="U784" s="786">
        <v>330</v>
      </c>
      <c r="V784" s="848"/>
      <c r="W784" s="848"/>
      <c r="X784" s="761" t="s">
        <v>2125</v>
      </c>
      <c r="Y784" s="761">
        <v>45324</v>
      </c>
      <c r="Z784" s="761" t="s">
        <v>62</v>
      </c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spans="1:56" ht="13.95" customHeight="1">
      <c r="B785" s="747">
        <v>2</v>
      </c>
      <c r="C785" s="748" t="s">
        <v>1792</v>
      </c>
      <c r="D785" s="784">
        <v>200104613</v>
      </c>
      <c r="E785" s="1460" t="s">
        <v>183</v>
      </c>
      <c r="F785" s="749">
        <v>10</v>
      </c>
      <c r="G785" s="3" t="s">
        <v>128</v>
      </c>
      <c r="H785" s="804"/>
      <c r="I785" s="786">
        <v>464.69</v>
      </c>
      <c r="J785" s="804"/>
      <c r="K785" s="827" t="s">
        <v>2125</v>
      </c>
      <c r="L785" s="790">
        <v>45327</v>
      </c>
      <c r="M785" s="842"/>
      <c r="N785" s="842"/>
      <c r="O785" s="761" t="s">
        <v>62</v>
      </c>
      <c r="P785" s="3" t="s">
        <v>184</v>
      </c>
      <c r="Q785" s="842"/>
      <c r="R785" s="848"/>
      <c r="S785" s="3" t="s">
        <v>130</v>
      </c>
      <c r="T785" s="848"/>
      <c r="U785" s="786">
        <v>330.3</v>
      </c>
      <c r="V785" s="848"/>
      <c r="W785" s="848"/>
      <c r="X785" s="761" t="s">
        <v>2125</v>
      </c>
      <c r="Y785" s="761">
        <v>45324</v>
      </c>
      <c r="Z785" s="761" t="s">
        <v>62</v>
      </c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spans="1:56" ht="13.95" customHeight="1">
      <c r="B786" s="747">
        <v>2</v>
      </c>
      <c r="C786" s="748" t="s">
        <v>1792</v>
      </c>
      <c r="D786" s="784">
        <v>200104614</v>
      </c>
      <c r="E786" s="1460" t="s">
        <v>185</v>
      </c>
      <c r="F786" s="749">
        <v>11</v>
      </c>
      <c r="G786" s="3" t="s">
        <v>128</v>
      </c>
      <c r="H786" s="804"/>
      <c r="I786" s="786">
        <v>466.38</v>
      </c>
      <c r="J786" s="804"/>
      <c r="K786" s="827" t="s">
        <v>2125</v>
      </c>
      <c r="L786" s="790">
        <v>45327</v>
      </c>
      <c r="M786" s="842"/>
      <c r="N786" s="842"/>
      <c r="O786" s="761" t="s">
        <v>62</v>
      </c>
      <c r="P786" s="3" t="s">
        <v>186</v>
      </c>
      <c r="Q786" s="842"/>
      <c r="R786" s="848"/>
      <c r="S786" s="3" t="s">
        <v>130</v>
      </c>
      <c r="T786" s="848"/>
      <c r="U786" s="762">
        <v>329.9</v>
      </c>
      <c r="V786" s="848"/>
      <c r="W786" s="848"/>
      <c r="X786" s="761" t="s">
        <v>2125</v>
      </c>
      <c r="Y786" s="761">
        <v>45328</v>
      </c>
      <c r="Z786" s="761" t="s">
        <v>62</v>
      </c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spans="1:56" ht="13.95" customHeight="1">
      <c r="B787" s="747">
        <v>2</v>
      </c>
      <c r="C787" s="748" t="s">
        <v>1792</v>
      </c>
      <c r="D787" s="784">
        <v>200104615</v>
      </c>
      <c r="E787" s="1460" t="s">
        <v>187</v>
      </c>
      <c r="F787" s="749">
        <v>12</v>
      </c>
      <c r="G787" s="3" t="s">
        <v>128</v>
      </c>
      <c r="H787" s="804"/>
      <c r="I787" s="786">
        <v>465.9</v>
      </c>
      <c r="J787" s="804"/>
      <c r="K787" s="827" t="s">
        <v>2125</v>
      </c>
      <c r="L787" s="790">
        <v>45327</v>
      </c>
      <c r="M787" s="842"/>
      <c r="N787" s="842"/>
      <c r="O787" s="761" t="s">
        <v>62</v>
      </c>
      <c r="P787" s="3" t="s">
        <v>188</v>
      </c>
      <c r="Q787" s="842"/>
      <c r="R787" s="848"/>
      <c r="S787" s="3" t="s">
        <v>130</v>
      </c>
      <c r="T787" s="848"/>
      <c r="U787" s="762">
        <v>329.9</v>
      </c>
      <c r="V787" s="848"/>
      <c r="W787" s="848"/>
      <c r="X787" s="761" t="s">
        <v>2125</v>
      </c>
      <c r="Y787" s="761">
        <v>45328</v>
      </c>
      <c r="Z787" s="761" t="s">
        <v>62</v>
      </c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spans="1:56" ht="13.95" customHeight="1">
      <c r="B788" s="747">
        <v>2</v>
      </c>
      <c r="C788" s="748" t="s">
        <v>1792</v>
      </c>
      <c r="D788" s="784">
        <v>200104616</v>
      </c>
      <c r="E788" s="1460" t="s">
        <v>189</v>
      </c>
      <c r="F788" s="749">
        <v>13</v>
      </c>
      <c r="G788" s="3" t="s">
        <v>128</v>
      </c>
      <c r="H788" s="804"/>
      <c r="I788" s="762">
        <f>149.4+153.9+157.4</f>
        <v>460.70000000000005</v>
      </c>
      <c r="J788" s="804"/>
      <c r="K788" s="827" t="s">
        <v>2125</v>
      </c>
      <c r="L788" s="790">
        <v>45328</v>
      </c>
      <c r="M788" s="842"/>
      <c r="N788" s="842"/>
      <c r="O788" s="761" t="s">
        <v>62</v>
      </c>
      <c r="P788" s="3" t="s">
        <v>190</v>
      </c>
      <c r="Q788" s="842"/>
      <c r="R788" s="848"/>
      <c r="S788" s="3" t="s">
        <v>130</v>
      </c>
      <c r="T788" s="848"/>
      <c r="U788" s="762">
        <v>329.9</v>
      </c>
      <c r="V788" s="848"/>
      <c r="W788" s="848"/>
      <c r="X788" s="761" t="s">
        <v>2125</v>
      </c>
      <c r="Y788" s="761">
        <v>45328</v>
      </c>
      <c r="Z788" s="761" t="s">
        <v>62</v>
      </c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spans="1:56" ht="13.95" customHeight="1">
      <c r="B789" s="747">
        <v>2</v>
      </c>
      <c r="C789" s="748" t="s">
        <v>1792</v>
      </c>
      <c r="D789" s="784">
        <v>200104617</v>
      </c>
      <c r="E789" s="1460" t="s">
        <v>191</v>
      </c>
      <c r="F789" s="749">
        <v>14</v>
      </c>
      <c r="G789" s="3" t="s">
        <v>128</v>
      </c>
      <c r="H789" s="804"/>
      <c r="I789" s="762">
        <f>151.2+155.3+159.9</f>
        <v>466.4</v>
      </c>
      <c r="J789" s="804"/>
      <c r="K789" s="827" t="s">
        <v>2125</v>
      </c>
      <c r="L789" s="790">
        <v>45328</v>
      </c>
      <c r="M789" s="842"/>
      <c r="N789" s="842"/>
      <c r="O789" s="761" t="s">
        <v>62</v>
      </c>
      <c r="P789" s="3" t="s">
        <v>192</v>
      </c>
      <c r="Q789" s="842"/>
      <c r="R789" s="848"/>
      <c r="S789" s="3" t="s">
        <v>130</v>
      </c>
      <c r="T789" s="848"/>
      <c r="U789" s="762">
        <v>330</v>
      </c>
      <c r="V789" s="848"/>
      <c r="W789" s="848"/>
      <c r="X789" s="761" t="s">
        <v>2125</v>
      </c>
      <c r="Y789" s="761">
        <v>45329</v>
      </c>
      <c r="Z789" s="761" t="s">
        <v>62</v>
      </c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spans="1:56" ht="13.95" customHeight="1">
      <c r="B790" s="747">
        <v>2</v>
      </c>
      <c r="C790" s="748" t="s">
        <v>1792</v>
      </c>
      <c r="D790" s="784">
        <v>200104853</v>
      </c>
      <c r="E790" s="1460" t="s">
        <v>193</v>
      </c>
      <c r="F790" s="749">
        <v>15</v>
      </c>
      <c r="G790" s="3" t="s">
        <v>128</v>
      </c>
      <c r="H790" s="804"/>
      <c r="I790" s="762">
        <f>150.3+157.8+158.1</f>
        <v>466.20000000000005</v>
      </c>
      <c r="J790" s="804"/>
      <c r="K790" s="827" t="s">
        <v>2125</v>
      </c>
      <c r="L790" s="790">
        <v>45328</v>
      </c>
      <c r="M790" s="842"/>
      <c r="N790" s="842"/>
      <c r="O790" s="761" t="s">
        <v>62</v>
      </c>
      <c r="P790" s="3" t="s">
        <v>194</v>
      </c>
      <c r="Q790" s="842"/>
      <c r="R790" s="848"/>
      <c r="S790" s="3" t="s">
        <v>130</v>
      </c>
      <c r="T790" s="848"/>
      <c r="U790" s="762">
        <v>330.2</v>
      </c>
      <c r="V790" s="848"/>
      <c r="W790" s="848"/>
      <c r="X790" s="761" t="s">
        <v>2125</v>
      </c>
      <c r="Y790" s="761">
        <v>45329</v>
      </c>
      <c r="Z790" s="761" t="s">
        <v>62</v>
      </c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spans="1:56" ht="13.95" customHeight="1">
      <c r="B791" s="747">
        <v>2</v>
      </c>
      <c r="C791" s="748" t="s">
        <v>1792</v>
      </c>
      <c r="D791" s="784">
        <v>200104854</v>
      </c>
      <c r="E791" s="1460" t="s">
        <v>195</v>
      </c>
      <c r="F791" s="749">
        <v>16</v>
      </c>
      <c r="G791" s="3" t="s">
        <v>128</v>
      </c>
      <c r="H791" s="804"/>
      <c r="I791" s="762">
        <v>462.8</v>
      </c>
      <c r="J791" s="804"/>
      <c r="K791" s="827" t="s">
        <v>2125</v>
      </c>
      <c r="L791" s="790">
        <v>45329</v>
      </c>
      <c r="M791" s="842"/>
      <c r="N791" s="842"/>
      <c r="O791" s="761" t="s">
        <v>62</v>
      </c>
      <c r="P791" s="3" t="s">
        <v>196</v>
      </c>
      <c r="Q791" s="842"/>
      <c r="R791" s="848"/>
      <c r="S791" s="3" t="s">
        <v>130</v>
      </c>
      <c r="T791" s="848"/>
      <c r="U791" s="859">
        <v>330.3</v>
      </c>
      <c r="V791" s="848"/>
      <c r="W791" s="848"/>
      <c r="X791" s="761" t="s">
        <v>2125</v>
      </c>
      <c r="Y791" s="761">
        <v>45329</v>
      </c>
      <c r="Z791" s="761" t="s">
        <v>62</v>
      </c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spans="1:56" ht="13.95" customHeight="1">
      <c r="B792" s="747">
        <v>2</v>
      </c>
      <c r="C792" s="748" t="s">
        <v>1792</v>
      </c>
      <c r="D792" s="784">
        <v>200104855</v>
      </c>
      <c r="E792" s="1460" t="s">
        <v>197</v>
      </c>
      <c r="F792" s="749">
        <v>17</v>
      </c>
      <c r="G792" s="3" t="s">
        <v>128</v>
      </c>
      <c r="H792" s="804"/>
      <c r="I792" s="762">
        <v>465</v>
      </c>
      <c r="J792" s="804"/>
      <c r="K792" s="827" t="s">
        <v>2125</v>
      </c>
      <c r="L792" s="790">
        <v>45329</v>
      </c>
      <c r="M792" s="842"/>
      <c r="N792" s="842"/>
      <c r="O792" s="761" t="s">
        <v>62</v>
      </c>
      <c r="P792" s="3" t="s">
        <v>198</v>
      </c>
      <c r="Q792" s="842"/>
      <c r="R792" s="848"/>
      <c r="S792" s="3" t="s">
        <v>130</v>
      </c>
      <c r="T792" s="848"/>
      <c r="U792" s="762">
        <v>329.8</v>
      </c>
      <c r="V792" s="848"/>
      <c r="W792" s="848"/>
      <c r="X792" s="761" t="s">
        <v>2125</v>
      </c>
      <c r="Y792" s="761">
        <v>45329</v>
      </c>
      <c r="Z792" s="761" t="s">
        <v>62</v>
      </c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spans="1:56" ht="13.95" customHeight="1">
      <c r="B793" s="747">
        <v>2</v>
      </c>
      <c r="C793" s="748" t="s">
        <v>1792</v>
      </c>
      <c r="D793" s="784">
        <v>200104856</v>
      </c>
      <c r="E793" s="1460" t="s">
        <v>199</v>
      </c>
      <c r="F793" s="749">
        <v>18</v>
      </c>
      <c r="G793" s="3" t="s">
        <v>128</v>
      </c>
      <c r="H793" s="804"/>
      <c r="I793" s="762">
        <f>155.5+154.3+154.57</f>
        <v>464.37</v>
      </c>
      <c r="J793" s="804"/>
      <c r="K793" s="827" t="s">
        <v>2125</v>
      </c>
      <c r="L793" s="790">
        <v>45331</v>
      </c>
      <c r="M793" s="842"/>
      <c r="N793" s="842"/>
      <c r="O793" s="761" t="s">
        <v>62</v>
      </c>
      <c r="P793" s="3" t="s">
        <v>200</v>
      </c>
      <c r="Q793" s="842"/>
      <c r="R793" s="848"/>
      <c r="S793" s="3" t="s">
        <v>130</v>
      </c>
      <c r="T793" s="848"/>
      <c r="U793" s="762">
        <v>329.8</v>
      </c>
      <c r="V793" s="848"/>
      <c r="W793" s="848"/>
      <c r="X793" s="761" t="s">
        <v>2125</v>
      </c>
      <c r="Y793" s="761">
        <v>45331</v>
      </c>
      <c r="Z793" s="761" t="s">
        <v>62</v>
      </c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spans="1:56" ht="13.95" customHeight="1">
      <c r="B794" s="747">
        <v>2</v>
      </c>
      <c r="C794" s="748" t="s">
        <v>1792</v>
      </c>
      <c r="D794" s="784">
        <v>200104857</v>
      </c>
      <c r="E794" s="1460" t="s">
        <v>201</v>
      </c>
      <c r="F794" s="749">
        <v>19</v>
      </c>
      <c r="G794" s="3" t="s">
        <v>128</v>
      </c>
      <c r="H794" s="804"/>
      <c r="I794" s="762">
        <f>150.64+160.12+158.82</f>
        <v>469.58</v>
      </c>
      <c r="J794" s="804"/>
      <c r="K794" s="827" t="s">
        <v>2125</v>
      </c>
      <c r="L794" s="790">
        <v>45331</v>
      </c>
      <c r="M794" s="842"/>
      <c r="N794" s="842"/>
      <c r="O794" s="761" t="s">
        <v>62</v>
      </c>
      <c r="P794" s="3" t="s">
        <v>202</v>
      </c>
      <c r="Q794" s="842"/>
      <c r="R794" s="848"/>
      <c r="S794" s="3" t="s">
        <v>130</v>
      </c>
      <c r="T794" s="848"/>
      <c r="U794" s="762">
        <v>330.2</v>
      </c>
      <c r="V794" s="848"/>
      <c r="W794" s="848"/>
      <c r="X794" s="761" t="s">
        <v>2125</v>
      </c>
      <c r="Y794" s="761">
        <v>45341</v>
      </c>
      <c r="Z794" s="761" t="s">
        <v>62</v>
      </c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spans="1:56" ht="13.95" customHeight="1">
      <c r="B795" s="747">
        <v>2</v>
      </c>
      <c r="C795" s="748" t="s">
        <v>1792</v>
      </c>
      <c r="D795" s="784">
        <v>200104990</v>
      </c>
      <c r="E795" s="1460" t="s">
        <v>203</v>
      </c>
      <c r="F795" s="749">
        <v>20</v>
      </c>
      <c r="G795" s="3" t="s">
        <v>128</v>
      </c>
      <c r="H795" s="804"/>
      <c r="I795" s="762">
        <v>458.3</v>
      </c>
      <c r="J795" s="804"/>
      <c r="K795" s="827" t="s">
        <v>2125</v>
      </c>
      <c r="L795" s="790">
        <v>45337</v>
      </c>
      <c r="M795" s="842"/>
      <c r="N795" s="842"/>
      <c r="O795" s="761" t="s">
        <v>62</v>
      </c>
      <c r="P795" s="3" t="s">
        <v>204</v>
      </c>
      <c r="Q795" s="842"/>
      <c r="R795" s="848"/>
      <c r="S795" s="3" t="s">
        <v>130</v>
      </c>
      <c r="T795" s="848"/>
      <c r="U795" s="762">
        <v>330.1</v>
      </c>
      <c r="V795" s="848"/>
      <c r="W795" s="848"/>
      <c r="X795" s="761" t="s">
        <v>2125</v>
      </c>
      <c r="Y795" s="761">
        <v>45341</v>
      </c>
      <c r="Z795" s="761" t="s">
        <v>62</v>
      </c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spans="1:56" ht="13.95" customHeight="1">
      <c r="B796" s="747">
        <v>2</v>
      </c>
      <c r="C796" s="748" t="s">
        <v>1792</v>
      </c>
      <c r="D796" s="784">
        <v>200104991</v>
      </c>
      <c r="E796" s="1460" t="s">
        <v>205</v>
      </c>
      <c r="F796" s="749">
        <v>21</v>
      </c>
      <c r="G796" s="3" t="s">
        <v>128</v>
      </c>
      <c r="H796" s="804"/>
      <c r="I796" s="786">
        <v>463.6</v>
      </c>
      <c r="J796" s="804"/>
      <c r="K796" s="827" t="s">
        <v>2125</v>
      </c>
      <c r="L796" s="790">
        <v>45337</v>
      </c>
      <c r="M796" s="842"/>
      <c r="N796" s="842"/>
      <c r="O796" s="761" t="s">
        <v>62</v>
      </c>
      <c r="P796" s="3" t="s">
        <v>206</v>
      </c>
      <c r="Q796" s="842"/>
      <c r="R796" s="848"/>
      <c r="S796" s="3" t="s">
        <v>130</v>
      </c>
      <c r="T796" s="848"/>
      <c r="U796" s="762">
        <v>330</v>
      </c>
      <c r="V796" s="848"/>
      <c r="W796" s="848"/>
      <c r="X796" s="761" t="s">
        <v>2125</v>
      </c>
      <c r="Y796" s="761">
        <v>45341</v>
      </c>
      <c r="Z796" s="761" t="s">
        <v>62</v>
      </c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spans="1:56" ht="13.95" customHeight="1">
      <c r="B797" s="747">
        <v>2</v>
      </c>
      <c r="C797" s="748" t="s">
        <v>1792</v>
      </c>
      <c r="D797" s="784">
        <v>200104992</v>
      </c>
      <c r="E797" s="1460" t="s">
        <v>207</v>
      </c>
      <c r="F797" s="749">
        <v>22</v>
      </c>
      <c r="G797" s="3" t="s">
        <v>128</v>
      </c>
      <c r="H797" s="804"/>
      <c r="I797" s="3">
        <f>154.1+149+162.57</f>
        <v>465.67</v>
      </c>
      <c r="J797" s="804"/>
      <c r="K797" s="827" t="s">
        <v>2125</v>
      </c>
      <c r="L797" s="790">
        <v>45337</v>
      </c>
      <c r="M797" s="842"/>
      <c r="N797" s="842"/>
      <c r="O797" s="761" t="s">
        <v>62</v>
      </c>
      <c r="P797" s="3" t="s">
        <v>208</v>
      </c>
      <c r="Q797" s="842"/>
      <c r="R797" s="848"/>
      <c r="S797" s="3" t="s">
        <v>130</v>
      </c>
      <c r="T797" s="848"/>
      <c r="U797" s="762">
        <v>330</v>
      </c>
      <c r="V797" s="848"/>
      <c r="W797" s="848"/>
      <c r="X797" s="761" t="s">
        <v>2125</v>
      </c>
      <c r="Y797" s="761">
        <v>45342</v>
      </c>
      <c r="Z797" s="761" t="s">
        <v>62</v>
      </c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spans="1:56" ht="13.95" customHeight="1">
      <c r="B798" s="747">
        <v>2</v>
      </c>
      <c r="C798" s="748" t="s">
        <v>1792</v>
      </c>
      <c r="D798" s="784">
        <v>200104993</v>
      </c>
      <c r="E798" s="1460" t="s">
        <v>209</v>
      </c>
      <c r="F798" s="749">
        <v>23</v>
      </c>
      <c r="G798" s="3" t="s">
        <v>128</v>
      </c>
      <c r="H798" s="804"/>
      <c r="I798" s="3">
        <f>152.78+155.27+157.47</f>
        <v>465.52</v>
      </c>
      <c r="J798" s="804"/>
      <c r="K798" s="827" t="s">
        <v>2125</v>
      </c>
      <c r="L798" s="790">
        <v>45338</v>
      </c>
      <c r="M798" s="842"/>
      <c r="N798" s="842"/>
      <c r="O798" s="761" t="s">
        <v>62</v>
      </c>
      <c r="P798" s="3" t="s">
        <v>210</v>
      </c>
      <c r="Q798" s="842"/>
      <c r="R798" s="848"/>
      <c r="S798" s="3" t="s">
        <v>130</v>
      </c>
      <c r="T798" s="848"/>
      <c r="U798" s="762">
        <v>330</v>
      </c>
      <c r="V798" s="848"/>
      <c r="W798" s="848"/>
      <c r="X798" s="761" t="s">
        <v>2125</v>
      </c>
      <c r="Y798" s="761">
        <v>45342</v>
      </c>
      <c r="Z798" s="761" t="s">
        <v>62</v>
      </c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spans="1:56" ht="13.95" customHeight="1">
      <c r="B799" s="747">
        <v>2</v>
      </c>
      <c r="C799" s="748" t="s">
        <v>1792</v>
      </c>
      <c r="D799" s="784">
        <v>200104994</v>
      </c>
      <c r="E799" s="1460" t="s">
        <v>211</v>
      </c>
      <c r="F799" s="749">
        <v>24</v>
      </c>
      <c r="G799" s="3" t="s">
        <v>128</v>
      </c>
      <c r="H799" s="804"/>
      <c r="I799" s="762">
        <f>152.1+157.33+153.52</f>
        <v>462.95000000000005</v>
      </c>
      <c r="J799" s="804"/>
      <c r="K799" s="827" t="s">
        <v>2125</v>
      </c>
      <c r="L799" s="790">
        <v>45342</v>
      </c>
      <c r="M799" s="842"/>
      <c r="N799" s="842"/>
      <c r="O799" s="761" t="s">
        <v>62</v>
      </c>
      <c r="P799" s="3" t="s">
        <v>212</v>
      </c>
      <c r="Q799" s="842"/>
      <c r="R799" s="848"/>
      <c r="S799" s="3" t="s">
        <v>130</v>
      </c>
      <c r="T799" s="848"/>
      <c r="U799" s="762">
        <v>329.9</v>
      </c>
      <c r="V799" s="848"/>
      <c r="W799" s="848"/>
      <c r="X799" s="761" t="s">
        <v>2125</v>
      </c>
      <c r="Y799" s="761">
        <v>45342</v>
      </c>
      <c r="Z799" s="761" t="s">
        <v>62</v>
      </c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spans="1:56" s="807" customFormat="1" ht="16.05" customHeight="1">
      <c r="A800" s="3"/>
      <c r="B800" s="807" t="s">
        <v>13</v>
      </c>
      <c r="C800" s="857" t="s">
        <v>3316</v>
      </c>
      <c r="AM800" s="853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862"/>
    </row>
    <row r="801" spans="1:55" s="821" customFormat="1" ht="13.05" customHeight="1">
      <c r="A801" s="2"/>
      <c r="B801" s="747" t="s">
        <v>213</v>
      </c>
      <c r="C801" s="748" t="s">
        <v>1792</v>
      </c>
      <c r="D801" s="3">
        <v>200105024</v>
      </c>
      <c r="E801" s="1469" t="s">
        <v>214</v>
      </c>
      <c r="F801" s="3">
        <v>1</v>
      </c>
      <c r="G801" s="3" t="s">
        <v>128</v>
      </c>
      <c r="H801" s="804"/>
      <c r="I801" s="762">
        <f>155.7+152.9+158.9</f>
        <v>467.5</v>
      </c>
      <c r="J801" s="804"/>
      <c r="K801" s="827" t="s">
        <v>2125</v>
      </c>
      <c r="L801" s="790">
        <v>45342</v>
      </c>
      <c r="M801" s="842"/>
      <c r="N801" s="842"/>
      <c r="O801" s="761" t="s">
        <v>62</v>
      </c>
      <c r="P801" s="3" t="s">
        <v>215</v>
      </c>
      <c r="Q801" s="842"/>
      <c r="R801" s="848"/>
      <c r="S801" s="3" t="s">
        <v>130</v>
      </c>
      <c r="T801" s="848"/>
      <c r="U801" s="762">
        <v>330.2</v>
      </c>
      <c r="V801" s="848"/>
      <c r="W801" s="848"/>
      <c r="X801" s="3" t="s">
        <v>2125</v>
      </c>
      <c r="Y801" s="761">
        <v>45343</v>
      </c>
      <c r="Z801" s="761" t="s">
        <v>62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860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spans="1:55" ht="13.95" customHeight="1">
      <c r="B802" s="747" t="s">
        <v>213</v>
      </c>
      <c r="C802" s="748" t="s">
        <v>1792</v>
      </c>
      <c r="D802" s="784">
        <v>200105025</v>
      </c>
      <c r="E802" s="1460" t="s">
        <v>216</v>
      </c>
      <c r="F802" s="3">
        <v>2</v>
      </c>
      <c r="G802" s="3" t="s">
        <v>128</v>
      </c>
      <c r="H802" s="804"/>
      <c r="I802" s="762">
        <v>456.6</v>
      </c>
      <c r="J802" s="804"/>
      <c r="K802" s="827" t="s">
        <v>2125</v>
      </c>
      <c r="L802" s="790">
        <v>45343</v>
      </c>
      <c r="M802" s="842"/>
      <c r="N802" s="12"/>
      <c r="O802" s="761" t="s">
        <v>62</v>
      </c>
      <c r="P802" s="3" t="s">
        <v>217</v>
      </c>
      <c r="Q802" s="842"/>
      <c r="R802" s="848"/>
      <c r="S802" s="3" t="s">
        <v>130</v>
      </c>
      <c r="T802" s="848"/>
      <c r="U802" s="762">
        <v>330.4</v>
      </c>
      <c r="V802" s="848"/>
      <c r="W802" s="848"/>
      <c r="X802" s="761" t="s">
        <v>2125</v>
      </c>
      <c r="Y802" s="761">
        <v>45343</v>
      </c>
      <c r="Z802" s="761" t="s">
        <v>62</v>
      </c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861"/>
    </row>
    <row r="803" spans="1:55" ht="13.95" customHeight="1">
      <c r="B803" s="747" t="s">
        <v>213</v>
      </c>
      <c r="C803" s="748" t="s">
        <v>1792</v>
      </c>
      <c r="D803" s="784">
        <v>200105026</v>
      </c>
      <c r="E803" s="1460" t="s">
        <v>218</v>
      </c>
      <c r="F803" s="3">
        <v>3</v>
      </c>
      <c r="G803" s="3" t="s">
        <v>128</v>
      </c>
      <c r="H803" s="804"/>
      <c r="I803" s="762">
        <v>461.1</v>
      </c>
      <c r="J803" s="804"/>
      <c r="K803" s="827" t="s">
        <v>2125</v>
      </c>
      <c r="L803" s="790">
        <v>45343</v>
      </c>
      <c r="M803" s="842"/>
      <c r="N803" s="842"/>
      <c r="O803" s="761" t="s">
        <v>62</v>
      </c>
      <c r="P803" s="3" t="s">
        <v>219</v>
      </c>
      <c r="Q803" s="842"/>
      <c r="R803" s="848"/>
      <c r="S803" s="3" t="s">
        <v>130</v>
      </c>
      <c r="T803" s="848"/>
      <c r="U803" s="762">
        <v>330.1</v>
      </c>
      <c r="V803" s="848"/>
      <c r="W803" s="848"/>
      <c r="X803" s="761" t="s">
        <v>2125</v>
      </c>
      <c r="Y803" s="761">
        <v>45343</v>
      </c>
      <c r="Z803" s="761" t="s">
        <v>62</v>
      </c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861"/>
    </row>
    <row r="804" spans="1:55" ht="13.95" customHeight="1">
      <c r="B804" s="747" t="s">
        <v>213</v>
      </c>
      <c r="C804" s="748" t="s">
        <v>1792</v>
      </c>
      <c r="D804" s="784">
        <v>200105027</v>
      </c>
      <c r="E804" s="1460" t="s">
        <v>220</v>
      </c>
      <c r="F804" s="3">
        <v>4</v>
      </c>
      <c r="G804" s="3" t="s">
        <v>128</v>
      </c>
      <c r="H804" s="804"/>
      <c r="I804" s="762">
        <v>465.5</v>
      </c>
      <c r="J804" s="804"/>
      <c r="K804" s="827" t="s">
        <v>2125</v>
      </c>
      <c r="L804" s="790">
        <v>45343</v>
      </c>
      <c r="M804" s="842"/>
      <c r="N804" s="842"/>
      <c r="O804" s="761" t="s">
        <v>62</v>
      </c>
      <c r="P804" s="3" t="s">
        <v>221</v>
      </c>
      <c r="Q804" s="842"/>
      <c r="R804" s="848"/>
      <c r="S804" s="3" t="s">
        <v>130</v>
      </c>
      <c r="T804" s="848"/>
      <c r="U804" s="762">
        <v>330.3</v>
      </c>
      <c r="V804" s="848"/>
      <c r="W804" s="848"/>
      <c r="X804" s="761" t="s">
        <v>2125</v>
      </c>
      <c r="Y804" s="761">
        <v>45344</v>
      </c>
      <c r="Z804" s="761" t="s">
        <v>62</v>
      </c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861"/>
    </row>
    <row r="805" spans="1:55" ht="13.95" customHeight="1">
      <c r="B805" s="747" t="s">
        <v>213</v>
      </c>
      <c r="C805" s="748" t="s">
        <v>1792</v>
      </c>
      <c r="D805" s="784">
        <v>200105028</v>
      </c>
      <c r="E805" s="1460" t="s">
        <v>222</v>
      </c>
      <c r="F805" s="3">
        <v>5</v>
      </c>
      <c r="G805" s="3" t="s">
        <v>128</v>
      </c>
      <c r="H805" s="804"/>
      <c r="I805" s="786">
        <v>462.77</v>
      </c>
      <c r="J805" s="804"/>
      <c r="K805" s="827" t="s">
        <v>2125</v>
      </c>
      <c r="L805" s="790">
        <v>45343</v>
      </c>
      <c r="M805" s="842"/>
      <c r="N805" s="842"/>
      <c r="O805" s="761" t="s">
        <v>62</v>
      </c>
      <c r="P805" s="3" t="s">
        <v>223</v>
      </c>
      <c r="Q805" s="842"/>
      <c r="R805" s="848"/>
      <c r="S805" s="3" t="s">
        <v>130</v>
      </c>
      <c r="T805" s="848"/>
      <c r="U805" s="762">
        <v>330.3</v>
      </c>
      <c r="V805" s="848"/>
      <c r="W805" s="848"/>
      <c r="X805" s="761" t="s">
        <v>2125</v>
      </c>
      <c r="Y805" s="761">
        <v>45344</v>
      </c>
      <c r="Z805" s="761" t="s">
        <v>62</v>
      </c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861"/>
    </row>
    <row r="806" spans="1:55" ht="13.95" customHeight="1">
      <c r="B806" s="747" t="s">
        <v>213</v>
      </c>
      <c r="C806" s="748" t="s">
        <v>1792</v>
      </c>
      <c r="D806" s="784">
        <v>200105019</v>
      </c>
      <c r="E806" s="1460" t="s">
        <v>224</v>
      </c>
      <c r="F806" s="3">
        <v>6</v>
      </c>
      <c r="G806" s="3" t="s">
        <v>128</v>
      </c>
      <c r="H806" s="804"/>
      <c r="I806" s="786">
        <v>467.51</v>
      </c>
      <c r="J806" s="804"/>
      <c r="K806" s="827" t="s">
        <v>2125</v>
      </c>
      <c r="L806" s="790">
        <v>45343</v>
      </c>
      <c r="M806" s="842"/>
      <c r="N806" s="842"/>
      <c r="O806" s="761" t="s">
        <v>62</v>
      </c>
      <c r="P806" s="785" t="s">
        <v>225</v>
      </c>
      <c r="Q806" s="842"/>
      <c r="R806" s="848"/>
      <c r="S806" s="3" t="s">
        <v>130</v>
      </c>
      <c r="T806" s="848"/>
      <c r="U806" s="762">
        <v>330.4</v>
      </c>
      <c r="V806" s="848"/>
      <c r="W806" s="848"/>
      <c r="X806" s="761" t="s">
        <v>2125</v>
      </c>
      <c r="Y806" s="761">
        <v>45344</v>
      </c>
      <c r="Z806" s="761" t="s">
        <v>62</v>
      </c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861"/>
    </row>
    <row r="807" spans="1:55" ht="13.95" customHeight="1">
      <c r="B807" s="747" t="s">
        <v>213</v>
      </c>
      <c r="C807" s="748" t="s">
        <v>1792</v>
      </c>
      <c r="D807" s="784">
        <v>200105080</v>
      </c>
      <c r="E807" s="1460" t="s">
        <v>226</v>
      </c>
      <c r="F807" s="3">
        <v>7</v>
      </c>
      <c r="G807" s="3" t="s">
        <v>128</v>
      </c>
      <c r="H807" s="804"/>
      <c r="I807" s="762">
        <v>458.8</v>
      </c>
      <c r="J807" s="804"/>
      <c r="K807" s="827" t="s">
        <v>2125</v>
      </c>
      <c r="L807" s="790">
        <v>45344</v>
      </c>
      <c r="M807" s="842"/>
      <c r="N807" s="842"/>
      <c r="O807" s="761" t="s">
        <v>62</v>
      </c>
      <c r="P807" s="3" t="s">
        <v>227</v>
      </c>
      <c r="Q807" s="842"/>
      <c r="R807" s="848"/>
      <c r="S807" s="3" t="s">
        <v>130</v>
      </c>
      <c r="T807" s="848"/>
      <c r="U807" s="762">
        <v>330.2</v>
      </c>
      <c r="V807" s="848"/>
      <c r="W807" s="848"/>
      <c r="X807" s="761" t="s">
        <v>2125</v>
      </c>
      <c r="Y807" s="761">
        <v>45345</v>
      </c>
      <c r="Z807" s="761" t="s">
        <v>62</v>
      </c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861"/>
    </row>
    <row r="808" spans="1:55" ht="13.95" customHeight="1">
      <c r="B808" s="747" t="s">
        <v>213</v>
      </c>
      <c r="C808" s="748" t="s">
        <v>1792</v>
      </c>
      <c r="D808" s="784">
        <v>200105081</v>
      </c>
      <c r="E808" s="1460" t="s">
        <v>228</v>
      </c>
      <c r="F808" s="3">
        <v>8</v>
      </c>
      <c r="G808" s="3" t="s">
        <v>128</v>
      </c>
      <c r="H808" s="804"/>
      <c r="I808" s="762">
        <v>471.74</v>
      </c>
      <c r="J808" s="804"/>
      <c r="K808" s="827" t="s">
        <v>2125</v>
      </c>
      <c r="L808" s="790">
        <v>45344</v>
      </c>
      <c r="M808" s="842"/>
      <c r="N808" s="842"/>
      <c r="O808" s="761" t="s">
        <v>62</v>
      </c>
      <c r="P808" s="3" t="s">
        <v>229</v>
      </c>
      <c r="Q808" s="842"/>
      <c r="R808" s="848"/>
      <c r="S808" s="3" t="s">
        <v>130</v>
      </c>
      <c r="T808" s="848"/>
      <c r="U808" s="762">
        <v>330.2</v>
      </c>
      <c r="V808" s="848"/>
      <c r="W808" s="848"/>
      <c r="X808" s="761" t="s">
        <v>2125</v>
      </c>
      <c r="Y808" s="761">
        <v>45345</v>
      </c>
      <c r="Z808" s="761" t="s">
        <v>62</v>
      </c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861"/>
    </row>
    <row r="809" spans="1:55" ht="13.95" customHeight="1">
      <c r="B809" s="747" t="s">
        <v>213</v>
      </c>
      <c r="C809" s="748" t="s">
        <v>1792</v>
      </c>
      <c r="D809" s="784">
        <v>200105082</v>
      </c>
      <c r="E809" s="1460" t="s">
        <v>230</v>
      </c>
      <c r="F809" s="3">
        <v>9</v>
      </c>
      <c r="G809" s="3" t="s">
        <v>128</v>
      </c>
      <c r="H809" s="804"/>
      <c r="I809" s="762">
        <v>459.8</v>
      </c>
      <c r="J809" s="804"/>
      <c r="K809" s="827" t="s">
        <v>2125</v>
      </c>
      <c r="L809" s="790">
        <v>45348</v>
      </c>
      <c r="M809" s="842"/>
      <c r="N809" s="842"/>
      <c r="O809" s="761" t="s">
        <v>62</v>
      </c>
      <c r="P809" s="3" t="s">
        <v>231</v>
      </c>
      <c r="Q809" s="842"/>
      <c r="R809" s="848"/>
      <c r="S809" s="3" t="s">
        <v>130</v>
      </c>
      <c r="T809" s="848"/>
      <c r="U809" s="762">
        <v>329.9</v>
      </c>
      <c r="V809" s="848"/>
      <c r="W809" s="848"/>
      <c r="X809" s="761" t="s">
        <v>2125</v>
      </c>
      <c r="Y809" s="761">
        <v>45349</v>
      </c>
      <c r="Z809" s="761" t="s">
        <v>62</v>
      </c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861"/>
    </row>
    <row r="810" spans="1:55" ht="13.95" customHeight="1">
      <c r="B810" s="747" t="s">
        <v>213</v>
      </c>
      <c r="C810" s="748" t="s">
        <v>1792</v>
      </c>
      <c r="D810" s="784">
        <v>200105129</v>
      </c>
      <c r="E810" s="1460" t="s">
        <v>232</v>
      </c>
      <c r="F810" s="3">
        <v>10</v>
      </c>
      <c r="G810" s="3" t="s">
        <v>128</v>
      </c>
      <c r="H810" s="804"/>
      <c r="I810" s="858">
        <v>468.2</v>
      </c>
      <c r="J810" s="804"/>
      <c r="K810" s="827" t="s">
        <v>2125</v>
      </c>
      <c r="L810" s="790">
        <v>45348</v>
      </c>
      <c r="M810" s="842"/>
      <c r="N810" s="842"/>
      <c r="O810" s="761" t="s">
        <v>62</v>
      </c>
      <c r="P810" s="3" t="s">
        <v>233</v>
      </c>
      <c r="Q810" s="842"/>
      <c r="R810" s="848"/>
      <c r="S810" s="3" t="s">
        <v>130</v>
      </c>
      <c r="T810" s="848"/>
      <c r="U810" s="762">
        <v>329.8</v>
      </c>
      <c r="V810" s="848"/>
      <c r="W810" s="848"/>
      <c r="X810" s="761" t="s">
        <v>2125</v>
      </c>
      <c r="Y810" s="761">
        <v>45349</v>
      </c>
      <c r="Z810" s="761" t="s">
        <v>62</v>
      </c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861"/>
    </row>
    <row r="811" spans="1:55" ht="13.95" customHeight="1">
      <c r="B811" s="747" t="s">
        <v>213</v>
      </c>
      <c r="C811" s="748" t="s">
        <v>1792</v>
      </c>
      <c r="D811" s="784">
        <v>200105130</v>
      </c>
      <c r="E811" s="1460" t="s">
        <v>234</v>
      </c>
      <c r="F811" s="3">
        <v>11</v>
      </c>
      <c r="G811" s="3" t="s">
        <v>128</v>
      </c>
      <c r="H811" s="804"/>
      <c r="I811" s="762">
        <v>461.5</v>
      </c>
      <c r="J811" s="804"/>
      <c r="K811" s="827" t="s">
        <v>2125</v>
      </c>
      <c r="L811" s="790">
        <v>45348</v>
      </c>
      <c r="M811" s="842"/>
      <c r="N811" s="842"/>
      <c r="O811" s="761" t="s">
        <v>62</v>
      </c>
      <c r="P811" s="3" t="s">
        <v>235</v>
      </c>
      <c r="Q811" s="842"/>
      <c r="R811" s="848"/>
      <c r="S811" s="3" t="s">
        <v>130</v>
      </c>
      <c r="T811" s="848"/>
      <c r="U811" s="762">
        <v>329.9</v>
      </c>
      <c r="V811" s="848"/>
      <c r="W811" s="848"/>
      <c r="X811" s="761" t="s">
        <v>2125</v>
      </c>
      <c r="Y811" s="761">
        <v>45349</v>
      </c>
      <c r="Z811" s="761" t="s">
        <v>62</v>
      </c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861"/>
    </row>
    <row r="812" spans="1:55" ht="13.95" customHeight="1">
      <c r="B812" s="747" t="s">
        <v>213</v>
      </c>
      <c r="C812" s="748" t="s">
        <v>1792</v>
      </c>
      <c r="D812" s="784">
        <v>200105131</v>
      </c>
      <c r="E812" s="1460" t="s">
        <v>236</v>
      </c>
      <c r="F812" s="3">
        <v>12</v>
      </c>
      <c r="G812" s="3" t="s">
        <v>128</v>
      </c>
      <c r="H812" s="804"/>
      <c r="I812" s="786">
        <v>455.4</v>
      </c>
      <c r="J812" s="804"/>
      <c r="K812" s="827" t="s">
        <v>2125</v>
      </c>
      <c r="L812" s="790">
        <v>45348</v>
      </c>
      <c r="M812" s="842"/>
      <c r="N812" s="842"/>
      <c r="O812" s="761" t="s">
        <v>62</v>
      </c>
      <c r="P812" s="3" t="s">
        <v>233</v>
      </c>
      <c r="Q812" s="842"/>
      <c r="R812" s="848"/>
      <c r="S812" s="3" t="s">
        <v>130</v>
      </c>
      <c r="T812" s="848"/>
      <c r="U812" s="786">
        <v>329.9</v>
      </c>
      <c r="V812" s="848"/>
      <c r="W812" s="848"/>
      <c r="X812" s="761" t="s">
        <v>2125</v>
      </c>
      <c r="Y812" s="761">
        <v>45349</v>
      </c>
      <c r="Z812" s="761" t="s">
        <v>62</v>
      </c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861"/>
    </row>
    <row r="813" spans="1:55" ht="13.95" customHeight="1">
      <c r="B813" s="747" t="s">
        <v>213</v>
      </c>
      <c r="C813" s="748" t="s">
        <v>1792</v>
      </c>
      <c r="D813" s="784">
        <v>200105132</v>
      </c>
      <c r="E813" s="1460" t="s">
        <v>237</v>
      </c>
      <c r="F813" s="3">
        <v>13</v>
      </c>
      <c r="G813" s="3" t="s">
        <v>128</v>
      </c>
      <c r="H813" s="804"/>
      <c r="I813" s="786">
        <v>467.17</v>
      </c>
      <c r="J813" s="804"/>
      <c r="K813" s="827" t="s">
        <v>2125</v>
      </c>
      <c r="L813" s="790">
        <v>45348</v>
      </c>
      <c r="M813" s="842"/>
      <c r="N813" s="842"/>
      <c r="O813" s="761" t="s">
        <v>62</v>
      </c>
      <c r="P813" s="785" t="s">
        <v>238</v>
      </c>
      <c r="Q813" s="842"/>
      <c r="R813" s="848"/>
      <c r="S813" s="3" t="s">
        <v>130</v>
      </c>
      <c r="T813" s="848"/>
      <c r="U813" s="786">
        <v>330</v>
      </c>
      <c r="V813" s="848"/>
      <c r="W813" s="848"/>
      <c r="X813" s="761" t="s">
        <v>2125</v>
      </c>
      <c r="Y813" s="761">
        <v>45349</v>
      </c>
      <c r="Z813" s="761" t="s">
        <v>62</v>
      </c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861"/>
    </row>
    <row r="814" spans="1:55" ht="13.95" customHeight="1">
      <c r="B814" s="747" t="s">
        <v>213</v>
      </c>
      <c r="C814" s="748" t="s">
        <v>1792</v>
      </c>
      <c r="D814" s="784">
        <v>200105133</v>
      </c>
      <c r="E814" s="1460" t="s">
        <v>239</v>
      </c>
      <c r="F814" s="3">
        <v>14</v>
      </c>
      <c r="G814" s="3" t="s">
        <v>128</v>
      </c>
      <c r="H814" s="804"/>
      <c r="I814" s="786">
        <v>462</v>
      </c>
      <c r="J814" s="804"/>
      <c r="K814" s="827" t="s">
        <v>1716</v>
      </c>
      <c r="L814" s="790">
        <v>45356</v>
      </c>
      <c r="M814" s="842"/>
      <c r="N814" s="842"/>
      <c r="O814" s="761" t="s">
        <v>62</v>
      </c>
      <c r="P814" s="3" t="s">
        <v>240</v>
      </c>
      <c r="Q814" s="842"/>
      <c r="R814" s="848"/>
      <c r="S814" s="3" t="s">
        <v>130</v>
      </c>
      <c r="T814" s="848"/>
      <c r="U814" s="762">
        <v>330.2</v>
      </c>
      <c r="V814" s="848"/>
      <c r="W814" s="848"/>
      <c r="X814" s="761" t="s">
        <v>1716</v>
      </c>
      <c r="Y814" s="761">
        <v>45357</v>
      </c>
      <c r="Z814" s="761" t="s">
        <v>62</v>
      </c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861"/>
    </row>
    <row r="815" spans="1:55" ht="13.95" customHeight="1">
      <c r="B815" s="747" t="s">
        <v>213</v>
      </c>
      <c r="C815" s="748" t="s">
        <v>1792</v>
      </c>
      <c r="D815" s="784">
        <v>200105056</v>
      </c>
      <c r="E815" s="1460" t="s">
        <v>241</v>
      </c>
      <c r="F815" s="3">
        <v>15</v>
      </c>
      <c r="G815" s="3" t="s">
        <v>128</v>
      </c>
      <c r="H815" s="804"/>
      <c r="I815" s="762">
        <v>465.3</v>
      </c>
      <c r="J815" s="804"/>
      <c r="K815" s="827" t="s">
        <v>1716</v>
      </c>
      <c r="L815" s="790">
        <v>45356</v>
      </c>
      <c r="M815" s="842"/>
      <c r="N815" s="842"/>
      <c r="O815" s="761" t="s">
        <v>62</v>
      </c>
      <c r="P815" s="3" t="s">
        <v>242</v>
      </c>
      <c r="Q815" s="842"/>
      <c r="R815" s="848"/>
      <c r="S815" s="3" t="s">
        <v>130</v>
      </c>
      <c r="T815" s="848"/>
      <c r="U815" s="762">
        <v>330.3</v>
      </c>
      <c r="V815" s="848"/>
      <c r="W815" s="848"/>
      <c r="X815" s="761" t="s">
        <v>1716</v>
      </c>
      <c r="Y815" s="761">
        <v>45357</v>
      </c>
      <c r="Z815" s="761" t="s">
        <v>62</v>
      </c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861"/>
    </row>
    <row r="816" spans="1:55" ht="13.95" customHeight="1">
      <c r="B816" s="747" t="s">
        <v>213</v>
      </c>
      <c r="C816" s="748" t="s">
        <v>1792</v>
      </c>
      <c r="D816" s="784">
        <v>200105057</v>
      </c>
      <c r="E816" s="1460" t="s">
        <v>243</v>
      </c>
      <c r="F816" s="3">
        <v>16</v>
      </c>
      <c r="G816" s="3" t="s">
        <v>128</v>
      </c>
      <c r="H816" s="804"/>
      <c r="I816" s="762">
        <v>466.2</v>
      </c>
      <c r="J816" s="804"/>
      <c r="K816" s="827" t="s">
        <v>1716</v>
      </c>
      <c r="L816" s="790">
        <v>45356</v>
      </c>
      <c r="M816" s="842"/>
      <c r="N816" s="842"/>
      <c r="O816" s="761" t="s">
        <v>62</v>
      </c>
      <c r="P816" s="3" t="s">
        <v>244</v>
      </c>
      <c r="Q816" s="842"/>
      <c r="R816" s="848"/>
      <c r="S816" s="3" t="s">
        <v>130</v>
      </c>
      <c r="T816" s="848"/>
      <c r="U816" s="762">
        <v>330.1</v>
      </c>
      <c r="V816" s="848"/>
      <c r="W816" s="848"/>
      <c r="X816" s="761" t="s">
        <v>1716</v>
      </c>
      <c r="Y816" s="761">
        <v>45357</v>
      </c>
      <c r="Z816" s="761" t="s">
        <v>62</v>
      </c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861"/>
    </row>
    <row r="817" spans="2:39" ht="13.95" customHeight="1">
      <c r="B817" s="747" t="s">
        <v>213</v>
      </c>
      <c r="C817" s="748" t="s">
        <v>1792</v>
      </c>
      <c r="D817" s="784">
        <v>200105058</v>
      </c>
      <c r="E817" s="1460" t="s">
        <v>245</v>
      </c>
      <c r="F817" s="3">
        <v>17</v>
      </c>
      <c r="G817" s="3" t="s">
        <v>128</v>
      </c>
      <c r="H817" s="804"/>
      <c r="I817" s="786">
        <v>466.93</v>
      </c>
      <c r="J817" s="804"/>
      <c r="K817" s="827" t="s">
        <v>1716</v>
      </c>
      <c r="L817" s="790">
        <v>45356</v>
      </c>
      <c r="M817" s="842"/>
      <c r="N817" s="842"/>
      <c r="O817" s="761" t="s">
        <v>62</v>
      </c>
      <c r="P817" s="3" t="s">
        <v>246</v>
      </c>
      <c r="Q817" s="842"/>
      <c r="R817" s="848"/>
      <c r="S817" s="3" t="s">
        <v>130</v>
      </c>
      <c r="T817" s="848"/>
      <c r="U817" s="762">
        <v>330.2</v>
      </c>
      <c r="V817" s="848"/>
      <c r="W817" s="848"/>
      <c r="X817" s="761" t="s">
        <v>1716</v>
      </c>
      <c r="Y817" s="761">
        <v>45358</v>
      </c>
      <c r="Z817" s="761" t="s">
        <v>62</v>
      </c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861"/>
    </row>
    <row r="818" spans="2:39" ht="13.95" customHeight="1">
      <c r="B818" s="747" t="s">
        <v>213</v>
      </c>
      <c r="C818" s="748" t="s">
        <v>1792</v>
      </c>
      <c r="D818" s="784">
        <v>200105059</v>
      </c>
      <c r="E818" s="1460" t="s">
        <v>247</v>
      </c>
      <c r="F818" s="3">
        <v>18</v>
      </c>
      <c r="G818" s="3" t="s">
        <v>128</v>
      </c>
      <c r="H818" s="804"/>
      <c r="I818" s="786">
        <v>461.2</v>
      </c>
      <c r="J818" s="804"/>
      <c r="K818" s="827" t="s">
        <v>1716</v>
      </c>
      <c r="L818" s="790">
        <v>45359</v>
      </c>
      <c r="M818" s="842"/>
      <c r="N818" s="842"/>
      <c r="O818" s="761" t="s">
        <v>62</v>
      </c>
      <c r="P818" s="3" t="s">
        <v>248</v>
      </c>
      <c r="Q818" s="842"/>
      <c r="R818" s="848"/>
      <c r="S818" s="3" t="s">
        <v>130</v>
      </c>
      <c r="T818" s="848"/>
      <c r="U818" s="762">
        <v>330.2</v>
      </c>
      <c r="V818" s="848"/>
      <c r="W818" s="848"/>
      <c r="X818" s="761" t="s">
        <v>1716</v>
      </c>
      <c r="Y818" s="761">
        <v>45358</v>
      </c>
      <c r="Z818" s="761" t="s">
        <v>62</v>
      </c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861"/>
    </row>
    <row r="819" spans="2:39" ht="13.95" customHeight="1">
      <c r="B819" s="747" t="s">
        <v>213</v>
      </c>
      <c r="C819" s="748" t="s">
        <v>1792</v>
      </c>
      <c r="D819" s="784">
        <v>200105240</v>
      </c>
      <c r="E819" s="1460" t="s">
        <v>249</v>
      </c>
      <c r="F819" s="3">
        <v>19</v>
      </c>
      <c r="G819" s="3" t="s">
        <v>128</v>
      </c>
      <c r="H819" s="804"/>
      <c r="I819" s="786">
        <v>464.5</v>
      </c>
      <c r="J819" s="804"/>
      <c r="K819" s="827" t="s">
        <v>1716</v>
      </c>
      <c r="L819" s="790">
        <v>45359</v>
      </c>
      <c r="M819" s="842"/>
      <c r="N819" s="842"/>
      <c r="O819" s="761" t="s">
        <v>62</v>
      </c>
      <c r="P819" s="3" t="s">
        <v>250</v>
      </c>
      <c r="Q819" s="842"/>
      <c r="R819" s="848"/>
      <c r="S819" s="3" t="s">
        <v>130</v>
      </c>
      <c r="T819" s="848"/>
      <c r="U819" s="762">
        <v>330.2</v>
      </c>
      <c r="V819" s="848"/>
      <c r="W819" s="848"/>
      <c r="X819" s="761" t="s">
        <v>1716</v>
      </c>
      <c r="Y819" s="761">
        <v>45358</v>
      </c>
      <c r="Z819" s="761" t="s">
        <v>62</v>
      </c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861"/>
    </row>
    <row r="820" spans="2:39" ht="13.95" customHeight="1">
      <c r="B820" s="747" t="s">
        <v>213</v>
      </c>
      <c r="C820" s="748" t="s">
        <v>1792</v>
      </c>
      <c r="D820" s="784">
        <v>200105279</v>
      </c>
      <c r="E820" s="1460" t="s">
        <v>251</v>
      </c>
      <c r="F820" s="3">
        <v>20</v>
      </c>
      <c r="G820" s="3" t="s">
        <v>128</v>
      </c>
      <c r="H820" s="804"/>
      <c r="I820" s="786">
        <v>460.4</v>
      </c>
      <c r="J820" s="804"/>
      <c r="K820" s="827" t="s">
        <v>1716</v>
      </c>
      <c r="L820" s="790">
        <v>45363</v>
      </c>
      <c r="M820" s="842"/>
      <c r="N820" s="842"/>
      <c r="O820" s="761" t="s">
        <v>62</v>
      </c>
      <c r="P820" s="3" t="s">
        <v>252</v>
      </c>
      <c r="Q820" s="842"/>
      <c r="R820" s="848"/>
      <c r="S820" s="3" t="s">
        <v>130</v>
      </c>
      <c r="T820" s="848"/>
      <c r="U820" s="786">
        <v>330</v>
      </c>
      <c r="V820" s="848"/>
      <c r="W820" s="848"/>
      <c r="X820" s="761" t="s">
        <v>1716</v>
      </c>
      <c r="Y820" s="761">
        <v>45359</v>
      </c>
      <c r="Z820" s="761" t="s">
        <v>62</v>
      </c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861"/>
    </row>
    <row r="821" spans="2:39" ht="13.95" customHeight="1">
      <c r="B821" s="747" t="s">
        <v>213</v>
      </c>
      <c r="C821" s="748" t="s">
        <v>1792</v>
      </c>
      <c r="D821" s="784">
        <v>200105280</v>
      </c>
      <c r="E821" s="1460" t="s">
        <v>253</v>
      </c>
      <c r="F821" s="3">
        <v>21</v>
      </c>
      <c r="G821" s="3" t="s">
        <v>128</v>
      </c>
      <c r="H821" s="804"/>
      <c r="I821" s="762">
        <v>463.4</v>
      </c>
      <c r="J821" s="804"/>
      <c r="K821" s="827" t="s">
        <v>1716</v>
      </c>
      <c r="L821" s="790">
        <v>45364</v>
      </c>
      <c r="M821" s="842"/>
      <c r="N821" s="842"/>
      <c r="O821" s="761" t="s">
        <v>62</v>
      </c>
      <c r="P821" s="785" t="s">
        <v>254</v>
      </c>
      <c r="Q821" s="842"/>
      <c r="R821" s="848"/>
      <c r="S821" s="3" t="s">
        <v>130</v>
      </c>
      <c r="T821" s="848"/>
      <c r="U821" s="786">
        <v>330</v>
      </c>
      <c r="V821" s="848"/>
      <c r="W821" s="848"/>
      <c r="X821" s="761" t="s">
        <v>1716</v>
      </c>
      <c r="Y821" s="761">
        <v>45359</v>
      </c>
      <c r="Z821" s="761" t="s">
        <v>62</v>
      </c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861"/>
    </row>
    <row r="822" spans="2:39" ht="13.95" customHeight="1">
      <c r="B822" s="747" t="s">
        <v>213</v>
      </c>
      <c r="C822" s="748" t="s">
        <v>1792</v>
      </c>
      <c r="D822" s="784">
        <v>200105142</v>
      </c>
      <c r="E822" s="1460" t="s">
        <v>255</v>
      </c>
      <c r="F822" s="3">
        <v>22</v>
      </c>
      <c r="G822" s="3" t="s">
        <v>128</v>
      </c>
      <c r="H822" s="804"/>
      <c r="I822" s="762">
        <v>469.8</v>
      </c>
      <c r="J822" s="804"/>
      <c r="K822" s="827" t="s">
        <v>1716</v>
      </c>
      <c r="L822" s="790">
        <v>45364</v>
      </c>
      <c r="M822" s="842"/>
      <c r="N822" s="842"/>
      <c r="O822" s="761" t="s">
        <v>62</v>
      </c>
      <c r="P822" s="785" t="s">
        <v>256</v>
      </c>
      <c r="Q822" s="842"/>
      <c r="R822" s="848"/>
      <c r="S822" s="3" t="s">
        <v>130</v>
      </c>
      <c r="T822" s="848"/>
      <c r="U822" s="762">
        <v>329.92</v>
      </c>
      <c r="V822" s="848"/>
      <c r="W822" s="848"/>
      <c r="X822" s="761" t="s">
        <v>1716</v>
      </c>
      <c r="Y822" s="761">
        <v>45364</v>
      </c>
      <c r="Z822" s="761" t="s">
        <v>62</v>
      </c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861"/>
    </row>
    <row r="823" spans="2:39" ht="13.95" customHeight="1">
      <c r="B823" s="747" t="s">
        <v>213</v>
      </c>
      <c r="C823" s="748" t="s">
        <v>1792</v>
      </c>
      <c r="D823" s="784">
        <v>200105143</v>
      </c>
      <c r="E823" s="1460" t="s">
        <v>257</v>
      </c>
      <c r="F823" s="3">
        <v>23</v>
      </c>
      <c r="G823" s="3" t="s">
        <v>128</v>
      </c>
      <c r="H823" s="804"/>
      <c r="I823" s="762">
        <v>466</v>
      </c>
      <c r="J823" s="804"/>
      <c r="K823" s="827" t="s">
        <v>1716</v>
      </c>
      <c r="L823" s="790">
        <v>45364</v>
      </c>
      <c r="M823" s="842"/>
      <c r="N823" s="842"/>
      <c r="O823" s="761" t="s">
        <v>62</v>
      </c>
      <c r="P823" s="785" t="s">
        <v>258</v>
      </c>
      <c r="Q823" s="842"/>
      <c r="R823" s="848"/>
      <c r="S823" s="3" t="s">
        <v>130</v>
      </c>
      <c r="T823" s="848"/>
      <c r="U823" s="762">
        <v>330.2</v>
      </c>
      <c r="V823" s="848"/>
      <c r="W823" s="848"/>
      <c r="X823" s="761" t="s">
        <v>1716</v>
      </c>
      <c r="Y823" s="761">
        <v>45364</v>
      </c>
      <c r="Z823" s="761" t="s">
        <v>62</v>
      </c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861"/>
    </row>
    <row r="824" spans="2:39" ht="13.95" customHeight="1">
      <c r="B824" s="747" t="s">
        <v>213</v>
      </c>
      <c r="C824" s="748" t="s">
        <v>1792</v>
      </c>
      <c r="D824" s="784">
        <v>200105144</v>
      </c>
      <c r="E824" s="1460" t="s">
        <v>259</v>
      </c>
      <c r="F824" s="3">
        <v>24</v>
      </c>
      <c r="G824" s="3" t="s">
        <v>128</v>
      </c>
      <c r="H824" s="804"/>
      <c r="I824" s="786">
        <v>461.9</v>
      </c>
      <c r="J824" s="804"/>
      <c r="K824" s="827" t="s">
        <v>1716</v>
      </c>
      <c r="L824" s="790">
        <v>45366</v>
      </c>
      <c r="M824" s="842"/>
      <c r="N824" s="842"/>
      <c r="O824" s="761" t="s">
        <v>62</v>
      </c>
      <c r="P824" s="3" t="s">
        <v>260</v>
      </c>
      <c r="Q824" s="842"/>
      <c r="R824" s="848"/>
      <c r="S824" s="3" t="s">
        <v>130</v>
      </c>
      <c r="T824" s="848"/>
      <c r="U824" s="762">
        <v>330.2</v>
      </c>
      <c r="V824" s="848"/>
      <c r="W824" s="848"/>
      <c r="X824" s="761" t="s">
        <v>1716</v>
      </c>
      <c r="Y824" s="761">
        <v>45364</v>
      </c>
      <c r="Z824" s="761" t="s">
        <v>62</v>
      </c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861"/>
    </row>
    <row r="825" spans="2:39" ht="13.95" customHeight="1">
      <c r="B825" s="747" t="s">
        <v>213</v>
      </c>
      <c r="C825" s="748" t="s">
        <v>1792</v>
      </c>
      <c r="D825" s="784">
        <v>200105145</v>
      </c>
      <c r="E825" s="1460" t="s">
        <v>261</v>
      </c>
      <c r="F825" s="3">
        <v>25</v>
      </c>
      <c r="G825" s="3" t="s">
        <v>128</v>
      </c>
      <c r="H825" s="804"/>
      <c r="I825" s="762">
        <v>466</v>
      </c>
      <c r="J825" s="804"/>
      <c r="K825" s="827" t="s">
        <v>1716</v>
      </c>
      <c r="L825" s="790">
        <v>45365</v>
      </c>
      <c r="M825" s="842"/>
      <c r="N825" s="842"/>
      <c r="O825" s="761" t="s">
        <v>62</v>
      </c>
      <c r="P825" s="785" t="s">
        <v>262</v>
      </c>
      <c r="Q825" s="842"/>
      <c r="R825" s="848"/>
      <c r="S825" s="3" t="s">
        <v>130</v>
      </c>
      <c r="T825" s="848"/>
      <c r="U825" s="786">
        <v>330.3</v>
      </c>
      <c r="V825" s="848"/>
      <c r="W825" s="848"/>
      <c r="X825" s="761" t="s">
        <v>1716</v>
      </c>
      <c r="Y825" s="761">
        <v>45365</v>
      </c>
      <c r="Z825" s="761" t="s">
        <v>62</v>
      </c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861"/>
    </row>
    <row r="826" spans="2:39" ht="13.95" customHeight="1">
      <c r="B826" s="747" t="s">
        <v>213</v>
      </c>
      <c r="C826" s="748" t="s">
        <v>1792</v>
      </c>
      <c r="D826" s="784">
        <v>200105329</v>
      </c>
      <c r="E826" s="1460" t="s">
        <v>263</v>
      </c>
      <c r="F826" s="3">
        <v>26</v>
      </c>
      <c r="G826" s="3" t="s">
        <v>128</v>
      </c>
      <c r="H826" s="804"/>
      <c r="I826" s="786">
        <v>463.8</v>
      </c>
      <c r="J826" s="804"/>
      <c r="K826" s="827" t="s">
        <v>1716</v>
      </c>
      <c r="L826" s="790">
        <v>45369</v>
      </c>
      <c r="M826" s="842"/>
      <c r="N826" s="842"/>
      <c r="O826" s="761" t="s">
        <v>62</v>
      </c>
      <c r="P826" s="3" t="s">
        <v>264</v>
      </c>
      <c r="Q826" s="842"/>
      <c r="R826" s="848"/>
      <c r="S826" s="3" t="s">
        <v>130</v>
      </c>
      <c r="T826" s="848"/>
      <c r="U826" s="786">
        <v>330.4</v>
      </c>
      <c r="V826" s="848"/>
      <c r="W826" s="848"/>
      <c r="X826" s="761" t="s">
        <v>1716</v>
      </c>
      <c r="Y826" s="761">
        <v>45370</v>
      </c>
      <c r="Z826" s="761" t="s">
        <v>62</v>
      </c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861"/>
    </row>
    <row r="827" spans="2:39" ht="13.95" customHeight="1">
      <c r="B827" s="747" t="s">
        <v>213</v>
      </c>
      <c r="C827" s="748" t="s">
        <v>1792</v>
      </c>
      <c r="D827" s="784">
        <v>200105330</v>
      </c>
      <c r="E827" s="1460" t="s">
        <v>265</v>
      </c>
      <c r="F827" s="3">
        <v>27</v>
      </c>
      <c r="G827" s="3" t="s">
        <v>128</v>
      </c>
      <c r="H827" s="804"/>
      <c r="I827" s="786">
        <v>466.92</v>
      </c>
      <c r="J827" s="804"/>
      <c r="K827" s="827" t="s">
        <v>1716</v>
      </c>
      <c r="L827" s="790">
        <v>45369</v>
      </c>
      <c r="M827" s="842"/>
      <c r="N827" s="842"/>
      <c r="O827" s="761" t="s">
        <v>62</v>
      </c>
      <c r="P827" s="3" t="s">
        <v>266</v>
      </c>
      <c r="Q827" s="842"/>
      <c r="R827" s="848"/>
      <c r="S827" s="3" t="s">
        <v>130</v>
      </c>
      <c r="T827" s="848"/>
      <c r="U827" s="786">
        <v>330.2</v>
      </c>
      <c r="V827" s="848"/>
      <c r="W827" s="848"/>
      <c r="X827" s="761" t="s">
        <v>1716</v>
      </c>
      <c r="Y827" s="761">
        <v>45370</v>
      </c>
      <c r="Z827" s="761" t="s">
        <v>62</v>
      </c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861"/>
    </row>
    <row r="828" spans="2:39" ht="13.95" customHeight="1">
      <c r="B828" s="747" t="s">
        <v>213</v>
      </c>
      <c r="C828" s="748" t="s">
        <v>1792</v>
      </c>
      <c r="D828" s="784">
        <v>200105331</v>
      </c>
      <c r="E828" s="1460" t="s">
        <v>267</v>
      </c>
      <c r="F828" s="3">
        <v>28</v>
      </c>
      <c r="G828" s="3" t="s">
        <v>128</v>
      </c>
      <c r="H828" s="804"/>
      <c r="I828" s="786">
        <f>154.48+155.85+157.62</f>
        <v>467.95</v>
      </c>
      <c r="J828" s="804"/>
      <c r="K828" s="827" t="s">
        <v>1716</v>
      </c>
      <c r="L828" s="790">
        <v>45369</v>
      </c>
      <c r="M828" s="842"/>
      <c r="N828" s="842"/>
      <c r="O828" s="761" t="s">
        <v>62</v>
      </c>
      <c r="P828" s="785" t="s">
        <v>268</v>
      </c>
      <c r="Q828" s="842"/>
      <c r="R828" s="848"/>
      <c r="S828" s="3" t="s">
        <v>130</v>
      </c>
      <c r="T828" s="848"/>
      <c r="U828" s="786">
        <v>330.2</v>
      </c>
      <c r="V828" s="848"/>
      <c r="W828" s="848"/>
      <c r="X828" s="761" t="s">
        <v>1716</v>
      </c>
      <c r="Y828" s="761">
        <v>45370</v>
      </c>
      <c r="Z828" s="761" t="s">
        <v>62</v>
      </c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861"/>
    </row>
    <row r="829" spans="2:39" ht="13.95" customHeight="1">
      <c r="B829" s="747" t="s">
        <v>213</v>
      </c>
      <c r="C829" s="748" t="s">
        <v>1792</v>
      </c>
      <c r="D829" s="784">
        <v>200105332</v>
      </c>
      <c r="E829" s="1460" t="s">
        <v>269</v>
      </c>
      <c r="F829" s="3">
        <v>29</v>
      </c>
      <c r="G829" s="3" t="s">
        <v>128</v>
      </c>
      <c r="H829" s="804"/>
      <c r="I829" s="786">
        <f>157.96+155.44+155.96</f>
        <v>469.36</v>
      </c>
      <c r="J829" s="804"/>
      <c r="K829" s="827" t="s">
        <v>1716</v>
      </c>
      <c r="L829" s="790">
        <v>45369</v>
      </c>
      <c r="M829" s="842"/>
      <c r="N829" s="842"/>
      <c r="O829" s="761" t="s">
        <v>62</v>
      </c>
      <c r="P829" s="3" t="s">
        <v>270</v>
      </c>
      <c r="Q829" s="842"/>
      <c r="R829" s="848"/>
      <c r="S829" s="3" t="s">
        <v>130</v>
      </c>
      <c r="T829" s="848"/>
      <c r="U829" s="786">
        <v>330</v>
      </c>
      <c r="V829" s="848"/>
      <c r="W829" s="848"/>
      <c r="X829" s="761" t="s">
        <v>1716</v>
      </c>
      <c r="Y829" s="761">
        <v>45371</v>
      </c>
      <c r="Z829" s="761" t="s">
        <v>62</v>
      </c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861"/>
    </row>
    <row r="830" spans="2:39" ht="13.95" customHeight="1">
      <c r="B830" s="747" t="s">
        <v>213</v>
      </c>
      <c r="C830" s="748" t="s">
        <v>1792</v>
      </c>
      <c r="D830" s="784">
        <v>200105333</v>
      </c>
      <c r="E830" s="1460" t="s">
        <v>271</v>
      </c>
      <c r="F830" s="3">
        <v>30</v>
      </c>
      <c r="G830" s="3" t="s">
        <v>128</v>
      </c>
      <c r="H830" s="804"/>
      <c r="I830" s="786">
        <f>152.7+150.8+158.2</f>
        <v>461.7</v>
      </c>
      <c r="J830" s="804"/>
      <c r="K830" s="827" t="s">
        <v>1716</v>
      </c>
      <c r="L830" s="790">
        <v>45370</v>
      </c>
      <c r="M830" s="842"/>
      <c r="N830" s="842"/>
      <c r="O830" s="761" t="s">
        <v>62</v>
      </c>
      <c r="P830" s="785" t="s">
        <v>272</v>
      </c>
      <c r="Q830" s="842"/>
      <c r="R830" s="848"/>
      <c r="S830" s="3" t="s">
        <v>130</v>
      </c>
      <c r="T830" s="848"/>
      <c r="U830" s="786">
        <v>330.2</v>
      </c>
      <c r="V830" s="848"/>
      <c r="W830" s="848"/>
      <c r="X830" s="761" t="s">
        <v>1716</v>
      </c>
      <c r="Y830" s="761">
        <v>45371</v>
      </c>
      <c r="Z830" s="761" t="s">
        <v>62</v>
      </c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861"/>
    </row>
    <row r="831" spans="2:39" ht="13.95" customHeight="1">
      <c r="B831" s="747" t="s">
        <v>213</v>
      </c>
      <c r="C831" s="748" t="s">
        <v>1792</v>
      </c>
      <c r="D831" s="784">
        <v>200105380</v>
      </c>
      <c r="E831" s="1460" t="s">
        <v>273</v>
      </c>
      <c r="F831" s="3">
        <v>31</v>
      </c>
      <c r="G831" s="3" t="s">
        <v>128</v>
      </c>
      <c r="H831" s="804"/>
      <c r="I831" s="786">
        <f>154.8+155.7+156.1</f>
        <v>466.6</v>
      </c>
      <c r="J831" s="804"/>
      <c r="K831" s="827" t="s">
        <v>1716</v>
      </c>
      <c r="L831" s="790">
        <v>45370</v>
      </c>
      <c r="M831" s="842"/>
      <c r="N831" s="842"/>
      <c r="O831" s="761" t="s">
        <v>62</v>
      </c>
      <c r="P831" s="3" t="s">
        <v>274</v>
      </c>
      <c r="Q831" s="842"/>
      <c r="R831" s="848"/>
      <c r="S831" s="3" t="s">
        <v>130</v>
      </c>
      <c r="T831" s="848"/>
      <c r="U831" s="786">
        <v>330.2</v>
      </c>
      <c r="V831" s="848"/>
      <c r="W831" s="848"/>
      <c r="X831" s="761" t="s">
        <v>1716</v>
      </c>
      <c r="Y831" s="761">
        <v>45371</v>
      </c>
      <c r="Z831" s="761" t="s">
        <v>62</v>
      </c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861"/>
    </row>
    <row r="832" spans="2:39" ht="13.95" customHeight="1">
      <c r="B832" s="747" t="s">
        <v>213</v>
      </c>
      <c r="C832" s="748" t="s">
        <v>1792</v>
      </c>
      <c r="D832" s="784">
        <v>200105381</v>
      </c>
      <c r="E832" s="1460" t="s">
        <v>275</v>
      </c>
      <c r="F832" s="3">
        <v>32</v>
      </c>
      <c r="G832" s="3" t="s">
        <v>128</v>
      </c>
      <c r="H832" s="804"/>
      <c r="I832" s="786">
        <f>152.8+154.7+155.1</f>
        <v>462.6</v>
      </c>
      <c r="J832" s="804"/>
      <c r="K832" s="827" t="s">
        <v>1716</v>
      </c>
      <c r="L832" s="790">
        <v>45371</v>
      </c>
      <c r="M832" s="842"/>
      <c r="N832" s="842"/>
      <c r="O832" s="761" t="s">
        <v>62</v>
      </c>
      <c r="P832" s="785" t="s">
        <v>276</v>
      </c>
      <c r="Q832" s="842"/>
      <c r="R832" s="848"/>
      <c r="S832" s="3" t="s">
        <v>130</v>
      </c>
      <c r="T832" s="848"/>
      <c r="U832" s="786">
        <v>330.2</v>
      </c>
      <c r="V832" s="848"/>
      <c r="W832" s="848"/>
      <c r="X832" s="761" t="s">
        <v>1716</v>
      </c>
      <c r="Y832" s="761">
        <v>45371</v>
      </c>
      <c r="Z832" s="761" t="s">
        <v>62</v>
      </c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861"/>
    </row>
    <row r="833" spans="1:56" s="807" customFormat="1" ht="16.05" customHeight="1">
      <c r="A833" s="3"/>
      <c r="B833" s="807" t="s">
        <v>13</v>
      </c>
      <c r="C833" s="857" t="s">
        <v>3317</v>
      </c>
      <c r="AM833" s="853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862"/>
    </row>
    <row r="834" spans="1:56" ht="13.95" customHeight="1">
      <c r="B834" s="747" t="s">
        <v>277</v>
      </c>
      <c r="C834" s="748" t="s">
        <v>1792</v>
      </c>
      <c r="D834" s="784">
        <v>200105282</v>
      </c>
      <c r="E834" s="1460" t="s">
        <v>278</v>
      </c>
      <c r="F834" s="3">
        <v>1</v>
      </c>
      <c r="G834" s="3" t="s">
        <v>128</v>
      </c>
      <c r="H834" s="804"/>
      <c r="I834" s="762">
        <v>463</v>
      </c>
      <c r="J834" s="804"/>
      <c r="K834" s="827" t="s">
        <v>2185</v>
      </c>
      <c r="L834" s="790">
        <v>45378</v>
      </c>
      <c r="M834" s="842"/>
      <c r="N834" s="842"/>
      <c r="O834" s="761" t="s">
        <v>62</v>
      </c>
      <c r="P834" s="3" t="s">
        <v>279</v>
      </c>
      <c r="Q834" s="842"/>
      <c r="R834" s="848"/>
      <c r="S834" s="3" t="s">
        <v>130</v>
      </c>
      <c r="T834" s="848"/>
      <c r="U834" s="762">
        <v>330.3</v>
      </c>
      <c r="V834" s="848"/>
      <c r="W834" s="848"/>
      <c r="X834" s="761" t="s">
        <v>2185</v>
      </c>
      <c r="Y834" s="761">
        <v>45379</v>
      </c>
      <c r="Z834" s="761" t="s">
        <v>62</v>
      </c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861"/>
    </row>
    <row r="835" spans="1:56" ht="13.95" customHeight="1">
      <c r="B835" s="747" t="s">
        <v>277</v>
      </c>
      <c r="C835" s="748" t="s">
        <v>1792</v>
      </c>
      <c r="D835" s="784">
        <v>200105283</v>
      </c>
      <c r="E835" s="1460" t="s">
        <v>280</v>
      </c>
      <c r="F835" s="3">
        <v>2</v>
      </c>
      <c r="G835" s="3" t="s">
        <v>128</v>
      </c>
      <c r="H835" s="804"/>
      <c r="I835" s="786">
        <v>469.7</v>
      </c>
      <c r="J835" s="804"/>
      <c r="K835" s="827" t="s">
        <v>2185</v>
      </c>
      <c r="L835" s="790">
        <v>45378</v>
      </c>
      <c r="M835" s="842"/>
      <c r="N835" s="842"/>
      <c r="O835" s="761" t="s">
        <v>62</v>
      </c>
      <c r="P835" s="3" t="s">
        <v>281</v>
      </c>
      <c r="Q835" s="842"/>
      <c r="R835" s="848"/>
      <c r="S835" s="3" t="s">
        <v>130</v>
      </c>
      <c r="T835" s="848"/>
      <c r="U835" s="762">
        <v>330.3</v>
      </c>
      <c r="V835" s="848"/>
      <c r="W835" s="848"/>
      <c r="X835" s="761" t="s">
        <v>2185</v>
      </c>
      <c r="Y835" s="761">
        <v>45379</v>
      </c>
      <c r="Z835" s="761" t="s">
        <v>62</v>
      </c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861"/>
    </row>
    <row r="836" spans="1:56" ht="13.95" customHeight="1">
      <c r="B836" s="747" t="s">
        <v>277</v>
      </c>
      <c r="C836" s="748" t="s">
        <v>1792</v>
      </c>
      <c r="D836" s="784">
        <v>200105284</v>
      </c>
      <c r="E836" s="1460" t="s">
        <v>282</v>
      </c>
      <c r="F836" s="3">
        <v>3</v>
      </c>
      <c r="G836" s="3" t="s">
        <v>128</v>
      </c>
      <c r="H836" s="804"/>
      <c r="I836" s="762">
        <v>463.2</v>
      </c>
      <c r="J836" s="804"/>
      <c r="K836" s="827" t="s">
        <v>2185</v>
      </c>
      <c r="L836" s="790">
        <v>45379</v>
      </c>
      <c r="M836" s="842"/>
      <c r="N836" s="842"/>
      <c r="O836" s="761" t="s">
        <v>62</v>
      </c>
      <c r="P836" s="3" t="s">
        <v>283</v>
      </c>
      <c r="Q836" s="842"/>
      <c r="R836" s="848"/>
      <c r="S836" s="3" t="s">
        <v>130</v>
      </c>
      <c r="T836" s="848"/>
      <c r="U836" s="762">
        <v>330.3</v>
      </c>
      <c r="V836" s="848"/>
      <c r="W836" s="848"/>
      <c r="X836" s="761" t="s">
        <v>2185</v>
      </c>
      <c r="Y836" s="761">
        <v>45379</v>
      </c>
      <c r="Z836" s="761" t="s">
        <v>62</v>
      </c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861"/>
    </row>
    <row r="837" spans="1:56" ht="13.95" customHeight="1">
      <c r="B837" s="747" t="s">
        <v>277</v>
      </c>
      <c r="C837" s="748" t="s">
        <v>1792</v>
      </c>
      <c r="D837" s="784">
        <v>200105285</v>
      </c>
      <c r="E837" s="1460" t="s">
        <v>284</v>
      </c>
      <c r="F837" s="3">
        <v>4</v>
      </c>
      <c r="G837" s="3" t="s">
        <v>128</v>
      </c>
      <c r="H837" s="804"/>
      <c r="I837" s="762">
        <v>461.9</v>
      </c>
      <c r="J837" s="804"/>
      <c r="K837" s="827" t="s">
        <v>2185</v>
      </c>
      <c r="L837" s="790">
        <v>45379</v>
      </c>
      <c r="M837" s="842"/>
      <c r="N837" s="842"/>
      <c r="O837" s="761" t="s">
        <v>62</v>
      </c>
      <c r="P837" s="3" t="s">
        <v>285</v>
      </c>
      <c r="Q837" s="842"/>
      <c r="R837" s="848"/>
      <c r="S837" s="3" t="s">
        <v>130</v>
      </c>
      <c r="T837" s="848"/>
      <c r="U837" s="785">
        <v>330.1</v>
      </c>
      <c r="V837" s="848"/>
      <c r="W837" s="848"/>
      <c r="X837" s="761" t="s">
        <v>2272</v>
      </c>
      <c r="Y837" s="761">
        <v>45383</v>
      </c>
      <c r="Z837" s="761" t="s">
        <v>62</v>
      </c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861"/>
    </row>
    <row r="838" spans="1:56" ht="13.95" customHeight="1">
      <c r="B838" s="747" t="s">
        <v>277</v>
      </c>
      <c r="C838" s="748" t="s">
        <v>1792</v>
      </c>
      <c r="D838" s="784">
        <v>200105228</v>
      </c>
      <c r="E838" s="1460" t="s">
        <v>286</v>
      </c>
      <c r="F838" s="3">
        <v>5</v>
      </c>
      <c r="G838" s="3" t="s">
        <v>128</v>
      </c>
      <c r="H838" s="804"/>
      <c r="I838" s="786">
        <v>465.97</v>
      </c>
      <c r="J838" s="804"/>
      <c r="K838" s="827" t="s">
        <v>2185</v>
      </c>
      <c r="L838" s="790">
        <v>45379</v>
      </c>
      <c r="M838" s="842"/>
      <c r="N838" s="842"/>
      <c r="O838" s="761" t="s">
        <v>62</v>
      </c>
      <c r="P838" s="785" t="s">
        <v>287</v>
      </c>
      <c r="Q838" s="842"/>
      <c r="R838" s="848"/>
      <c r="S838" s="3" t="s">
        <v>130</v>
      </c>
      <c r="T838" s="848"/>
      <c r="U838" s="785">
        <v>330.1</v>
      </c>
      <c r="V838" s="848"/>
      <c r="W838" s="848"/>
      <c r="X838" s="761" t="s">
        <v>2272</v>
      </c>
      <c r="Y838" s="761">
        <v>45383</v>
      </c>
      <c r="Z838" s="761" t="s">
        <v>62</v>
      </c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861"/>
    </row>
    <row r="839" spans="1:56" ht="13.95" customHeight="1">
      <c r="B839" s="747" t="s">
        <v>277</v>
      </c>
      <c r="C839" s="748" t="s">
        <v>1792</v>
      </c>
      <c r="D839" s="784">
        <v>200105229</v>
      </c>
      <c r="E839" s="1460" t="s">
        <v>288</v>
      </c>
      <c r="F839" s="3">
        <v>6</v>
      </c>
      <c r="G839" s="3" t="s">
        <v>128</v>
      </c>
      <c r="H839" s="804"/>
      <c r="I839" s="786">
        <f>152.66+156.71+159.62</f>
        <v>468.99</v>
      </c>
      <c r="J839" s="804"/>
      <c r="K839" s="827" t="s">
        <v>2185</v>
      </c>
      <c r="L839" s="790">
        <v>45379</v>
      </c>
      <c r="M839" s="842"/>
      <c r="N839" s="842"/>
      <c r="O839" s="761" t="s">
        <v>62</v>
      </c>
      <c r="P839" s="785" t="s">
        <v>289</v>
      </c>
      <c r="Q839" s="842"/>
      <c r="R839" s="848"/>
      <c r="S839" s="3" t="s">
        <v>130</v>
      </c>
      <c r="T839" s="848"/>
      <c r="U839" s="785">
        <v>330</v>
      </c>
      <c r="V839" s="848"/>
      <c r="W839" s="848"/>
      <c r="X839" s="761" t="s">
        <v>2272</v>
      </c>
      <c r="Y839" s="761">
        <v>45384</v>
      </c>
      <c r="Z839" s="761" t="s">
        <v>62</v>
      </c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861"/>
    </row>
    <row r="840" spans="1:56" ht="13.95" customHeight="1">
      <c r="B840" s="747" t="s">
        <v>277</v>
      </c>
      <c r="C840" s="748" t="s">
        <v>1792</v>
      </c>
      <c r="D840" s="784">
        <v>200105230</v>
      </c>
      <c r="E840" s="1460" t="s">
        <v>290</v>
      </c>
      <c r="F840" s="3">
        <v>7</v>
      </c>
      <c r="G840" s="3" t="s">
        <v>128</v>
      </c>
      <c r="H840" s="804"/>
      <c r="I840" s="786">
        <v>461</v>
      </c>
      <c r="J840" s="804"/>
      <c r="K840" s="827" t="s">
        <v>2272</v>
      </c>
      <c r="L840" s="790">
        <v>45384</v>
      </c>
      <c r="M840" s="842"/>
      <c r="N840" s="842"/>
      <c r="O840" s="761" t="s">
        <v>62</v>
      </c>
      <c r="P840" s="3" t="s">
        <v>291</v>
      </c>
      <c r="Q840" s="842"/>
      <c r="R840" s="848"/>
      <c r="S840" s="3" t="s">
        <v>130</v>
      </c>
      <c r="T840" s="848"/>
      <c r="U840" s="3">
        <v>330</v>
      </c>
      <c r="V840" s="848"/>
      <c r="W840" s="848"/>
      <c r="X840" s="761" t="s">
        <v>2272</v>
      </c>
      <c r="Y840" s="761">
        <v>45384</v>
      </c>
      <c r="Z840" s="761" t="s">
        <v>62</v>
      </c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861"/>
    </row>
    <row r="841" spans="1:56" ht="13.95" customHeight="1">
      <c r="B841" s="747" t="s">
        <v>277</v>
      </c>
      <c r="C841" s="748" t="s">
        <v>1792</v>
      </c>
      <c r="D841" s="784">
        <v>200105231</v>
      </c>
      <c r="E841" s="1460" t="s">
        <v>292</v>
      </c>
      <c r="F841" s="3">
        <v>8</v>
      </c>
      <c r="G841" s="3" t="s">
        <v>128</v>
      </c>
      <c r="H841" s="804"/>
      <c r="I841" s="786">
        <f>154.2+153.9+156.9</f>
        <v>465</v>
      </c>
      <c r="J841" s="804"/>
      <c r="K841" s="827" t="s">
        <v>2272</v>
      </c>
      <c r="L841" s="790">
        <v>45384</v>
      </c>
      <c r="M841" s="842"/>
      <c r="N841" s="842"/>
      <c r="O841" s="761" t="s">
        <v>62</v>
      </c>
      <c r="P841" s="3" t="s">
        <v>293</v>
      </c>
      <c r="Q841" s="842"/>
      <c r="R841" s="848"/>
      <c r="S841" s="3" t="s">
        <v>130</v>
      </c>
      <c r="T841" s="848"/>
      <c r="U841" s="3">
        <v>330.1</v>
      </c>
      <c r="V841" s="848"/>
      <c r="W841" s="848"/>
      <c r="X841" s="761" t="s">
        <v>2272</v>
      </c>
      <c r="Y841" s="761">
        <v>45384</v>
      </c>
      <c r="Z841" s="761" t="s">
        <v>62</v>
      </c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861"/>
    </row>
    <row r="842" spans="1:56" ht="13.95" customHeight="1">
      <c r="B842" s="747" t="s">
        <v>277</v>
      </c>
      <c r="C842" s="748" t="s">
        <v>1792</v>
      </c>
      <c r="D842" s="784">
        <v>200105232</v>
      </c>
      <c r="E842" s="1460" t="s">
        <v>294</v>
      </c>
      <c r="F842" s="3">
        <v>9</v>
      </c>
      <c r="G842" s="3" t="s">
        <v>128</v>
      </c>
      <c r="H842" s="804"/>
      <c r="I842" s="786">
        <f>150.2+162.1+153.4</f>
        <v>465.69999999999993</v>
      </c>
      <c r="J842" s="804"/>
      <c r="K842" s="827" t="s">
        <v>2272</v>
      </c>
      <c r="L842" s="790">
        <v>45384</v>
      </c>
      <c r="M842" s="842"/>
      <c r="N842" s="842"/>
      <c r="O842" s="761" t="s">
        <v>62</v>
      </c>
      <c r="P842" s="785" t="s">
        <v>295</v>
      </c>
      <c r="Q842" s="842"/>
      <c r="R842" s="848"/>
      <c r="S842" s="3" t="s">
        <v>130</v>
      </c>
      <c r="T842" s="848"/>
      <c r="U842" s="3">
        <v>330.2</v>
      </c>
      <c r="V842" s="848"/>
      <c r="W842" s="848"/>
      <c r="X842" s="761" t="s">
        <v>2272</v>
      </c>
      <c r="Y842" s="761">
        <v>45385</v>
      </c>
      <c r="Z842" s="761" t="s">
        <v>62</v>
      </c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861"/>
    </row>
    <row r="843" spans="1:56" ht="13.95" customHeight="1">
      <c r="B843" s="747" t="s">
        <v>277</v>
      </c>
      <c r="C843" s="748" t="s">
        <v>1792</v>
      </c>
      <c r="D843" s="784">
        <v>200105233</v>
      </c>
      <c r="E843" s="1460" t="s">
        <v>296</v>
      </c>
      <c r="F843" s="3">
        <v>10</v>
      </c>
      <c r="G843" s="3" t="s">
        <v>128</v>
      </c>
      <c r="H843" s="804"/>
      <c r="I843" s="786">
        <f>156.3+157.2+155.3</f>
        <v>468.8</v>
      </c>
      <c r="J843" s="804"/>
      <c r="K843" s="827" t="s">
        <v>2272</v>
      </c>
      <c r="L843" s="790">
        <v>45384</v>
      </c>
      <c r="M843" s="842"/>
      <c r="N843" s="842"/>
      <c r="O843" s="761" t="s">
        <v>62</v>
      </c>
      <c r="P843" s="3" t="s">
        <v>297</v>
      </c>
      <c r="Q843" s="842"/>
      <c r="R843" s="848"/>
      <c r="S843" s="3" t="s">
        <v>130</v>
      </c>
      <c r="T843" s="848"/>
      <c r="U843" s="785">
        <v>329.8</v>
      </c>
      <c r="V843" s="848"/>
      <c r="W843" s="848"/>
      <c r="X843" s="761" t="s">
        <v>2272</v>
      </c>
      <c r="Y843" s="761">
        <v>45385</v>
      </c>
      <c r="Z843" s="761" t="s">
        <v>62</v>
      </c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861"/>
    </row>
    <row r="844" spans="1:56" ht="13.95" customHeight="1">
      <c r="B844" s="747" t="s">
        <v>277</v>
      </c>
      <c r="C844" s="748" t="s">
        <v>1792</v>
      </c>
      <c r="D844" s="784">
        <v>200105496</v>
      </c>
      <c r="E844" s="1460" t="s">
        <v>298</v>
      </c>
      <c r="F844" s="3">
        <v>11</v>
      </c>
      <c r="G844" s="3" t="s">
        <v>128</v>
      </c>
      <c r="H844" s="804"/>
      <c r="I844" s="863">
        <f>153.4+150.2+159.4</f>
        <v>463</v>
      </c>
      <c r="J844" s="804"/>
      <c r="K844" s="827" t="s">
        <v>2272</v>
      </c>
      <c r="L844" s="790">
        <v>45385</v>
      </c>
      <c r="M844" s="842"/>
      <c r="N844" s="842"/>
      <c r="O844" s="761" t="s">
        <v>62</v>
      </c>
      <c r="P844" s="3" t="s">
        <v>299</v>
      </c>
      <c r="Q844" s="842"/>
      <c r="R844" s="848"/>
      <c r="S844" s="3" t="s">
        <v>130</v>
      </c>
      <c r="T844" s="848"/>
      <c r="U844" s="3">
        <v>330.08</v>
      </c>
      <c r="V844" s="848"/>
      <c r="W844" s="848"/>
      <c r="X844" s="761" t="s">
        <v>2272</v>
      </c>
      <c r="Y844" s="761">
        <v>45385</v>
      </c>
      <c r="Z844" s="761" t="s">
        <v>62</v>
      </c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861"/>
    </row>
    <row r="845" spans="1:56" ht="13.95" customHeight="1">
      <c r="B845" s="747" t="s">
        <v>277</v>
      </c>
      <c r="C845" s="748" t="s">
        <v>1792</v>
      </c>
      <c r="D845" s="784">
        <v>200105497</v>
      </c>
      <c r="E845" s="1460" t="s">
        <v>300</v>
      </c>
      <c r="F845" s="3">
        <v>12</v>
      </c>
      <c r="G845" s="3" t="s">
        <v>128</v>
      </c>
      <c r="H845" s="804"/>
      <c r="I845" s="863">
        <f>150.8+160.3+152.3</f>
        <v>463.40000000000003</v>
      </c>
      <c r="J845" s="804"/>
      <c r="K845" s="827" t="s">
        <v>2272</v>
      </c>
      <c r="L845" s="790">
        <v>45385</v>
      </c>
      <c r="M845" s="842"/>
      <c r="N845" s="842"/>
      <c r="O845" s="761" t="s">
        <v>62</v>
      </c>
      <c r="P845" s="3" t="s">
        <v>301</v>
      </c>
      <c r="Q845" s="842"/>
      <c r="R845" s="848"/>
      <c r="S845" s="3" t="s">
        <v>130</v>
      </c>
      <c r="T845" s="848"/>
      <c r="U845" s="785">
        <v>330</v>
      </c>
      <c r="V845" s="848"/>
      <c r="W845" s="848"/>
      <c r="X845" s="761" t="s">
        <v>2272</v>
      </c>
      <c r="Y845" s="761">
        <v>45386</v>
      </c>
      <c r="Z845" s="761" t="s">
        <v>62</v>
      </c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861"/>
    </row>
    <row r="846" spans="1:56" ht="13.95" customHeight="1">
      <c r="B846" s="747" t="s">
        <v>277</v>
      </c>
      <c r="C846" s="748" t="s">
        <v>1792</v>
      </c>
      <c r="D846" s="784">
        <v>200105498</v>
      </c>
      <c r="E846" s="1460" t="s">
        <v>302</v>
      </c>
      <c r="F846" s="3">
        <v>13</v>
      </c>
      <c r="G846" s="3" t="s">
        <v>128</v>
      </c>
      <c r="H846" s="804"/>
      <c r="I846" s="859">
        <f>157.8+155.1+158.2</f>
        <v>471.09999999999997</v>
      </c>
      <c r="J846" s="804"/>
      <c r="K846" s="827" t="s">
        <v>2272</v>
      </c>
      <c r="L846" s="790">
        <v>45385</v>
      </c>
      <c r="M846" s="842"/>
      <c r="N846" s="842"/>
      <c r="O846" s="761" t="s">
        <v>62</v>
      </c>
      <c r="P846" s="3" t="s">
        <v>303</v>
      </c>
      <c r="Q846" s="842"/>
      <c r="R846" s="848"/>
      <c r="S846" s="3" t="s">
        <v>130</v>
      </c>
      <c r="T846" s="848"/>
      <c r="U846" s="785">
        <v>329.9</v>
      </c>
      <c r="V846" s="848"/>
      <c r="W846" s="848"/>
      <c r="X846" s="761" t="s">
        <v>2272</v>
      </c>
      <c r="Y846" s="761">
        <v>45386</v>
      </c>
      <c r="Z846" s="761" t="s">
        <v>62</v>
      </c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861"/>
    </row>
    <row r="847" spans="1:56" ht="13.95" customHeight="1">
      <c r="B847" s="747" t="s">
        <v>277</v>
      </c>
      <c r="C847" s="748" t="s">
        <v>1792</v>
      </c>
      <c r="D847" s="784">
        <v>200105499</v>
      </c>
      <c r="E847" s="1460" t="s">
        <v>304</v>
      </c>
      <c r="F847" s="3">
        <v>14</v>
      </c>
      <c r="G847" s="3" t="s">
        <v>128</v>
      </c>
      <c r="H847" s="804"/>
      <c r="I847" s="863">
        <f>149.6+161.1+158.6</f>
        <v>469.29999999999995</v>
      </c>
      <c r="J847" s="804"/>
      <c r="K847" s="827" t="s">
        <v>2272</v>
      </c>
      <c r="L847" s="790">
        <v>45385</v>
      </c>
      <c r="M847" s="842"/>
      <c r="N847" s="842"/>
      <c r="O847" s="761" t="s">
        <v>62</v>
      </c>
      <c r="P847" s="3" t="s">
        <v>305</v>
      </c>
      <c r="Q847" s="842"/>
      <c r="R847" s="848"/>
      <c r="S847" s="3" t="s">
        <v>130</v>
      </c>
      <c r="T847" s="848"/>
      <c r="U847" s="785">
        <v>330</v>
      </c>
      <c r="V847" s="848"/>
      <c r="W847" s="848"/>
      <c r="X847" s="761" t="s">
        <v>2272</v>
      </c>
      <c r="Y847" s="761">
        <v>45386</v>
      </c>
      <c r="Z847" s="761" t="s">
        <v>62</v>
      </c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861"/>
    </row>
    <row r="848" spans="1:56" ht="13.95" customHeight="1">
      <c r="B848" s="747" t="s">
        <v>277</v>
      </c>
      <c r="C848" s="748" t="s">
        <v>1792</v>
      </c>
      <c r="D848" s="784">
        <v>200105502</v>
      </c>
      <c r="E848" s="1460" t="s">
        <v>306</v>
      </c>
      <c r="F848" s="3">
        <v>15</v>
      </c>
      <c r="G848" s="3" t="s">
        <v>128</v>
      </c>
      <c r="H848" s="804"/>
      <c r="I848" s="786">
        <f>151.18+155.51+156.86</f>
        <v>463.55</v>
      </c>
      <c r="J848" s="804"/>
      <c r="K848" s="827" t="s">
        <v>2272</v>
      </c>
      <c r="L848" s="790">
        <v>45386</v>
      </c>
      <c r="M848" s="842"/>
      <c r="N848" s="842"/>
      <c r="O848" s="761" t="s">
        <v>62</v>
      </c>
      <c r="P848" s="3" t="s">
        <v>307</v>
      </c>
      <c r="Q848" s="842"/>
      <c r="R848" s="848"/>
      <c r="S848" s="3" t="s">
        <v>130</v>
      </c>
      <c r="T848" s="848"/>
      <c r="U848" s="3">
        <v>329.9</v>
      </c>
      <c r="V848" s="848"/>
      <c r="W848" s="848"/>
      <c r="X848" s="761" t="s">
        <v>2272</v>
      </c>
      <c r="Y848" s="761">
        <v>45386</v>
      </c>
      <c r="Z848" s="761" t="s">
        <v>62</v>
      </c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861"/>
    </row>
    <row r="849" spans="1:56" ht="13.95" customHeight="1">
      <c r="B849" s="747" t="s">
        <v>277</v>
      </c>
      <c r="C849" s="748" t="s">
        <v>1792</v>
      </c>
      <c r="D849" s="784">
        <v>200105503</v>
      </c>
      <c r="E849" s="1460" t="s">
        <v>308</v>
      </c>
      <c r="F849" s="3">
        <v>16</v>
      </c>
      <c r="G849" s="3" t="s">
        <v>128</v>
      </c>
      <c r="H849" s="804"/>
      <c r="I849" s="786">
        <f>157.67+153.87+157.74</f>
        <v>469.28</v>
      </c>
      <c r="J849" s="804"/>
      <c r="K849" s="827" t="s">
        <v>2272</v>
      </c>
      <c r="L849" s="790">
        <v>45386</v>
      </c>
      <c r="M849" s="842"/>
      <c r="N849" s="842"/>
      <c r="O849" s="761" t="s">
        <v>62</v>
      </c>
      <c r="P849" s="3" t="s">
        <v>309</v>
      </c>
      <c r="Q849" s="842"/>
      <c r="R849" s="848"/>
      <c r="S849" s="3" t="s">
        <v>130</v>
      </c>
      <c r="T849" s="848"/>
      <c r="U849" s="859">
        <v>330</v>
      </c>
      <c r="V849" s="848"/>
      <c r="W849" s="848"/>
      <c r="X849" s="761" t="s">
        <v>2272</v>
      </c>
      <c r="Y849" s="761">
        <v>45387</v>
      </c>
      <c r="Z849" s="761" t="s">
        <v>62</v>
      </c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861"/>
    </row>
    <row r="850" spans="1:56" ht="13.95" customHeight="1">
      <c r="B850" s="747" t="s">
        <v>277</v>
      </c>
      <c r="C850" s="748" t="s">
        <v>1792</v>
      </c>
      <c r="D850" s="784">
        <v>200105504</v>
      </c>
      <c r="E850" s="1460" t="s">
        <v>310</v>
      </c>
      <c r="F850" s="3">
        <v>17</v>
      </c>
      <c r="G850" s="3" t="s">
        <v>128</v>
      </c>
      <c r="H850" s="804"/>
      <c r="I850" s="786">
        <f>152.53+157.26+154.56</f>
        <v>464.34999999999997</v>
      </c>
      <c r="J850" s="804"/>
      <c r="K850" s="827" t="s">
        <v>2272</v>
      </c>
      <c r="L850" s="790">
        <v>45386</v>
      </c>
      <c r="M850" s="842"/>
      <c r="N850" s="842"/>
      <c r="O850" s="761" t="s">
        <v>62</v>
      </c>
      <c r="P850" s="3" t="s">
        <v>311</v>
      </c>
      <c r="Q850" s="842"/>
      <c r="R850" s="848"/>
      <c r="S850" s="3" t="s">
        <v>130</v>
      </c>
      <c r="T850" s="848"/>
      <c r="U850" s="859">
        <v>330</v>
      </c>
      <c r="V850" s="848"/>
      <c r="W850" s="848"/>
      <c r="X850" s="761" t="s">
        <v>2272</v>
      </c>
      <c r="Y850" s="761">
        <v>45387</v>
      </c>
      <c r="Z850" s="761" t="s">
        <v>62</v>
      </c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861"/>
    </row>
    <row r="851" spans="1:56" ht="13.95" customHeight="1">
      <c r="B851" s="747" t="s">
        <v>277</v>
      </c>
      <c r="C851" s="748" t="s">
        <v>1792</v>
      </c>
      <c r="D851" s="784">
        <v>200105505</v>
      </c>
      <c r="E851" s="1460" t="s">
        <v>312</v>
      </c>
      <c r="F851" s="3">
        <v>18</v>
      </c>
      <c r="G851" s="3" t="s">
        <v>128</v>
      </c>
      <c r="H851" s="804"/>
      <c r="I851" s="786">
        <f>153.1+154.2+157.4</f>
        <v>464.69999999999993</v>
      </c>
      <c r="J851" s="804"/>
      <c r="K851" s="827" t="s">
        <v>2272</v>
      </c>
      <c r="L851" s="790">
        <v>45386</v>
      </c>
      <c r="M851" s="842"/>
      <c r="N851" s="842"/>
      <c r="O851" s="761" t="s">
        <v>62</v>
      </c>
      <c r="P851" s="785" t="s">
        <v>313</v>
      </c>
      <c r="Q851" s="842"/>
      <c r="R851" s="848"/>
      <c r="S851" s="3" t="s">
        <v>130</v>
      </c>
      <c r="T851" s="848"/>
      <c r="U851" s="859">
        <v>330</v>
      </c>
      <c r="V851" s="848"/>
      <c r="W851" s="848"/>
      <c r="X851" s="761" t="s">
        <v>2272</v>
      </c>
      <c r="Y851" s="761">
        <v>45397</v>
      </c>
      <c r="Z851" s="761" t="s">
        <v>62</v>
      </c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861"/>
    </row>
    <row r="852" spans="1:56" ht="13.95" customHeight="1">
      <c r="B852" s="747" t="s">
        <v>277</v>
      </c>
      <c r="C852" s="748" t="s">
        <v>1792</v>
      </c>
      <c r="D852" s="784">
        <v>200105506</v>
      </c>
      <c r="E852" s="1460" t="s">
        <v>314</v>
      </c>
      <c r="F852" s="3">
        <v>19</v>
      </c>
      <c r="G852" s="3" t="s">
        <v>128</v>
      </c>
      <c r="H852" s="804"/>
      <c r="I852" s="786">
        <f>150.36+156.19+151.23</f>
        <v>457.78</v>
      </c>
      <c r="J852" s="804"/>
      <c r="K852" s="827" t="s">
        <v>2272</v>
      </c>
      <c r="L852" s="790">
        <v>45386</v>
      </c>
      <c r="M852" s="842"/>
      <c r="N852" s="842"/>
      <c r="O852" s="761" t="s">
        <v>62</v>
      </c>
      <c r="P852" s="785" t="s">
        <v>315</v>
      </c>
      <c r="Q852" s="842"/>
      <c r="R852" s="848"/>
      <c r="S852" s="3" t="s">
        <v>130</v>
      </c>
      <c r="T852" s="848"/>
      <c r="U852" s="859">
        <v>330</v>
      </c>
      <c r="V852" s="848"/>
      <c r="W852" s="848"/>
      <c r="X852" s="761" t="s">
        <v>2272</v>
      </c>
      <c r="Y852" s="761">
        <v>45397</v>
      </c>
      <c r="Z852" s="761" t="s">
        <v>62</v>
      </c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861"/>
    </row>
    <row r="853" spans="1:56" ht="13.95" customHeight="1">
      <c r="B853" s="747" t="s">
        <v>277</v>
      </c>
      <c r="C853" s="748" t="s">
        <v>1792</v>
      </c>
      <c r="D853" s="784">
        <v>200105507</v>
      </c>
      <c r="E853" s="1460" t="s">
        <v>316</v>
      </c>
      <c r="F853" s="3">
        <v>20</v>
      </c>
      <c r="G853" s="3" t="s">
        <v>128</v>
      </c>
      <c r="H853" s="804"/>
      <c r="I853" s="786">
        <f>156.8+154.1+154.3</f>
        <v>465.2</v>
      </c>
      <c r="J853" s="804"/>
      <c r="K853" s="827" t="s">
        <v>2272</v>
      </c>
      <c r="L853" s="790">
        <v>45386</v>
      </c>
      <c r="M853" s="842"/>
      <c r="N853" s="842"/>
      <c r="O853" s="761" t="s">
        <v>62</v>
      </c>
      <c r="P853" s="3" t="s">
        <v>317</v>
      </c>
      <c r="Q853" s="842"/>
      <c r="R853" s="848"/>
      <c r="S853" s="3" t="s">
        <v>130</v>
      </c>
      <c r="T853" s="848"/>
      <c r="U853" s="762">
        <v>329.8</v>
      </c>
      <c r="V853" s="848"/>
      <c r="W853" s="848"/>
      <c r="X853" s="761" t="s">
        <v>2272</v>
      </c>
      <c r="Y853" s="761">
        <v>45398</v>
      </c>
      <c r="Z853" s="761" t="s">
        <v>62</v>
      </c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861"/>
    </row>
    <row r="854" spans="1:56" s="807" customFormat="1" ht="16.05" customHeight="1">
      <c r="A854" s="3"/>
      <c r="B854" s="807" t="s">
        <v>13</v>
      </c>
      <c r="C854" s="857" t="s">
        <v>3318</v>
      </c>
      <c r="AM854" s="853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862"/>
    </row>
    <row r="855" spans="1:56" ht="13.95" customHeight="1">
      <c r="B855" s="747" t="s">
        <v>57</v>
      </c>
      <c r="C855" s="748" t="s">
        <v>1792</v>
      </c>
      <c r="D855" s="784">
        <v>200105646</v>
      </c>
      <c r="E855" s="1460" t="s">
        <v>318</v>
      </c>
      <c r="F855" s="3">
        <v>1</v>
      </c>
      <c r="G855" s="3" t="s">
        <v>128</v>
      </c>
      <c r="H855" s="804"/>
      <c r="I855" s="762">
        <v>462.3</v>
      </c>
      <c r="J855" s="804"/>
      <c r="K855" s="827" t="s">
        <v>2272</v>
      </c>
      <c r="L855" s="790">
        <v>45400</v>
      </c>
      <c r="M855" s="842"/>
      <c r="N855" s="842"/>
      <c r="O855" s="761" t="s">
        <v>62</v>
      </c>
      <c r="P855" s="3" t="s">
        <v>319</v>
      </c>
      <c r="Q855" s="842"/>
      <c r="R855" s="848"/>
      <c r="S855" s="3" t="s">
        <v>130</v>
      </c>
      <c r="T855" s="848"/>
      <c r="U855" s="3">
        <v>330.1</v>
      </c>
      <c r="V855" s="848"/>
      <c r="W855" s="848"/>
      <c r="X855" s="761" t="s">
        <v>2272</v>
      </c>
      <c r="Y855" s="761">
        <v>45399</v>
      </c>
      <c r="Z855" s="761" t="s">
        <v>62</v>
      </c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861"/>
    </row>
    <row r="856" spans="1:56" ht="13.95" customHeight="1">
      <c r="B856" s="747" t="s">
        <v>57</v>
      </c>
      <c r="C856" s="748" t="s">
        <v>1792</v>
      </c>
      <c r="D856" s="784">
        <v>200105661</v>
      </c>
      <c r="E856" s="1460" t="s">
        <v>320</v>
      </c>
      <c r="F856" s="3">
        <v>2</v>
      </c>
      <c r="G856" s="3" t="s">
        <v>128</v>
      </c>
      <c r="H856" s="804"/>
      <c r="I856" s="786">
        <f>150.1+152.4+158.2</f>
        <v>460.7</v>
      </c>
      <c r="J856" s="804"/>
      <c r="K856" s="827" t="s">
        <v>2272</v>
      </c>
      <c r="L856" s="790">
        <v>45407</v>
      </c>
      <c r="M856" s="842"/>
      <c r="N856" s="842"/>
      <c r="O856" s="761" t="s">
        <v>62</v>
      </c>
      <c r="P856" s="784" t="s">
        <v>321</v>
      </c>
      <c r="Q856" s="842"/>
      <c r="R856" s="848"/>
      <c r="S856" s="3" t="s">
        <v>130</v>
      </c>
      <c r="T856" s="848"/>
      <c r="U856" s="786">
        <v>330.1</v>
      </c>
      <c r="V856" s="848"/>
      <c r="W856" s="848"/>
      <c r="X856" s="761" t="s">
        <v>2272</v>
      </c>
      <c r="Y856" s="761">
        <v>45407</v>
      </c>
      <c r="Z856" s="761" t="s">
        <v>62</v>
      </c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861"/>
    </row>
    <row r="857" spans="1:56" ht="13.95" customHeight="1">
      <c r="B857" s="747" t="s">
        <v>57</v>
      </c>
      <c r="C857" s="748" t="s">
        <v>1792</v>
      </c>
      <c r="D857" s="784">
        <v>200105662</v>
      </c>
      <c r="E857" s="1460" t="s">
        <v>322</v>
      </c>
      <c r="F857" s="3">
        <v>3</v>
      </c>
      <c r="G857" s="3" t="s">
        <v>128</v>
      </c>
      <c r="H857" s="804"/>
      <c r="I857" s="786">
        <v>463.4</v>
      </c>
      <c r="J857" s="804"/>
      <c r="K857" s="827" t="s">
        <v>2272</v>
      </c>
      <c r="L857" s="790">
        <v>45407</v>
      </c>
      <c r="M857" s="842"/>
      <c r="N857" s="842"/>
      <c r="O857" s="761" t="s">
        <v>62</v>
      </c>
      <c r="P857" s="784" t="s">
        <v>323</v>
      </c>
      <c r="Q857" s="842"/>
      <c r="R857" s="848"/>
      <c r="S857" s="3" t="s">
        <v>130</v>
      </c>
      <c r="T857" s="848"/>
      <c r="U857" s="786">
        <v>329.9</v>
      </c>
      <c r="V857" s="848"/>
      <c r="W857" s="848"/>
      <c r="X857" s="761" t="s">
        <v>2272</v>
      </c>
      <c r="Y857" s="761">
        <v>45407</v>
      </c>
      <c r="Z857" s="761" t="s">
        <v>62</v>
      </c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861"/>
    </row>
    <row r="858" spans="1:56" ht="13.95" customHeight="1">
      <c r="B858" s="747" t="s">
        <v>57</v>
      </c>
      <c r="C858" s="748" t="s">
        <v>1792</v>
      </c>
      <c r="D858" s="784">
        <v>200105663</v>
      </c>
      <c r="E858" s="1460" t="s">
        <v>324</v>
      </c>
      <c r="F858" s="3">
        <v>4</v>
      </c>
      <c r="G858" s="3" t="s">
        <v>128</v>
      </c>
      <c r="H858" s="804"/>
      <c r="I858" s="786">
        <v>467</v>
      </c>
      <c r="J858" s="804"/>
      <c r="K858" s="827" t="s">
        <v>2272</v>
      </c>
      <c r="L858" s="790">
        <v>45408</v>
      </c>
      <c r="M858" s="842"/>
      <c r="N858" s="842"/>
      <c r="O858" s="761" t="s">
        <v>62</v>
      </c>
      <c r="P858" s="3" t="s">
        <v>325</v>
      </c>
      <c r="Q858" s="842"/>
      <c r="R858" s="848"/>
      <c r="S858" s="3" t="s">
        <v>130</v>
      </c>
      <c r="T858" s="848"/>
      <c r="U858" s="786">
        <v>330</v>
      </c>
      <c r="V858" s="848"/>
      <c r="W858" s="848"/>
      <c r="X858" s="761" t="s">
        <v>2272</v>
      </c>
      <c r="Y858" s="761">
        <v>45407</v>
      </c>
      <c r="Z858" s="761" t="s">
        <v>62</v>
      </c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861"/>
    </row>
    <row r="859" spans="1:56" ht="13.95" customHeight="1">
      <c r="B859" s="747" t="s">
        <v>57</v>
      </c>
      <c r="C859" s="748" t="s">
        <v>1792</v>
      </c>
      <c r="D859" s="784">
        <v>200105664</v>
      </c>
      <c r="E859" s="1460" t="s">
        <v>326</v>
      </c>
      <c r="F859" s="3">
        <v>5</v>
      </c>
      <c r="G859" s="3" t="s">
        <v>128</v>
      </c>
      <c r="H859" s="804"/>
      <c r="I859" s="786">
        <v>465.6</v>
      </c>
      <c r="J859" s="804"/>
      <c r="K859" s="827" t="s">
        <v>2272</v>
      </c>
      <c r="L859" s="790">
        <v>45408</v>
      </c>
      <c r="M859" s="842"/>
      <c r="N859" s="842"/>
      <c r="O859" s="761" t="s">
        <v>62</v>
      </c>
      <c r="P859" s="784" t="s">
        <v>327</v>
      </c>
      <c r="Q859" s="842"/>
      <c r="R859" s="848"/>
      <c r="S859" s="3" t="s">
        <v>130</v>
      </c>
      <c r="T859" s="848"/>
      <c r="U859" s="786">
        <v>329.8</v>
      </c>
      <c r="V859" s="848"/>
      <c r="W859" s="848"/>
      <c r="X859" s="761" t="s">
        <v>2272</v>
      </c>
      <c r="Y859" s="761">
        <v>45408</v>
      </c>
      <c r="Z859" s="761" t="s">
        <v>62</v>
      </c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861"/>
    </row>
    <row r="860" spans="1:56" ht="13.95" customHeight="1">
      <c r="B860" s="747" t="s">
        <v>57</v>
      </c>
      <c r="C860" s="748" t="s">
        <v>1792</v>
      </c>
      <c r="D860" s="784">
        <v>200105665</v>
      </c>
      <c r="E860" s="1460" t="s">
        <v>328</v>
      </c>
      <c r="F860" s="3">
        <v>6</v>
      </c>
      <c r="G860" s="3" t="s">
        <v>128</v>
      </c>
      <c r="H860" s="804"/>
      <c r="I860" s="786">
        <v>459</v>
      </c>
      <c r="J860" s="804"/>
      <c r="K860" s="827" t="s">
        <v>2272</v>
      </c>
      <c r="L860" s="790">
        <v>45411</v>
      </c>
      <c r="M860" s="842"/>
      <c r="N860" s="842"/>
      <c r="O860" s="761" t="s">
        <v>62</v>
      </c>
      <c r="P860" s="3" t="s">
        <v>329</v>
      </c>
      <c r="Q860" s="842"/>
      <c r="R860" s="848"/>
      <c r="S860" s="3" t="s">
        <v>130</v>
      </c>
      <c r="T860" s="848"/>
      <c r="U860" s="786">
        <v>330</v>
      </c>
      <c r="V860" s="848"/>
      <c r="W860" s="848"/>
      <c r="X860" s="761" t="s">
        <v>2272</v>
      </c>
      <c r="Y860" s="761">
        <v>45408</v>
      </c>
      <c r="Z860" s="761" t="s">
        <v>62</v>
      </c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861"/>
    </row>
    <row r="861" spans="1:56" ht="13.95" customHeight="1">
      <c r="B861" s="747" t="s">
        <v>57</v>
      </c>
      <c r="C861" s="748" t="s">
        <v>1792</v>
      </c>
      <c r="D861" s="784">
        <v>200105666</v>
      </c>
      <c r="E861" s="1460" t="s">
        <v>330</v>
      </c>
      <c r="F861" s="3">
        <v>7</v>
      </c>
      <c r="G861" s="3" t="s">
        <v>128</v>
      </c>
      <c r="H861" s="804"/>
      <c r="I861" s="786">
        <v>465.3</v>
      </c>
      <c r="J861" s="804"/>
      <c r="K861" s="827" t="s">
        <v>2272</v>
      </c>
      <c r="L861" s="790">
        <v>45411</v>
      </c>
      <c r="M861" s="842"/>
      <c r="N861" s="842"/>
      <c r="O861" s="761" t="s">
        <v>62</v>
      </c>
      <c r="P861" s="3" t="s">
        <v>331</v>
      </c>
      <c r="Q861" s="842"/>
      <c r="R861" s="848"/>
      <c r="S861" s="3" t="s">
        <v>130</v>
      </c>
      <c r="T861" s="848"/>
      <c r="U861" s="786">
        <v>330</v>
      </c>
      <c r="V861" s="848"/>
      <c r="W861" s="848"/>
      <c r="X861" s="761" t="s">
        <v>2272</v>
      </c>
      <c r="Y861" s="761">
        <v>45408</v>
      </c>
      <c r="Z861" s="761" t="s">
        <v>62</v>
      </c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861"/>
    </row>
    <row r="862" spans="1:56" ht="13.95" customHeight="1">
      <c r="B862" s="747" t="s">
        <v>57</v>
      </c>
      <c r="C862" s="748" t="s">
        <v>1792</v>
      </c>
      <c r="D862" s="784">
        <v>200105667</v>
      </c>
      <c r="E862" s="1460" t="s">
        <v>332</v>
      </c>
      <c r="F862" s="3">
        <v>8</v>
      </c>
      <c r="G862" s="3" t="s">
        <v>128</v>
      </c>
      <c r="H862" s="804"/>
      <c r="I862" s="786">
        <v>463.7</v>
      </c>
      <c r="J862" s="804"/>
      <c r="K862" s="827" t="s">
        <v>2272</v>
      </c>
      <c r="L862" s="790">
        <v>45412</v>
      </c>
      <c r="M862" s="842"/>
      <c r="N862" s="842"/>
      <c r="O862" s="761" t="s">
        <v>62</v>
      </c>
      <c r="P862" s="3" t="s">
        <v>333</v>
      </c>
      <c r="Q862" s="842"/>
      <c r="R862" s="848"/>
      <c r="S862" s="3" t="s">
        <v>130</v>
      </c>
      <c r="T862" s="848"/>
      <c r="U862" s="786">
        <v>330.4</v>
      </c>
      <c r="V862" s="848"/>
      <c r="W862" s="848"/>
      <c r="X862" s="761" t="s">
        <v>2272</v>
      </c>
      <c r="Y862" s="761">
        <v>45411</v>
      </c>
      <c r="Z862" s="761" t="s">
        <v>62</v>
      </c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861"/>
    </row>
    <row r="863" spans="1:56" ht="13.95" customHeight="1">
      <c r="B863" s="747" t="s">
        <v>57</v>
      </c>
      <c r="C863" s="748" t="s">
        <v>1792</v>
      </c>
      <c r="D863" s="784">
        <v>200105668</v>
      </c>
      <c r="E863" s="1460" t="s">
        <v>334</v>
      </c>
      <c r="F863" s="3">
        <v>9</v>
      </c>
      <c r="G863" s="3" t="s">
        <v>128</v>
      </c>
      <c r="H863" s="804"/>
      <c r="I863" s="786">
        <v>464.1</v>
      </c>
      <c r="J863" s="804"/>
      <c r="K863" s="827" t="s">
        <v>2272</v>
      </c>
      <c r="L863" s="790">
        <v>45412</v>
      </c>
      <c r="M863" s="842"/>
      <c r="N863" s="842"/>
      <c r="O863" s="761" t="s">
        <v>62</v>
      </c>
      <c r="P863" s="784" t="s">
        <v>335</v>
      </c>
      <c r="Q863" s="842"/>
      <c r="R863" s="848"/>
      <c r="S863" s="3" t="s">
        <v>130</v>
      </c>
      <c r="T863" s="848"/>
      <c r="U863" s="786">
        <v>330.2</v>
      </c>
      <c r="V863" s="848"/>
      <c r="W863" s="848"/>
      <c r="X863" s="761" t="s">
        <v>2272</v>
      </c>
      <c r="Y863" s="761">
        <v>45411</v>
      </c>
      <c r="Z863" s="761" t="s">
        <v>62</v>
      </c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861"/>
    </row>
    <row r="864" spans="1:56" ht="13.95" customHeight="1">
      <c r="B864" s="747" t="s">
        <v>57</v>
      </c>
      <c r="C864" s="748" t="s">
        <v>1792</v>
      </c>
      <c r="D864" s="784">
        <v>200105702</v>
      </c>
      <c r="E864" s="1460" t="s">
        <v>336</v>
      </c>
      <c r="F864" s="3">
        <v>10</v>
      </c>
      <c r="G864" s="3" t="s">
        <v>128</v>
      </c>
      <c r="H864" s="804"/>
      <c r="I864" s="786">
        <v>468.1</v>
      </c>
      <c r="J864" s="804"/>
      <c r="K864" s="827" t="s">
        <v>2272</v>
      </c>
      <c r="L864" s="790">
        <v>45412</v>
      </c>
      <c r="M864" s="842"/>
      <c r="N864" s="842"/>
      <c r="O864" s="761" t="s">
        <v>62</v>
      </c>
      <c r="P864" s="864" t="s">
        <v>337</v>
      </c>
      <c r="Q864" s="842"/>
      <c r="R864" s="848"/>
      <c r="S864" s="3" t="s">
        <v>130</v>
      </c>
      <c r="T864" s="848"/>
      <c r="U864" s="786">
        <v>330</v>
      </c>
      <c r="V864" s="848"/>
      <c r="W864" s="848"/>
      <c r="X864" s="761" t="s">
        <v>2272</v>
      </c>
      <c r="Y864" s="761">
        <v>45412</v>
      </c>
      <c r="Z864" s="761" t="s">
        <v>62</v>
      </c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861"/>
    </row>
    <row r="865" spans="2:39" ht="13.95" customHeight="1">
      <c r="B865" s="747" t="s">
        <v>57</v>
      </c>
      <c r="C865" s="748" t="s">
        <v>1792</v>
      </c>
      <c r="D865" s="784">
        <v>200105773</v>
      </c>
      <c r="E865" s="1460" t="s">
        <v>338</v>
      </c>
      <c r="F865" s="3">
        <v>11</v>
      </c>
      <c r="G865" s="3" t="s">
        <v>128</v>
      </c>
      <c r="H865" s="804"/>
      <c r="I865" s="786">
        <v>468.1</v>
      </c>
      <c r="J865" s="804"/>
      <c r="K865" s="827" t="s">
        <v>2272</v>
      </c>
      <c r="L865" s="790">
        <v>45412</v>
      </c>
      <c r="M865" s="842"/>
      <c r="N865" s="842"/>
      <c r="O865" s="761" t="s">
        <v>62</v>
      </c>
      <c r="P865" s="784" t="s">
        <v>339</v>
      </c>
      <c r="Q865" s="842"/>
      <c r="R865" s="848"/>
      <c r="S865" s="3" t="s">
        <v>130</v>
      </c>
      <c r="T865" s="848"/>
      <c r="U865" s="786">
        <v>329.8</v>
      </c>
      <c r="V865" s="848"/>
      <c r="W865" s="848"/>
      <c r="X865" s="761" t="s">
        <v>2272</v>
      </c>
      <c r="Y865" s="761">
        <v>45412</v>
      </c>
      <c r="Z865" s="761" t="s">
        <v>62</v>
      </c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861"/>
    </row>
    <row r="866" spans="2:39" ht="13.95" customHeight="1">
      <c r="B866" s="747" t="s">
        <v>57</v>
      </c>
      <c r="C866" s="748" t="s">
        <v>1792</v>
      </c>
      <c r="D866" s="784">
        <v>200105774</v>
      </c>
      <c r="E866" s="1460" t="s">
        <v>340</v>
      </c>
      <c r="F866" s="3">
        <v>12</v>
      </c>
      <c r="G866" s="3" t="s">
        <v>128</v>
      </c>
      <c r="H866" s="804"/>
      <c r="I866" s="786">
        <v>463.1</v>
      </c>
      <c r="J866" s="804"/>
      <c r="K866" s="827" t="s">
        <v>2327</v>
      </c>
      <c r="L866" s="790">
        <v>45414</v>
      </c>
      <c r="M866" s="842"/>
      <c r="N866" s="842"/>
      <c r="O866" s="761" t="s">
        <v>62</v>
      </c>
      <c r="P866" s="3" t="s">
        <v>341</v>
      </c>
      <c r="Q866" s="842"/>
      <c r="R866" s="848"/>
      <c r="S866" s="3" t="s">
        <v>130</v>
      </c>
      <c r="T866" s="848"/>
      <c r="U866" s="786">
        <v>330</v>
      </c>
      <c r="V866" s="848"/>
      <c r="W866" s="848"/>
      <c r="X866" s="761" t="s">
        <v>2272</v>
      </c>
      <c r="Y866" s="761">
        <v>45412</v>
      </c>
      <c r="Z866" s="761" t="s">
        <v>62</v>
      </c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861"/>
    </row>
    <row r="867" spans="2:39" ht="13.95" customHeight="1">
      <c r="B867" s="747" t="s">
        <v>57</v>
      </c>
      <c r="C867" s="748" t="s">
        <v>1792</v>
      </c>
      <c r="D867" s="784">
        <v>200105800</v>
      </c>
      <c r="E867" s="1460" t="s">
        <v>342</v>
      </c>
      <c r="F867" s="3">
        <v>13</v>
      </c>
      <c r="G867" s="3" t="s">
        <v>128</v>
      </c>
      <c r="H867" s="804"/>
      <c r="I867" s="786">
        <v>459.7</v>
      </c>
      <c r="J867" s="804"/>
      <c r="K867" s="827" t="s">
        <v>2327</v>
      </c>
      <c r="L867" s="790">
        <v>45415</v>
      </c>
      <c r="M867" s="842"/>
      <c r="N867" s="842"/>
      <c r="O867" s="761" t="s">
        <v>62</v>
      </c>
      <c r="P867" s="3" t="s">
        <v>343</v>
      </c>
      <c r="Q867" s="842"/>
      <c r="R867" s="848"/>
      <c r="S867" s="3" t="s">
        <v>130</v>
      </c>
      <c r="T867" s="848"/>
      <c r="U867" s="786">
        <v>329.9</v>
      </c>
      <c r="V867" s="848"/>
      <c r="W867" s="848"/>
      <c r="X867" s="761" t="s">
        <v>2327</v>
      </c>
      <c r="Y867" s="761">
        <v>45414</v>
      </c>
      <c r="Z867" s="761" t="s">
        <v>62</v>
      </c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861"/>
    </row>
    <row r="868" spans="2:39" ht="13.95" customHeight="1">
      <c r="B868" s="747" t="s">
        <v>57</v>
      </c>
      <c r="C868" s="748" t="s">
        <v>1792</v>
      </c>
      <c r="D868" s="784">
        <v>200105820</v>
      </c>
      <c r="E868" s="1460" t="s">
        <v>344</v>
      </c>
      <c r="F868" s="3">
        <v>14</v>
      </c>
      <c r="G868" s="3" t="s">
        <v>128</v>
      </c>
      <c r="H868" s="804"/>
      <c r="I868" s="786">
        <v>468</v>
      </c>
      <c r="J868" s="804"/>
      <c r="K868" s="827" t="s">
        <v>2327</v>
      </c>
      <c r="L868" s="790">
        <v>45415</v>
      </c>
      <c r="M868" s="842"/>
      <c r="N868" s="842"/>
      <c r="O868" s="761" t="s">
        <v>62</v>
      </c>
      <c r="P868" s="3" t="s">
        <v>345</v>
      </c>
      <c r="Q868" s="842"/>
      <c r="R868" s="848"/>
      <c r="S868" s="3" t="s">
        <v>130</v>
      </c>
      <c r="T868" s="848"/>
      <c r="U868" s="786">
        <v>329.8</v>
      </c>
      <c r="V868" s="848"/>
      <c r="W868" s="848"/>
      <c r="X868" s="761" t="s">
        <v>2327</v>
      </c>
      <c r="Y868" s="761">
        <v>45415</v>
      </c>
      <c r="Z868" s="761" t="s">
        <v>62</v>
      </c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861"/>
    </row>
    <row r="869" spans="2:39" ht="13.95" customHeight="1">
      <c r="B869" s="747" t="s">
        <v>57</v>
      </c>
      <c r="C869" s="748" t="s">
        <v>1792</v>
      </c>
      <c r="D869" s="784">
        <v>200105821</v>
      </c>
      <c r="E869" s="1460" t="s">
        <v>346</v>
      </c>
      <c r="F869" s="3">
        <v>15</v>
      </c>
      <c r="G869" s="3" t="s">
        <v>128</v>
      </c>
      <c r="H869" s="804"/>
      <c r="I869" s="786">
        <v>468.9</v>
      </c>
      <c r="J869" s="804"/>
      <c r="K869" s="827" t="s">
        <v>2327</v>
      </c>
      <c r="L869" s="790">
        <v>45418</v>
      </c>
      <c r="M869" s="842"/>
      <c r="N869" s="842"/>
      <c r="O869" s="761" t="s">
        <v>62</v>
      </c>
      <c r="P869" s="3" t="s">
        <v>347</v>
      </c>
      <c r="Q869" s="842"/>
      <c r="R869" s="848"/>
      <c r="S869" s="3" t="s">
        <v>130</v>
      </c>
      <c r="T869" s="848"/>
      <c r="U869" s="786">
        <v>329.9</v>
      </c>
      <c r="V869" s="848"/>
      <c r="W869" s="848"/>
      <c r="X869" s="761" t="s">
        <v>2327</v>
      </c>
      <c r="Y869" s="761">
        <v>45415</v>
      </c>
      <c r="Z869" s="761" t="s">
        <v>62</v>
      </c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861"/>
    </row>
    <row r="870" spans="2:39" ht="13.95" customHeight="1">
      <c r="B870" s="747" t="s">
        <v>57</v>
      </c>
      <c r="C870" s="748" t="s">
        <v>1792</v>
      </c>
      <c r="D870" s="784">
        <v>200105822</v>
      </c>
      <c r="E870" s="1460" t="s">
        <v>348</v>
      </c>
      <c r="F870" s="3">
        <v>16</v>
      </c>
      <c r="G870" s="3" t="s">
        <v>128</v>
      </c>
      <c r="H870" s="804"/>
      <c r="I870" s="786">
        <v>468.3</v>
      </c>
      <c r="J870" s="804"/>
      <c r="K870" s="827" t="s">
        <v>2327</v>
      </c>
      <c r="L870" s="790">
        <v>45418</v>
      </c>
      <c r="M870" s="842"/>
      <c r="N870" s="842"/>
      <c r="O870" s="761" t="s">
        <v>62</v>
      </c>
      <c r="P870" s="3" t="s">
        <v>349</v>
      </c>
      <c r="Q870" s="842"/>
      <c r="R870" s="848"/>
      <c r="S870" s="3" t="s">
        <v>130</v>
      </c>
      <c r="T870" s="848"/>
      <c r="U870" s="786">
        <v>330</v>
      </c>
      <c r="V870" s="848"/>
      <c r="W870" s="848"/>
      <c r="X870" s="761" t="s">
        <v>2327</v>
      </c>
      <c r="Y870" s="761">
        <v>45418</v>
      </c>
      <c r="Z870" s="761" t="s">
        <v>62</v>
      </c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861"/>
    </row>
    <row r="871" spans="2:39" ht="13.95" customHeight="1">
      <c r="B871" s="747" t="s">
        <v>57</v>
      </c>
      <c r="C871" s="748" t="s">
        <v>1792</v>
      </c>
      <c r="D871" s="784">
        <v>200105823</v>
      </c>
      <c r="E871" s="1460" t="s">
        <v>350</v>
      </c>
      <c r="F871" s="3">
        <v>17</v>
      </c>
      <c r="G871" s="3" t="s">
        <v>128</v>
      </c>
      <c r="H871" s="804"/>
      <c r="I871" s="786">
        <v>464</v>
      </c>
      <c r="J871" s="804"/>
      <c r="K871" s="827" t="s">
        <v>2327</v>
      </c>
      <c r="L871" s="790">
        <v>45418</v>
      </c>
      <c r="M871" s="842"/>
      <c r="N871" s="842"/>
      <c r="O871" s="761" t="s">
        <v>62</v>
      </c>
      <c r="P871" s="3" t="s">
        <v>351</v>
      </c>
      <c r="Q871" s="842"/>
      <c r="R871" s="848"/>
      <c r="S871" s="3" t="s">
        <v>130</v>
      </c>
      <c r="T871" s="848"/>
      <c r="U871" s="786">
        <v>330</v>
      </c>
      <c r="V871" s="848"/>
      <c r="W871" s="848"/>
      <c r="X871" s="761" t="s">
        <v>2327</v>
      </c>
      <c r="Y871" s="761">
        <v>45418</v>
      </c>
      <c r="Z871" s="761" t="s">
        <v>62</v>
      </c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861"/>
    </row>
    <row r="872" spans="2:39" ht="13.95" customHeight="1">
      <c r="B872" s="747" t="s">
        <v>57</v>
      </c>
      <c r="C872" s="748" t="s">
        <v>1792</v>
      </c>
      <c r="D872" s="784">
        <v>200105824</v>
      </c>
      <c r="E872" s="1460" t="s">
        <v>352</v>
      </c>
      <c r="F872" s="3">
        <v>18</v>
      </c>
      <c r="G872" s="3" t="s">
        <v>128</v>
      </c>
      <c r="H872" s="804"/>
      <c r="I872" s="786">
        <v>470.2</v>
      </c>
      <c r="J872" s="804"/>
      <c r="K872" s="827" t="s">
        <v>2327</v>
      </c>
      <c r="L872" s="790">
        <v>45418</v>
      </c>
      <c r="M872" s="842"/>
      <c r="N872" s="842"/>
      <c r="O872" s="761" t="s">
        <v>62</v>
      </c>
      <c r="P872" s="3" t="s">
        <v>353</v>
      </c>
      <c r="Q872" s="842"/>
      <c r="R872" s="848"/>
      <c r="S872" s="3" t="s">
        <v>130</v>
      </c>
      <c r="T872" s="848"/>
      <c r="U872" s="786">
        <v>329.7</v>
      </c>
      <c r="V872" s="848"/>
      <c r="W872" s="848"/>
      <c r="X872" s="761" t="s">
        <v>2327</v>
      </c>
      <c r="Y872" s="761">
        <v>45418</v>
      </c>
      <c r="Z872" s="761" t="s">
        <v>62</v>
      </c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861"/>
    </row>
    <row r="873" spans="2:39" ht="13.95" customHeight="1">
      <c r="B873" s="747" t="s">
        <v>57</v>
      </c>
      <c r="C873" s="748" t="s">
        <v>1792</v>
      </c>
      <c r="D873" s="784">
        <v>200105825</v>
      </c>
      <c r="E873" s="1460" t="s">
        <v>354</v>
      </c>
      <c r="F873" s="3">
        <v>19</v>
      </c>
      <c r="G873" s="3" t="s">
        <v>128</v>
      </c>
      <c r="H873" s="804"/>
      <c r="I873" s="786">
        <v>468.7</v>
      </c>
      <c r="J873" s="804"/>
      <c r="K873" s="827" t="s">
        <v>2327</v>
      </c>
      <c r="L873" s="790">
        <v>45419</v>
      </c>
      <c r="M873" s="842"/>
      <c r="N873" s="842"/>
      <c r="O873" s="761" t="s">
        <v>62</v>
      </c>
      <c r="P873" s="3" t="s">
        <v>355</v>
      </c>
      <c r="Q873" s="842"/>
      <c r="R873" s="848"/>
      <c r="S873" s="3" t="s">
        <v>130</v>
      </c>
      <c r="T873" s="848"/>
      <c r="U873" s="786">
        <v>329.9</v>
      </c>
      <c r="V873" s="848"/>
      <c r="W873" s="848"/>
      <c r="X873" s="761" t="s">
        <v>2327</v>
      </c>
      <c r="Y873" s="761">
        <v>45419</v>
      </c>
      <c r="Z873" s="761" t="s">
        <v>62</v>
      </c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861"/>
    </row>
    <row r="874" spans="2:39" ht="13.95" customHeight="1">
      <c r="B874" s="747" t="s">
        <v>57</v>
      </c>
      <c r="C874" s="748" t="s">
        <v>1792</v>
      </c>
      <c r="D874" s="784">
        <v>200105874</v>
      </c>
      <c r="E874" s="1460" t="s">
        <v>356</v>
      </c>
      <c r="F874" s="3">
        <v>20</v>
      </c>
      <c r="G874" s="3" t="s">
        <v>128</v>
      </c>
      <c r="H874" s="804"/>
      <c r="I874" s="786">
        <v>466.7</v>
      </c>
      <c r="J874" s="804"/>
      <c r="K874" s="827" t="s">
        <v>2327</v>
      </c>
      <c r="L874" s="790">
        <v>45419</v>
      </c>
      <c r="M874" s="842"/>
      <c r="N874" s="842"/>
      <c r="O874" s="761" t="s">
        <v>62</v>
      </c>
      <c r="P874" s="3" t="s">
        <v>357</v>
      </c>
      <c r="Q874" s="842"/>
      <c r="R874" s="848"/>
      <c r="S874" s="3" t="s">
        <v>130</v>
      </c>
      <c r="T874" s="848"/>
      <c r="U874" s="786">
        <v>330</v>
      </c>
      <c r="V874" s="848"/>
      <c r="W874" s="848"/>
      <c r="X874" s="761" t="s">
        <v>2327</v>
      </c>
      <c r="Y874" s="761">
        <v>45419</v>
      </c>
      <c r="Z874" s="761" t="s">
        <v>62</v>
      </c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861"/>
    </row>
    <row r="875" spans="2:39" ht="13.95" customHeight="1">
      <c r="B875" s="747" t="s">
        <v>57</v>
      </c>
      <c r="C875" s="748" t="s">
        <v>1792</v>
      </c>
      <c r="D875" s="784">
        <v>200105875</v>
      </c>
      <c r="E875" s="1460" t="s">
        <v>358</v>
      </c>
      <c r="F875" s="3">
        <v>21</v>
      </c>
      <c r="G875" s="3" t="s">
        <v>60</v>
      </c>
      <c r="H875" s="804"/>
      <c r="I875" s="786">
        <v>463.9</v>
      </c>
      <c r="J875" s="804"/>
      <c r="K875" s="827" t="s">
        <v>2327</v>
      </c>
      <c r="L875" s="790">
        <v>45419</v>
      </c>
      <c r="M875" s="842"/>
      <c r="N875" s="842"/>
      <c r="O875" s="761" t="s">
        <v>62</v>
      </c>
      <c r="P875" s="3" t="s">
        <v>359</v>
      </c>
      <c r="Q875" s="842"/>
      <c r="R875" s="848"/>
      <c r="S875" s="3" t="s">
        <v>130</v>
      </c>
      <c r="T875" s="848"/>
      <c r="U875" s="786">
        <v>329.9</v>
      </c>
      <c r="V875" s="848"/>
      <c r="W875" s="848"/>
      <c r="X875" s="761" t="s">
        <v>2327</v>
      </c>
      <c r="Y875" s="761">
        <v>45420</v>
      </c>
      <c r="Z875" s="761" t="s">
        <v>62</v>
      </c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861"/>
    </row>
    <row r="876" spans="2:39" ht="13.95" customHeight="1">
      <c r="B876" s="747" t="s">
        <v>57</v>
      </c>
      <c r="C876" s="748" t="s">
        <v>1792</v>
      </c>
      <c r="D876" s="784">
        <v>200105876</v>
      </c>
      <c r="E876" s="1460" t="s">
        <v>360</v>
      </c>
      <c r="F876" s="3">
        <v>22</v>
      </c>
      <c r="G876" s="3" t="s">
        <v>60</v>
      </c>
      <c r="H876" s="804"/>
      <c r="I876" s="786">
        <v>464.1</v>
      </c>
      <c r="J876" s="804"/>
      <c r="K876" s="827" t="s">
        <v>2327</v>
      </c>
      <c r="L876" s="790">
        <v>45419</v>
      </c>
      <c r="M876" s="842"/>
      <c r="N876" s="842"/>
      <c r="O876" s="761" t="s">
        <v>62</v>
      </c>
      <c r="P876" s="3" t="s">
        <v>361</v>
      </c>
      <c r="Q876" s="842"/>
      <c r="R876" s="848"/>
      <c r="S876" s="3" t="s">
        <v>130</v>
      </c>
      <c r="T876" s="848"/>
      <c r="U876" s="786">
        <v>330</v>
      </c>
      <c r="V876" s="848"/>
      <c r="W876" s="848"/>
      <c r="X876" s="761" t="s">
        <v>2327</v>
      </c>
      <c r="Y876" s="761">
        <v>45420</v>
      </c>
      <c r="Z876" s="761" t="s">
        <v>62</v>
      </c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861"/>
    </row>
    <row r="877" spans="2:39" ht="13.95" customHeight="1">
      <c r="B877" s="747" t="s">
        <v>57</v>
      </c>
      <c r="C877" s="748" t="s">
        <v>1792</v>
      </c>
      <c r="D877" s="784">
        <v>200105877</v>
      </c>
      <c r="E877" s="1460" t="s">
        <v>362</v>
      </c>
      <c r="F877" s="3">
        <v>23</v>
      </c>
      <c r="G877" s="3" t="s">
        <v>128</v>
      </c>
      <c r="H877" s="804"/>
      <c r="I877" s="786">
        <v>469.4</v>
      </c>
      <c r="J877" s="804"/>
      <c r="K877" s="827" t="s">
        <v>2327</v>
      </c>
      <c r="L877" s="790">
        <v>45420</v>
      </c>
      <c r="M877" s="842"/>
      <c r="N877" s="842"/>
      <c r="O877" s="761" t="s">
        <v>62</v>
      </c>
      <c r="P877" s="3" t="s">
        <v>363</v>
      </c>
      <c r="Q877" s="842"/>
      <c r="R877" s="848"/>
      <c r="S877" s="3" t="s">
        <v>130</v>
      </c>
      <c r="T877" s="848"/>
      <c r="U877" s="786">
        <v>330.1</v>
      </c>
      <c r="V877" s="848"/>
      <c r="W877" s="848"/>
      <c r="X877" s="761" t="s">
        <v>2327</v>
      </c>
      <c r="Y877" s="761">
        <v>45420</v>
      </c>
      <c r="Z877" s="761" t="s">
        <v>62</v>
      </c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861"/>
    </row>
    <row r="878" spans="2:39" ht="13.95" customHeight="1">
      <c r="B878" s="747" t="s">
        <v>57</v>
      </c>
      <c r="C878" s="748" t="s">
        <v>1792</v>
      </c>
      <c r="D878" s="784">
        <v>200105878</v>
      </c>
      <c r="E878" s="1460" t="s">
        <v>364</v>
      </c>
      <c r="F878" s="3">
        <v>24</v>
      </c>
      <c r="G878" s="3" t="s">
        <v>128</v>
      </c>
      <c r="H878" s="804"/>
      <c r="I878" s="786">
        <f>149.8+155.2+154.1</f>
        <v>459.1</v>
      </c>
      <c r="J878" s="804"/>
      <c r="K878" s="827" t="s">
        <v>2327</v>
      </c>
      <c r="L878" s="790">
        <v>45420</v>
      </c>
      <c r="M878" s="842"/>
      <c r="N878" s="842"/>
      <c r="O878" s="761" t="s">
        <v>62</v>
      </c>
      <c r="P878" s="3" t="s">
        <v>365</v>
      </c>
      <c r="Q878" s="842"/>
      <c r="R878" s="848"/>
      <c r="S878" s="3" t="s">
        <v>130</v>
      </c>
      <c r="T878" s="848"/>
      <c r="U878" s="785">
        <f>71.9+73.5+72.9+53.1+58.5</f>
        <v>329.90000000000003</v>
      </c>
      <c r="V878" s="848"/>
      <c r="W878" s="848"/>
      <c r="X878" s="761" t="s">
        <v>2327</v>
      </c>
      <c r="Y878" s="761">
        <v>45422</v>
      </c>
      <c r="Z878" s="761" t="s">
        <v>62</v>
      </c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861"/>
    </row>
    <row r="879" spans="2:39" ht="13.95" customHeight="1">
      <c r="B879" s="747" t="s">
        <v>57</v>
      </c>
      <c r="C879" s="748" t="s">
        <v>1792</v>
      </c>
      <c r="D879" s="784">
        <v>200105879</v>
      </c>
      <c r="E879" s="1460" t="s">
        <v>366</v>
      </c>
      <c r="F879" s="3">
        <v>25</v>
      </c>
      <c r="G879" s="3" t="s">
        <v>128</v>
      </c>
      <c r="H879" s="804"/>
      <c r="I879" s="786">
        <f>154.3+156.5+156.9</f>
        <v>467.70000000000005</v>
      </c>
      <c r="J879" s="804"/>
      <c r="K879" s="827" t="s">
        <v>2327</v>
      </c>
      <c r="L879" s="790">
        <v>45420</v>
      </c>
      <c r="M879" s="842"/>
      <c r="N879" s="842"/>
      <c r="O879" s="761" t="s">
        <v>62</v>
      </c>
      <c r="P879" s="3" t="s">
        <v>367</v>
      </c>
      <c r="Q879" s="842"/>
      <c r="R879" s="848"/>
      <c r="S879" s="3" t="s">
        <v>130</v>
      </c>
      <c r="T879" s="848"/>
      <c r="U879" s="786">
        <f>63.5+65.9+67.2+67.3+66.1</f>
        <v>330</v>
      </c>
      <c r="V879" s="848"/>
      <c r="W879" s="848"/>
      <c r="X879" s="761" t="s">
        <v>2327</v>
      </c>
      <c r="Y879" s="761">
        <v>45422</v>
      </c>
      <c r="Z879" s="761" t="s">
        <v>62</v>
      </c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861"/>
    </row>
    <row r="880" spans="2:39" ht="13.95" customHeight="1">
      <c r="B880" s="747" t="s">
        <v>57</v>
      </c>
      <c r="C880" s="748" t="s">
        <v>1792</v>
      </c>
      <c r="D880" s="784">
        <v>200105920</v>
      </c>
      <c r="E880" s="1460" t="s">
        <v>368</v>
      </c>
      <c r="F880" s="3">
        <v>26</v>
      </c>
      <c r="G880" s="3" t="s">
        <v>128</v>
      </c>
      <c r="H880" s="804"/>
      <c r="I880" s="786">
        <f>154.1+155.2+156.9</f>
        <v>466.19999999999993</v>
      </c>
      <c r="J880" s="804"/>
      <c r="K880" s="827" t="s">
        <v>2327</v>
      </c>
      <c r="L880" s="790">
        <v>45420</v>
      </c>
      <c r="M880" s="842"/>
      <c r="N880" s="842"/>
      <c r="O880" s="761" t="s">
        <v>62</v>
      </c>
      <c r="P880" s="3" t="s">
        <v>369</v>
      </c>
      <c r="Q880" s="842"/>
      <c r="R880" s="848"/>
      <c r="S880" s="3" t="s">
        <v>130</v>
      </c>
      <c r="T880" s="848"/>
      <c r="U880" s="786">
        <v>330</v>
      </c>
      <c r="V880" s="848"/>
      <c r="W880" s="848"/>
      <c r="X880" s="761" t="s">
        <v>2327</v>
      </c>
      <c r="Y880" s="761">
        <v>45425</v>
      </c>
      <c r="Z880" s="761" t="s">
        <v>62</v>
      </c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861"/>
    </row>
    <row r="881" spans="1:56" ht="13.95" customHeight="1">
      <c r="B881" s="747" t="s">
        <v>57</v>
      </c>
      <c r="C881" s="748" t="s">
        <v>1792</v>
      </c>
      <c r="D881" s="784">
        <v>200105856</v>
      </c>
      <c r="E881" s="1460" t="s">
        <v>370</v>
      </c>
      <c r="F881" s="3">
        <v>27</v>
      </c>
      <c r="G881" s="3" t="s">
        <v>60</v>
      </c>
      <c r="H881" s="804"/>
      <c r="I881" s="786">
        <f>153.8+155.9+161</f>
        <v>470.70000000000005</v>
      </c>
      <c r="J881" s="804"/>
      <c r="K881" s="827" t="s">
        <v>2327</v>
      </c>
      <c r="L881" s="790">
        <v>45420</v>
      </c>
      <c r="M881" s="842"/>
      <c r="N881" s="842"/>
      <c r="O881" s="761" t="s">
        <v>62</v>
      </c>
      <c r="P881" s="3" t="s">
        <v>371</v>
      </c>
      <c r="Q881" s="842"/>
      <c r="R881" s="848"/>
      <c r="S881" s="3" t="s">
        <v>130</v>
      </c>
      <c r="T881" s="848"/>
      <c r="U881" s="786">
        <v>330</v>
      </c>
      <c r="V881" s="848"/>
      <c r="W881" s="848"/>
      <c r="X881" s="761" t="s">
        <v>2327</v>
      </c>
      <c r="Y881" s="761">
        <v>45425</v>
      </c>
      <c r="Z881" s="761" t="s">
        <v>62</v>
      </c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861"/>
    </row>
    <row r="882" spans="1:56" ht="13.95" customHeight="1">
      <c r="B882" s="747" t="s">
        <v>57</v>
      </c>
      <c r="C882" s="748" t="s">
        <v>1792</v>
      </c>
      <c r="D882" s="784">
        <v>200105857</v>
      </c>
      <c r="E882" s="1460" t="s">
        <v>372</v>
      </c>
      <c r="F882" s="3">
        <v>28</v>
      </c>
      <c r="G882" s="3" t="s">
        <v>60</v>
      </c>
      <c r="H882" s="804"/>
      <c r="I882" s="786">
        <f>150.2+159+155.4</f>
        <v>464.6</v>
      </c>
      <c r="J882" s="804"/>
      <c r="K882" s="827" t="s">
        <v>2327</v>
      </c>
      <c r="L882" s="790">
        <v>45427</v>
      </c>
      <c r="M882" s="842"/>
      <c r="N882" s="842"/>
      <c r="O882" s="761" t="s">
        <v>62</v>
      </c>
      <c r="P882" s="3" t="s">
        <v>373</v>
      </c>
      <c r="Q882" s="842"/>
      <c r="R882" s="848"/>
      <c r="S882" s="3" t="s">
        <v>130</v>
      </c>
      <c r="T882" s="848"/>
      <c r="U882" s="786">
        <f>68.6+68.4+67.1+69+56.7</f>
        <v>329.8</v>
      </c>
      <c r="V882" s="848"/>
      <c r="W882" s="848"/>
      <c r="X882" s="761" t="s">
        <v>2327</v>
      </c>
      <c r="Y882" s="761">
        <v>45426</v>
      </c>
      <c r="Z882" s="761" t="s">
        <v>62</v>
      </c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861"/>
    </row>
    <row r="883" spans="1:56" s="807" customFormat="1" ht="16.05" customHeight="1">
      <c r="A883" s="3"/>
      <c r="B883" s="807" t="s">
        <v>13</v>
      </c>
      <c r="C883" s="857" t="s">
        <v>3319</v>
      </c>
      <c r="AM883" s="853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862"/>
    </row>
    <row r="884" spans="1:56" ht="13.95" customHeight="1">
      <c r="B884" s="747" t="s">
        <v>72</v>
      </c>
      <c r="C884" s="748" t="s">
        <v>1792</v>
      </c>
      <c r="D884" s="784">
        <v>200105941</v>
      </c>
      <c r="E884" s="1460" t="s">
        <v>374</v>
      </c>
      <c r="F884" s="3">
        <v>1</v>
      </c>
      <c r="G884" s="3" t="s">
        <v>60</v>
      </c>
      <c r="H884" s="804"/>
      <c r="I884" s="786">
        <v>469.5</v>
      </c>
      <c r="J884" s="804"/>
      <c r="K884" s="827" t="s">
        <v>2327</v>
      </c>
      <c r="L884" s="790">
        <v>45427</v>
      </c>
      <c r="M884" s="842"/>
      <c r="N884" s="842"/>
      <c r="O884" s="761" t="s">
        <v>62</v>
      </c>
      <c r="P884" s="3" t="s">
        <v>375</v>
      </c>
      <c r="Q884" s="842"/>
      <c r="R884" s="848"/>
      <c r="S884" s="3" t="s">
        <v>130</v>
      </c>
      <c r="T884" s="848"/>
      <c r="U884" s="786">
        <v>329.9</v>
      </c>
      <c r="V884" s="848"/>
      <c r="W884" s="848"/>
      <c r="X884" s="761" t="s">
        <v>2327</v>
      </c>
      <c r="Y884" s="761">
        <v>45427</v>
      </c>
      <c r="Z884" s="761" t="s">
        <v>62</v>
      </c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861"/>
    </row>
    <row r="885" spans="1:56" ht="13.95" customHeight="1">
      <c r="B885" s="747" t="s">
        <v>72</v>
      </c>
      <c r="C885" s="748" t="s">
        <v>1792</v>
      </c>
      <c r="D885" s="784">
        <v>200105942</v>
      </c>
      <c r="E885" s="1460" t="s">
        <v>376</v>
      </c>
      <c r="F885" s="3">
        <v>2</v>
      </c>
      <c r="G885" s="3" t="s">
        <v>60</v>
      </c>
      <c r="H885" s="804"/>
      <c r="I885" s="786">
        <v>460.5</v>
      </c>
      <c r="J885" s="804"/>
      <c r="K885" s="827" t="s">
        <v>2327</v>
      </c>
      <c r="L885" s="790">
        <v>45427</v>
      </c>
      <c r="M885" s="842"/>
      <c r="N885" s="842"/>
      <c r="O885" s="761" t="s">
        <v>62</v>
      </c>
      <c r="P885" s="3" t="s">
        <v>377</v>
      </c>
      <c r="Q885" s="842"/>
      <c r="R885" s="848"/>
      <c r="S885" s="3" t="s">
        <v>130</v>
      </c>
      <c r="T885" s="848"/>
      <c r="U885" s="786">
        <v>330.3</v>
      </c>
      <c r="V885" s="848"/>
      <c r="W885" s="848"/>
      <c r="X885" s="761" t="s">
        <v>2327</v>
      </c>
      <c r="Y885" s="761">
        <v>45427</v>
      </c>
      <c r="Z885" s="761" t="s">
        <v>62</v>
      </c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861"/>
    </row>
    <row r="886" spans="1:56" ht="13.95" customHeight="1">
      <c r="B886" s="747" t="s">
        <v>72</v>
      </c>
      <c r="C886" s="748" t="s">
        <v>1792</v>
      </c>
      <c r="D886" s="784">
        <v>200105943</v>
      </c>
      <c r="E886" s="1460" t="s">
        <v>378</v>
      </c>
      <c r="F886" s="3">
        <v>3</v>
      </c>
      <c r="G886" s="3" t="s">
        <v>60</v>
      </c>
      <c r="H886" s="804"/>
      <c r="I886" s="786">
        <v>464.8</v>
      </c>
      <c r="J886" s="804"/>
      <c r="K886" s="827" t="s">
        <v>2327</v>
      </c>
      <c r="L886" s="790">
        <v>45427</v>
      </c>
      <c r="M886" s="842"/>
      <c r="N886" s="842"/>
      <c r="O886" s="761" t="s">
        <v>62</v>
      </c>
      <c r="P886" s="3" t="s">
        <v>377</v>
      </c>
      <c r="Q886" s="842"/>
      <c r="R886" s="848"/>
      <c r="S886" s="3" t="s">
        <v>130</v>
      </c>
      <c r="T886" s="848"/>
      <c r="U886" s="786">
        <v>330</v>
      </c>
      <c r="V886" s="848"/>
      <c r="W886" s="848"/>
      <c r="X886" s="761" t="s">
        <v>2327</v>
      </c>
      <c r="Y886" s="761">
        <v>45427</v>
      </c>
      <c r="Z886" s="761" t="s">
        <v>62</v>
      </c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861"/>
    </row>
    <row r="887" spans="1:56" ht="13.95" customHeight="1">
      <c r="B887" s="747" t="s">
        <v>72</v>
      </c>
      <c r="C887" s="748" t="s">
        <v>1792</v>
      </c>
      <c r="D887" s="784">
        <v>200106125</v>
      </c>
      <c r="E887" s="1460" t="s">
        <v>379</v>
      </c>
      <c r="F887" s="3">
        <v>4</v>
      </c>
      <c r="G887" s="3" t="s">
        <v>128</v>
      </c>
      <c r="H887" s="804"/>
      <c r="I887" s="858">
        <v>461.5</v>
      </c>
      <c r="J887" s="804"/>
      <c r="K887" s="827" t="s">
        <v>2327</v>
      </c>
      <c r="L887" s="790">
        <v>45434</v>
      </c>
      <c r="M887" s="842"/>
      <c r="N887" s="842"/>
      <c r="O887" s="761" t="s">
        <v>62</v>
      </c>
      <c r="P887" s="3" t="s">
        <v>380</v>
      </c>
      <c r="Q887" s="842"/>
      <c r="R887" s="848"/>
      <c r="S887" s="3" t="s">
        <v>130</v>
      </c>
      <c r="T887" s="848"/>
      <c r="U887" s="762">
        <v>330</v>
      </c>
      <c r="V887" s="848"/>
      <c r="W887" s="848"/>
      <c r="X887" s="761" t="s">
        <v>2327</v>
      </c>
      <c r="Y887" s="761">
        <v>45434</v>
      </c>
      <c r="Z887" s="761" t="s">
        <v>62</v>
      </c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861"/>
    </row>
    <row r="888" spans="1:56" ht="13.95" customHeight="1">
      <c r="B888" s="747" t="s">
        <v>72</v>
      </c>
      <c r="C888" s="748" t="s">
        <v>1792</v>
      </c>
      <c r="D888" s="784">
        <v>200106126</v>
      </c>
      <c r="E888" s="1460" t="s">
        <v>381</v>
      </c>
      <c r="F888" s="3">
        <v>5</v>
      </c>
      <c r="G888" s="3" t="s">
        <v>128</v>
      </c>
      <c r="H888" s="804"/>
      <c r="I888" s="865">
        <v>466.1</v>
      </c>
      <c r="J888" s="804"/>
      <c r="K888" s="827" t="s">
        <v>2327</v>
      </c>
      <c r="L888" s="790">
        <v>45434</v>
      </c>
      <c r="M888" s="842"/>
      <c r="N888" s="842"/>
      <c r="O888" s="761" t="s">
        <v>62</v>
      </c>
      <c r="P888" s="3" t="s">
        <v>382</v>
      </c>
      <c r="Q888" s="842"/>
      <c r="R888" s="848"/>
      <c r="S888" s="3" t="s">
        <v>130</v>
      </c>
      <c r="T888" s="848"/>
      <c r="U888" s="786">
        <v>329.8</v>
      </c>
      <c r="V888" s="848"/>
      <c r="W888" s="848"/>
      <c r="X888" s="761" t="s">
        <v>2327</v>
      </c>
      <c r="Y888" s="761">
        <v>45434</v>
      </c>
      <c r="Z888" s="761" t="s">
        <v>62</v>
      </c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861"/>
    </row>
    <row r="889" spans="1:56" ht="13.95" customHeight="1">
      <c r="B889" s="747" t="s">
        <v>72</v>
      </c>
      <c r="C889" s="748" t="s">
        <v>1792</v>
      </c>
      <c r="D889" s="784">
        <v>200106127</v>
      </c>
      <c r="E889" s="1460" t="s">
        <v>383</v>
      </c>
      <c r="F889" s="3">
        <v>6</v>
      </c>
      <c r="G889" s="3" t="s">
        <v>60</v>
      </c>
      <c r="H889" s="804"/>
      <c r="I889" s="865">
        <v>461.4</v>
      </c>
      <c r="J889" s="804"/>
      <c r="K889" s="827" t="s">
        <v>2327</v>
      </c>
      <c r="L889" s="790">
        <v>45434</v>
      </c>
      <c r="M889" s="842"/>
      <c r="N889" s="842"/>
      <c r="O889" s="761" t="s">
        <v>62</v>
      </c>
      <c r="P889" s="3" t="s">
        <v>384</v>
      </c>
      <c r="Q889" s="842"/>
      <c r="R889" s="848"/>
      <c r="S889" s="3" t="s">
        <v>130</v>
      </c>
      <c r="T889" s="848"/>
      <c r="U889" s="786">
        <v>330</v>
      </c>
      <c r="V889" s="848"/>
      <c r="W889" s="848"/>
      <c r="X889" s="761" t="s">
        <v>2327</v>
      </c>
      <c r="Y889" s="761">
        <v>45434</v>
      </c>
      <c r="Z889" s="761" t="s">
        <v>62</v>
      </c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861"/>
    </row>
    <row r="890" spans="1:56" ht="13.95" customHeight="1">
      <c r="B890" s="747" t="s">
        <v>72</v>
      </c>
      <c r="C890" s="748" t="s">
        <v>1792</v>
      </c>
      <c r="D890" s="784">
        <v>200106128</v>
      </c>
      <c r="E890" s="1460" t="s">
        <v>385</v>
      </c>
      <c r="F890" s="3">
        <v>7</v>
      </c>
      <c r="G890" s="3" t="s">
        <v>60</v>
      </c>
      <c r="H890" s="804"/>
      <c r="I890" s="865">
        <v>465.5</v>
      </c>
      <c r="J890" s="804"/>
      <c r="K890" s="827" t="s">
        <v>2327</v>
      </c>
      <c r="L890" s="790">
        <v>45434</v>
      </c>
      <c r="M890" s="842"/>
      <c r="N890" s="842"/>
      <c r="O890" s="761" t="s">
        <v>62</v>
      </c>
      <c r="P890" s="3" t="s">
        <v>386</v>
      </c>
      <c r="Q890" s="842"/>
      <c r="R890" s="848"/>
      <c r="S890" s="3" t="s">
        <v>130</v>
      </c>
      <c r="T890" s="848"/>
      <c r="U890" s="786">
        <v>330</v>
      </c>
      <c r="V890" s="848"/>
      <c r="W890" s="848"/>
      <c r="X890" s="761" t="s">
        <v>2327</v>
      </c>
      <c r="Y890" s="761">
        <v>45434</v>
      </c>
      <c r="Z890" s="761" t="s">
        <v>62</v>
      </c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861"/>
    </row>
    <row r="891" spans="1:56" ht="13.95" customHeight="1">
      <c r="B891" s="747" t="s">
        <v>72</v>
      </c>
      <c r="C891" s="748" t="s">
        <v>1792</v>
      </c>
      <c r="D891" s="784">
        <v>200106129</v>
      </c>
      <c r="E891" s="1460" t="s">
        <v>387</v>
      </c>
      <c r="F891" s="3">
        <v>8</v>
      </c>
      <c r="G891" s="3" t="s">
        <v>60</v>
      </c>
      <c r="H891" s="804"/>
      <c r="I891" s="858">
        <f>152.5+155.2+152.2</f>
        <v>459.9</v>
      </c>
      <c r="J891" s="804"/>
      <c r="K891" s="827" t="s">
        <v>2327</v>
      </c>
      <c r="L891" s="790">
        <v>45436</v>
      </c>
      <c r="M891" s="842"/>
      <c r="N891" s="842"/>
      <c r="O891" s="761" t="s">
        <v>62</v>
      </c>
      <c r="P891" s="3" t="s">
        <v>388</v>
      </c>
      <c r="Q891" s="842"/>
      <c r="R891" s="848"/>
      <c r="S891" s="3" t="s">
        <v>130</v>
      </c>
      <c r="T891" s="848"/>
      <c r="U891" s="786">
        <v>330.2</v>
      </c>
      <c r="V891" s="848"/>
      <c r="W891" s="848"/>
      <c r="X891" s="761" t="s">
        <v>2327</v>
      </c>
      <c r="Y891" s="761">
        <v>45434</v>
      </c>
      <c r="Z891" s="761" t="s">
        <v>62</v>
      </c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861"/>
    </row>
    <row r="892" spans="1:56" ht="13.95" customHeight="1">
      <c r="B892" s="747" t="s">
        <v>72</v>
      </c>
      <c r="C892" s="748" t="s">
        <v>1792</v>
      </c>
      <c r="D892" s="784">
        <v>200106132</v>
      </c>
      <c r="E892" s="1460" t="s">
        <v>389</v>
      </c>
      <c r="F892" s="3">
        <v>9</v>
      </c>
      <c r="G892" s="3" t="s">
        <v>60</v>
      </c>
      <c r="H892" s="804"/>
      <c r="I892" s="865">
        <v>467.6</v>
      </c>
      <c r="J892" s="804"/>
      <c r="K892" s="827" t="s">
        <v>2327</v>
      </c>
      <c r="L892" s="790">
        <v>45436</v>
      </c>
      <c r="M892" s="842"/>
      <c r="N892" s="842"/>
      <c r="O892" s="761" t="s">
        <v>62</v>
      </c>
      <c r="P892" s="3" t="s">
        <v>390</v>
      </c>
      <c r="Q892" s="842"/>
      <c r="R892" s="848"/>
      <c r="S892" s="3" t="s">
        <v>130</v>
      </c>
      <c r="T892" s="848"/>
      <c r="U892" s="786">
        <v>330</v>
      </c>
      <c r="V892" s="848"/>
      <c r="W892" s="848"/>
      <c r="X892" s="761" t="s">
        <v>2327</v>
      </c>
      <c r="Y892" s="761">
        <v>45434</v>
      </c>
      <c r="Z892" s="761" t="s">
        <v>62</v>
      </c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861"/>
    </row>
    <row r="893" spans="1:56" ht="13.95" customHeight="1">
      <c r="B893" s="747" t="s">
        <v>72</v>
      </c>
      <c r="C893" s="748" t="s">
        <v>1792</v>
      </c>
      <c r="D893" s="784">
        <v>200106133</v>
      </c>
      <c r="E893" s="1460" t="s">
        <v>391</v>
      </c>
      <c r="F893" s="3">
        <v>10</v>
      </c>
      <c r="G893" s="3" t="s">
        <v>60</v>
      </c>
      <c r="H893" s="804"/>
      <c r="I893" s="865">
        <v>465.1</v>
      </c>
      <c r="J893" s="804"/>
      <c r="K893" s="827" t="s">
        <v>2327</v>
      </c>
      <c r="L893" s="790">
        <v>45440</v>
      </c>
      <c r="M893" s="842"/>
      <c r="N893" s="842"/>
      <c r="O893" s="761" t="s">
        <v>62</v>
      </c>
      <c r="P893" s="3" t="s">
        <v>392</v>
      </c>
      <c r="Q893" s="842"/>
      <c r="R893" s="848"/>
      <c r="S893" s="3" t="s">
        <v>130</v>
      </c>
      <c r="T893" s="848"/>
      <c r="U893" s="786">
        <v>329.9</v>
      </c>
      <c r="V893" s="848"/>
      <c r="W893" s="848"/>
      <c r="X893" s="761" t="s">
        <v>2327</v>
      </c>
      <c r="Y893" s="761">
        <v>45439</v>
      </c>
      <c r="Z893" s="761" t="s">
        <v>62</v>
      </c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861"/>
    </row>
    <row r="894" spans="1:56" ht="13.95" customHeight="1">
      <c r="B894" s="747" t="s">
        <v>72</v>
      </c>
      <c r="C894" s="748" t="s">
        <v>1792</v>
      </c>
      <c r="D894" s="784">
        <v>200106134</v>
      </c>
      <c r="E894" s="1460" t="s">
        <v>393</v>
      </c>
      <c r="F894" s="3">
        <v>11</v>
      </c>
      <c r="G894" s="3" t="s">
        <v>60</v>
      </c>
      <c r="H894" s="804"/>
      <c r="I894" s="865">
        <v>461.9</v>
      </c>
      <c r="J894" s="804"/>
      <c r="K894" s="827" t="s">
        <v>2327</v>
      </c>
      <c r="L894" s="790">
        <v>45441</v>
      </c>
      <c r="M894" s="842"/>
      <c r="N894" s="842"/>
      <c r="O894" s="761" t="s">
        <v>62</v>
      </c>
      <c r="P894" s="3" t="s">
        <v>394</v>
      </c>
      <c r="Q894" s="842"/>
      <c r="R894" s="848"/>
      <c r="S894" s="3" t="s">
        <v>130</v>
      </c>
      <c r="T894" s="848"/>
      <c r="U894" s="786">
        <v>329.9</v>
      </c>
      <c r="V894" s="848"/>
      <c r="W894" s="848"/>
      <c r="X894" s="761" t="s">
        <v>2327</v>
      </c>
      <c r="Y894" s="761">
        <v>45440</v>
      </c>
      <c r="Z894" s="761" t="s">
        <v>62</v>
      </c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861"/>
    </row>
    <row r="895" spans="1:56" ht="13.95" customHeight="1">
      <c r="B895" s="747" t="s">
        <v>72</v>
      </c>
      <c r="C895" s="748" t="s">
        <v>1792</v>
      </c>
      <c r="D895" s="784">
        <v>200106135</v>
      </c>
      <c r="E895" s="1460" t="s">
        <v>395</v>
      </c>
      <c r="F895" s="3">
        <v>12</v>
      </c>
      <c r="G895" s="3" t="s">
        <v>60</v>
      </c>
      <c r="H895" s="804"/>
      <c r="I895" s="858">
        <v>460.1</v>
      </c>
      <c r="J895" s="804"/>
      <c r="K895" s="827" t="s">
        <v>2327</v>
      </c>
      <c r="L895" s="790">
        <v>45443</v>
      </c>
      <c r="M895" s="842"/>
      <c r="N895" s="842"/>
      <c r="O895" s="761" t="s">
        <v>62</v>
      </c>
      <c r="P895" s="3" t="s">
        <v>396</v>
      </c>
      <c r="Q895" s="842"/>
      <c r="R895" s="848"/>
      <c r="S895" s="3" t="s">
        <v>130</v>
      </c>
      <c r="T895" s="848"/>
      <c r="U895" s="786">
        <v>330</v>
      </c>
      <c r="V895" s="848"/>
      <c r="W895" s="848"/>
      <c r="X895" s="761" t="s">
        <v>2327</v>
      </c>
      <c r="Y895" s="761">
        <v>45440</v>
      </c>
      <c r="Z895" s="761" t="s">
        <v>62</v>
      </c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861"/>
    </row>
    <row r="896" spans="1:56" ht="13.95" customHeight="1">
      <c r="B896" s="747" t="s">
        <v>72</v>
      </c>
      <c r="C896" s="748" t="s">
        <v>1792</v>
      </c>
      <c r="D896" s="784">
        <v>200106136</v>
      </c>
      <c r="E896" s="1460" t="s">
        <v>397</v>
      </c>
      <c r="F896" s="3">
        <v>13</v>
      </c>
      <c r="G896" s="3" t="s">
        <v>60</v>
      </c>
      <c r="H896" s="804"/>
      <c r="I896" s="858">
        <v>462.9</v>
      </c>
      <c r="J896" s="804"/>
      <c r="K896" s="827" t="s">
        <v>2327</v>
      </c>
      <c r="L896" s="790">
        <v>45443</v>
      </c>
      <c r="M896" s="842"/>
      <c r="N896" s="842"/>
      <c r="O896" s="761" t="s">
        <v>62</v>
      </c>
      <c r="P896" s="3" t="s">
        <v>398</v>
      </c>
      <c r="Q896" s="842"/>
      <c r="R896" s="848"/>
      <c r="S896" s="3" t="s">
        <v>130</v>
      </c>
      <c r="T896" s="848"/>
      <c r="U896" s="858">
        <v>330.2</v>
      </c>
      <c r="V896" s="848"/>
      <c r="W896" s="848"/>
      <c r="X896" s="761" t="s">
        <v>2327</v>
      </c>
      <c r="Y896" s="761">
        <v>45441</v>
      </c>
      <c r="Z896" s="761" t="s">
        <v>62</v>
      </c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861"/>
    </row>
    <row r="897" spans="2:39" ht="13.95" customHeight="1">
      <c r="B897" s="747" t="s">
        <v>72</v>
      </c>
      <c r="C897" s="748" t="s">
        <v>1792</v>
      </c>
      <c r="D897" s="784">
        <v>200106255</v>
      </c>
      <c r="E897" s="1460" t="s">
        <v>399</v>
      </c>
      <c r="F897" s="3">
        <v>14</v>
      </c>
      <c r="G897" s="3" t="s">
        <v>60</v>
      </c>
      <c r="H897" s="804"/>
      <c r="I897" s="858">
        <v>468</v>
      </c>
      <c r="J897" s="804"/>
      <c r="K897" s="827" t="s">
        <v>2327</v>
      </c>
      <c r="L897" s="790">
        <v>45443</v>
      </c>
      <c r="M897" s="842"/>
      <c r="N897" s="842"/>
      <c r="O897" s="761" t="s">
        <v>62</v>
      </c>
      <c r="P897" s="3" t="s">
        <v>400</v>
      </c>
      <c r="Q897" s="842"/>
      <c r="R897" s="848"/>
      <c r="S897" s="3" t="s">
        <v>130</v>
      </c>
      <c r="T897" s="848"/>
      <c r="U897" s="865">
        <v>330</v>
      </c>
      <c r="V897" s="848"/>
      <c r="W897" s="848"/>
      <c r="X897" s="761" t="s">
        <v>2327</v>
      </c>
      <c r="Y897" s="761">
        <v>45441</v>
      </c>
      <c r="Z897" s="761" t="s">
        <v>62</v>
      </c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861"/>
    </row>
    <row r="898" spans="2:39" ht="13.95" customHeight="1">
      <c r="B898" s="747" t="s">
        <v>72</v>
      </c>
      <c r="C898" s="748" t="s">
        <v>1792</v>
      </c>
      <c r="D898" s="784">
        <v>200106256</v>
      </c>
      <c r="E898" s="1460" t="s">
        <v>401</v>
      </c>
      <c r="F898" s="3">
        <v>15</v>
      </c>
      <c r="G898" s="3" t="s">
        <v>60</v>
      </c>
      <c r="H898" s="804"/>
      <c r="I898" s="858">
        <v>464</v>
      </c>
      <c r="J898" s="804"/>
      <c r="K898" s="827" t="s">
        <v>2327</v>
      </c>
      <c r="L898" s="790">
        <v>45443</v>
      </c>
      <c r="M898" s="842"/>
      <c r="N898" s="842"/>
      <c r="O898" s="761" t="s">
        <v>62</v>
      </c>
      <c r="P898" s="3" t="s">
        <v>402</v>
      </c>
      <c r="Q898" s="842"/>
      <c r="R898" s="848"/>
      <c r="S898" s="3" t="s">
        <v>130</v>
      </c>
      <c r="T898" s="848"/>
      <c r="U898" s="865">
        <v>330</v>
      </c>
      <c r="V898" s="848"/>
      <c r="W898" s="848"/>
      <c r="X898" s="761" t="s">
        <v>2327</v>
      </c>
      <c r="Y898" s="761">
        <v>45441</v>
      </c>
      <c r="Z898" s="761" t="s">
        <v>62</v>
      </c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861"/>
    </row>
    <row r="899" spans="2:39" ht="13.95" customHeight="1">
      <c r="B899" s="747" t="s">
        <v>72</v>
      </c>
      <c r="C899" s="748" t="s">
        <v>1792</v>
      </c>
      <c r="D899" s="784">
        <v>200106257</v>
      </c>
      <c r="E899" s="1460" t="s">
        <v>403</v>
      </c>
      <c r="F899" s="3">
        <v>16</v>
      </c>
      <c r="G899" s="3" t="s">
        <v>60</v>
      </c>
      <c r="H899" s="804"/>
      <c r="I899" s="786">
        <v>464.1</v>
      </c>
      <c r="J899" s="804"/>
      <c r="K899" s="827" t="s">
        <v>2411</v>
      </c>
      <c r="L899" s="790">
        <v>45448</v>
      </c>
      <c r="M899" s="842"/>
      <c r="N899" s="842"/>
      <c r="O899" s="761" t="s">
        <v>62</v>
      </c>
      <c r="P899" s="3" t="s">
        <v>404</v>
      </c>
      <c r="Q899" s="842"/>
      <c r="R899" s="848"/>
      <c r="S899" s="3" t="s">
        <v>130</v>
      </c>
      <c r="T899" s="848"/>
      <c r="U899" s="858">
        <v>330.1</v>
      </c>
      <c r="V899" s="848"/>
      <c r="W899" s="848"/>
      <c r="X899" s="761" t="s">
        <v>2411</v>
      </c>
      <c r="Y899" s="761">
        <v>45447</v>
      </c>
      <c r="Z899" s="761" t="s">
        <v>62</v>
      </c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861"/>
    </row>
    <row r="900" spans="2:39" ht="13.95" customHeight="1">
      <c r="B900" s="747" t="s">
        <v>72</v>
      </c>
      <c r="C900" s="748" t="s">
        <v>1792</v>
      </c>
      <c r="D900" s="784">
        <v>200106258</v>
      </c>
      <c r="E900" s="1460" t="s">
        <v>405</v>
      </c>
      <c r="F900" s="3">
        <v>17</v>
      </c>
      <c r="G900" s="3" t="s">
        <v>60</v>
      </c>
      <c r="H900" s="804"/>
      <c r="I900" s="786">
        <v>467</v>
      </c>
      <c r="J900" s="804"/>
      <c r="K900" s="827" t="s">
        <v>2411</v>
      </c>
      <c r="L900" s="790">
        <v>45448</v>
      </c>
      <c r="M900" s="842"/>
      <c r="N900" s="842"/>
      <c r="O900" s="761" t="s">
        <v>62</v>
      </c>
      <c r="P900" s="3" t="s">
        <v>406</v>
      </c>
      <c r="Q900" s="842"/>
      <c r="R900" s="848"/>
      <c r="S900" s="3" t="s">
        <v>130</v>
      </c>
      <c r="T900" s="848"/>
      <c r="U900" s="858">
        <v>330</v>
      </c>
      <c r="V900" s="848"/>
      <c r="W900" s="848"/>
      <c r="X900" s="761" t="s">
        <v>2411</v>
      </c>
      <c r="Y900" s="761">
        <v>45447</v>
      </c>
      <c r="Z900" s="761" t="s">
        <v>62</v>
      </c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861"/>
    </row>
    <row r="901" spans="2:39" ht="13.95" customHeight="1">
      <c r="B901" s="747" t="s">
        <v>72</v>
      </c>
      <c r="C901" s="748" t="s">
        <v>1792</v>
      </c>
      <c r="D901" s="784">
        <v>200106259</v>
      </c>
      <c r="E901" s="1460" t="s">
        <v>407</v>
      </c>
      <c r="F901" s="3">
        <v>18</v>
      </c>
      <c r="G901" s="3" t="s">
        <v>60</v>
      </c>
      <c r="H901" s="804"/>
      <c r="I901" s="786">
        <f>154+156+156</f>
        <v>466</v>
      </c>
      <c r="J901" s="804"/>
      <c r="K901" s="827" t="s">
        <v>2411</v>
      </c>
      <c r="L901" s="790">
        <v>45450</v>
      </c>
      <c r="M901" s="842"/>
      <c r="N901" s="842"/>
      <c r="O901" s="761" t="s">
        <v>62</v>
      </c>
      <c r="P901" s="3" t="s">
        <v>408</v>
      </c>
      <c r="Q901" s="842"/>
      <c r="R901" s="848"/>
      <c r="S901" s="3" t="s">
        <v>130</v>
      </c>
      <c r="T901" s="848"/>
      <c r="U901" s="858">
        <v>330.1</v>
      </c>
      <c r="V901" s="848"/>
      <c r="W901" s="848"/>
      <c r="X901" s="761" t="s">
        <v>2411</v>
      </c>
      <c r="Y901" s="761">
        <v>45447</v>
      </c>
      <c r="Z901" s="761" t="s">
        <v>62</v>
      </c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861"/>
    </row>
    <row r="902" spans="2:39" ht="13.95" customHeight="1">
      <c r="B902" s="747" t="s">
        <v>72</v>
      </c>
      <c r="C902" s="748" t="s">
        <v>1792</v>
      </c>
      <c r="D902" s="784">
        <v>200106178</v>
      </c>
      <c r="E902" s="1460" t="s">
        <v>409</v>
      </c>
      <c r="F902" s="3">
        <v>19</v>
      </c>
      <c r="G902" s="3" t="s">
        <v>60</v>
      </c>
      <c r="H902" s="804"/>
      <c r="I902" s="786">
        <v>469.1</v>
      </c>
      <c r="J902" s="804"/>
      <c r="K902" s="827" t="s">
        <v>2411</v>
      </c>
      <c r="L902" s="790">
        <v>45450</v>
      </c>
      <c r="M902" s="842"/>
      <c r="N902" s="842"/>
      <c r="O902" s="761" t="s">
        <v>62</v>
      </c>
      <c r="P902" s="3" t="s">
        <v>410</v>
      </c>
      <c r="Q902" s="842"/>
      <c r="R902" s="848"/>
      <c r="S902" s="3" t="s">
        <v>130</v>
      </c>
      <c r="T902" s="848"/>
      <c r="U902" s="762">
        <v>329.8</v>
      </c>
      <c r="V902" s="848"/>
      <c r="W902" s="848"/>
      <c r="X902" s="761" t="s">
        <v>2411</v>
      </c>
      <c r="Y902" s="761">
        <v>45449</v>
      </c>
      <c r="Z902" s="761" t="s">
        <v>62</v>
      </c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861"/>
    </row>
    <row r="903" spans="2:39" ht="13.95" customHeight="1">
      <c r="B903" s="747" t="s">
        <v>72</v>
      </c>
      <c r="C903" s="748" t="s">
        <v>1792</v>
      </c>
      <c r="D903" s="784">
        <v>200106179</v>
      </c>
      <c r="E903" s="1460" t="s">
        <v>411</v>
      </c>
      <c r="F903" s="3">
        <v>20</v>
      </c>
      <c r="G903" s="3" t="s">
        <v>60</v>
      </c>
      <c r="H903" s="804"/>
      <c r="I903" s="786">
        <v>462.4</v>
      </c>
      <c r="J903" s="804"/>
      <c r="K903" s="827" t="s">
        <v>2411</v>
      </c>
      <c r="L903" s="790">
        <v>45450</v>
      </c>
      <c r="M903" s="842"/>
      <c r="N903" s="842"/>
      <c r="O903" s="761" t="s">
        <v>62</v>
      </c>
      <c r="P903" s="3" t="s">
        <v>412</v>
      </c>
      <c r="Q903" s="842"/>
      <c r="R903" s="848"/>
      <c r="S903" s="3" t="s">
        <v>130</v>
      </c>
      <c r="T903" s="848"/>
      <c r="U903" s="762">
        <v>330</v>
      </c>
      <c r="V903" s="848"/>
      <c r="W903" s="848"/>
      <c r="X903" s="761" t="s">
        <v>2411</v>
      </c>
      <c r="Y903" s="761">
        <v>45449</v>
      </c>
      <c r="Z903" s="761" t="s">
        <v>62</v>
      </c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861"/>
    </row>
    <row r="904" spans="2:39" ht="13.95" customHeight="1">
      <c r="B904" s="747" t="s">
        <v>72</v>
      </c>
      <c r="C904" s="748" t="s">
        <v>1792</v>
      </c>
      <c r="D904" s="784">
        <v>200106380</v>
      </c>
      <c r="E904" s="1460" t="s">
        <v>413</v>
      </c>
      <c r="F904" s="3">
        <v>21</v>
      </c>
      <c r="G904" s="3" t="s">
        <v>60</v>
      </c>
      <c r="H904" s="804"/>
      <c r="I904" s="762">
        <v>466.7</v>
      </c>
      <c r="J904" s="804"/>
      <c r="K904" s="827" t="s">
        <v>2411</v>
      </c>
      <c r="L904" s="790">
        <v>45453</v>
      </c>
      <c r="M904" s="842"/>
      <c r="N904" s="842"/>
      <c r="O904" s="761" t="s">
        <v>62</v>
      </c>
      <c r="P904" s="3" t="s">
        <v>414</v>
      </c>
      <c r="Q904" s="842"/>
      <c r="R904" s="848"/>
      <c r="S904" s="3" t="s">
        <v>130</v>
      </c>
      <c r="T904" s="848"/>
      <c r="U904" s="865">
        <v>330</v>
      </c>
      <c r="V904" s="848"/>
      <c r="W904" s="848"/>
      <c r="X904" s="761" t="s">
        <v>2411</v>
      </c>
      <c r="Y904" s="761">
        <v>45450</v>
      </c>
      <c r="Z904" s="761" t="s">
        <v>62</v>
      </c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861"/>
    </row>
    <row r="905" spans="2:39" ht="13.95" customHeight="1">
      <c r="B905" s="747" t="s">
        <v>72</v>
      </c>
      <c r="C905" s="748" t="s">
        <v>1792</v>
      </c>
      <c r="D905" s="784">
        <v>200106381</v>
      </c>
      <c r="E905" s="1460" t="s">
        <v>415</v>
      </c>
      <c r="F905" s="3">
        <v>22</v>
      </c>
      <c r="G905" s="3" t="s">
        <v>60</v>
      </c>
      <c r="H905" s="804"/>
      <c r="I905" s="762">
        <v>466.5</v>
      </c>
      <c r="J905" s="804"/>
      <c r="K905" s="827" t="s">
        <v>2411</v>
      </c>
      <c r="L905" s="790">
        <v>45453</v>
      </c>
      <c r="M905" s="842"/>
      <c r="N905" s="842"/>
      <c r="O905" s="761" t="s">
        <v>62</v>
      </c>
      <c r="P905" s="3" t="s">
        <v>416</v>
      </c>
      <c r="Q905" s="842"/>
      <c r="R905" s="848"/>
      <c r="S905" s="3" t="s">
        <v>130</v>
      </c>
      <c r="T905" s="848"/>
      <c r="U905" s="865">
        <v>329.9</v>
      </c>
      <c r="V905" s="848"/>
      <c r="W905" s="848"/>
      <c r="X905" s="761" t="s">
        <v>2411</v>
      </c>
      <c r="Y905" s="761">
        <v>45450</v>
      </c>
      <c r="Z905" s="761" t="s">
        <v>62</v>
      </c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861"/>
    </row>
    <row r="906" spans="2:39" ht="13.95" customHeight="1">
      <c r="B906" s="747" t="s">
        <v>72</v>
      </c>
      <c r="C906" s="748" t="s">
        <v>1792</v>
      </c>
      <c r="D906" s="784">
        <v>200106382</v>
      </c>
      <c r="E906" s="1460" t="s">
        <v>417</v>
      </c>
      <c r="F906" s="3">
        <v>23</v>
      </c>
      <c r="G906" s="3" t="s">
        <v>60</v>
      </c>
      <c r="H906" s="804"/>
      <c r="I906" s="786">
        <v>459.6</v>
      </c>
      <c r="J906" s="804"/>
      <c r="K906" s="827" t="s">
        <v>2411</v>
      </c>
      <c r="L906" s="790">
        <v>45454</v>
      </c>
      <c r="M906" s="842"/>
      <c r="N906" s="842"/>
      <c r="O906" s="761" t="s">
        <v>62</v>
      </c>
      <c r="P906" s="3" t="s">
        <v>418</v>
      </c>
      <c r="Q906" s="842"/>
      <c r="R906" s="848"/>
      <c r="S906" s="3" t="s">
        <v>130</v>
      </c>
      <c r="T906" s="848"/>
      <c r="U906" s="865">
        <v>330</v>
      </c>
      <c r="V906" s="848"/>
      <c r="W906" s="848"/>
      <c r="X906" s="761" t="s">
        <v>2411</v>
      </c>
      <c r="Y906" s="761">
        <v>45450</v>
      </c>
      <c r="Z906" s="761" t="s">
        <v>62</v>
      </c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861"/>
    </row>
    <row r="907" spans="2:39" ht="13.95" customHeight="1">
      <c r="B907" s="747" t="s">
        <v>72</v>
      </c>
      <c r="C907" s="748" t="s">
        <v>1792</v>
      </c>
      <c r="D907" s="784">
        <v>200106383</v>
      </c>
      <c r="E907" s="1460" t="s">
        <v>419</v>
      </c>
      <c r="F907" s="3">
        <v>24</v>
      </c>
      <c r="G907" s="3" t="s">
        <v>60</v>
      </c>
      <c r="H907" s="804"/>
      <c r="I907" s="786">
        <v>463</v>
      </c>
      <c r="J907" s="804"/>
      <c r="K907" s="827" t="s">
        <v>2411</v>
      </c>
      <c r="L907" s="790">
        <v>45454</v>
      </c>
      <c r="M907" s="842"/>
      <c r="N907" s="842"/>
      <c r="O907" s="761" t="s">
        <v>62</v>
      </c>
      <c r="P907" s="3" t="s">
        <v>420</v>
      </c>
      <c r="Q907" s="842"/>
      <c r="R907" s="848"/>
      <c r="S907" s="3" t="s">
        <v>130</v>
      </c>
      <c r="T907" s="848"/>
      <c r="U907" s="865">
        <v>330</v>
      </c>
      <c r="V907" s="848"/>
      <c r="W907" s="848"/>
      <c r="X907" s="761" t="s">
        <v>2411</v>
      </c>
      <c r="Y907" s="761">
        <v>45453</v>
      </c>
      <c r="Z907" s="761" t="s">
        <v>62</v>
      </c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861"/>
    </row>
    <row r="908" spans="2:39" ht="13.95" customHeight="1">
      <c r="B908" s="747" t="s">
        <v>72</v>
      </c>
      <c r="C908" s="748" t="s">
        <v>1792</v>
      </c>
      <c r="D908" s="784">
        <v>200106384</v>
      </c>
      <c r="E908" s="1460" t="s">
        <v>421</v>
      </c>
      <c r="F908" s="3">
        <v>25</v>
      </c>
      <c r="G908" s="3" t="s">
        <v>60</v>
      </c>
      <c r="H908" s="804"/>
      <c r="I908" s="762">
        <v>464.4</v>
      </c>
      <c r="J908" s="804"/>
      <c r="K908" s="827" t="s">
        <v>2411</v>
      </c>
      <c r="L908" s="790">
        <v>45454</v>
      </c>
      <c r="M908" s="842"/>
      <c r="N908" s="842"/>
      <c r="O908" s="761" t="s">
        <v>62</v>
      </c>
      <c r="P908" s="3" t="s">
        <v>422</v>
      </c>
      <c r="Q908" s="842"/>
      <c r="R908" s="848"/>
      <c r="S908" s="3" t="s">
        <v>130</v>
      </c>
      <c r="T908" s="848"/>
      <c r="U908" s="865">
        <v>330</v>
      </c>
      <c r="V908" s="848"/>
      <c r="W908" s="848"/>
      <c r="X908" s="761" t="s">
        <v>2411</v>
      </c>
      <c r="Y908" s="761">
        <v>45453</v>
      </c>
      <c r="Z908" s="761" t="s">
        <v>62</v>
      </c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861"/>
    </row>
    <row r="909" spans="2:39" ht="13.95" customHeight="1">
      <c r="B909" s="747" t="s">
        <v>72</v>
      </c>
      <c r="C909" s="748" t="s">
        <v>1792</v>
      </c>
      <c r="D909" s="784">
        <v>200106385</v>
      </c>
      <c r="E909" s="1494" t="s">
        <v>423</v>
      </c>
      <c r="F909" s="3">
        <v>26</v>
      </c>
      <c r="G909" s="3" t="s">
        <v>60</v>
      </c>
      <c r="H909" s="804"/>
      <c r="I909" s="762">
        <f>159.1+156.2+156.9</f>
        <v>472.19999999999993</v>
      </c>
      <c r="J909" s="804"/>
      <c r="K909" s="827" t="s">
        <v>2411</v>
      </c>
      <c r="L909" s="790">
        <v>45454</v>
      </c>
      <c r="M909" s="842"/>
      <c r="N909" s="842"/>
      <c r="O909" s="761" t="s">
        <v>62</v>
      </c>
      <c r="P909" s="3" t="s">
        <v>424</v>
      </c>
      <c r="Q909" s="842"/>
      <c r="R909" s="848"/>
      <c r="S909" s="3" t="s">
        <v>130</v>
      </c>
      <c r="T909" s="848"/>
      <c r="U909" s="858">
        <v>330.1</v>
      </c>
      <c r="V909" s="848"/>
      <c r="W909" s="848"/>
      <c r="X909" s="761" t="s">
        <v>2411</v>
      </c>
      <c r="Y909" s="761">
        <v>45454</v>
      </c>
      <c r="Z909" s="761" t="s">
        <v>62</v>
      </c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861"/>
    </row>
    <row r="910" spans="2:39" ht="13.95" customHeight="1">
      <c r="B910" s="747" t="s">
        <v>72</v>
      </c>
      <c r="C910" s="748" t="s">
        <v>1792</v>
      </c>
      <c r="D910" s="784">
        <v>200106386</v>
      </c>
      <c r="E910" s="1460" t="s">
        <v>425</v>
      </c>
      <c r="F910" s="3">
        <v>27</v>
      </c>
      <c r="G910" s="3" t="s">
        <v>60</v>
      </c>
      <c r="H910" s="804"/>
      <c r="I910" s="786">
        <f>150.8+154.7+157.8</f>
        <v>463.3</v>
      </c>
      <c r="J910" s="804"/>
      <c r="K910" s="827" t="s">
        <v>2411</v>
      </c>
      <c r="L910" s="790">
        <v>45456</v>
      </c>
      <c r="M910" s="842"/>
      <c r="N910" s="842"/>
      <c r="O910" s="761" t="s">
        <v>62</v>
      </c>
      <c r="P910" s="3" t="s">
        <v>426</v>
      </c>
      <c r="Q910" s="842"/>
      <c r="R910" s="848"/>
      <c r="S910" s="3" t="s">
        <v>130</v>
      </c>
      <c r="T910" s="848"/>
      <c r="U910" s="786">
        <v>330.3</v>
      </c>
      <c r="V910" s="848"/>
      <c r="W910" s="848"/>
      <c r="X910" s="761" t="s">
        <v>2411</v>
      </c>
      <c r="Y910" s="761">
        <v>45456</v>
      </c>
      <c r="Z910" s="761" t="s">
        <v>62</v>
      </c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861"/>
    </row>
    <row r="911" spans="2:39" ht="13.95" customHeight="1">
      <c r="B911" s="747" t="s">
        <v>72</v>
      </c>
      <c r="C911" s="748" t="s">
        <v>1792</v>
      </c>
      <c r="D911" s="784">
        <v>200106387</v>
      </c>
      <c r="E911" s="1460" t="s">
        <v>427</v>
      </c>
      <c r="F911" s="3">
        <v>28</v>
      </c>
      <c r="G911" s="3" t="s">
        <v>60</v>
      </c>
      <c r="H911" s="804"/>
      <c r="I911" s="786">
        <f>153.8+155.4+154.2</f>
        <v>463.40000000000003</v>
      </c>
      <c r="J911" s="804"/>
      <c r="K911" s="827" t="s">
        <v>2411</v>
      </c>
      <c r="L911" s="790">
        <v>45456</v>
      </c>
      <c r="M911" s="842"/>
      <c r="N911" s="842"/>
      <c r="O911" s="761" t="s">
        <v>62</v>
      </c>
      <c r="P911" s="3" t="s">
        <v>428</v>
      </c>
      <c r="Q911" s="842"/>
      <c r="R911" s="848"/>
      <c r="S911" s="3" t="s">
        <v>130</v>
      </c>
      <c r="T911" s="848"/>
      <c r="U911" s="786">
        <v>330.3</v>
      </c>
      <c r="V911" s="848"/>
      <c r="W911" s="848"/>
      <c r="X911" s="761" t="s">
        <v>2411</v>
      </c>
      <c r="Y911" s="761">
        <v>45456</v>
      </c>
      <c r="Z911" s="761" t="s">
        <v>62</v>
      </c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861"/>
    </row>
    <row r="912" spans="2:39" ht="13.95" customHeight="1">
      <c r="B912" s="747" t="s">
        <v>72</v>
      </c>
      <c r="C912" s="748" t="s">
        <v>1792</v>
      </c>
      <c r="D912" s="784">
        <v>200106388</v>
      </c>
      <c r="E912" s="1460" t="s">
        <v>429</v>
      </c>
      <c r="F912" s="3">
        <v>29</v>
      </c>
      <c r="G912" s="3" t="s">
        <v>60</v>
      </c>
      <c r="H912" s="804"/>
      <c r="I912" s="786">
        <f>154.2+159.1+155.3</f>
        <v>468.59999999999997</v>
      </c>
      <c r="J912" s="804"/>
      <c r="K912" s="827" t="s">
        <v>2411</v>
      </c>
      <c r="L912" s="790">
        <v>45456</v>
      </c>
      <c r="M912" s="842"/>
      <c r="N912" s="842"/>
      <c r="O912" s="761" t="s">
        <v>62</v>
      </c>
      <c r="P912" s="3" t="s">
        <v>430</v>
      </c>
      <c r="Q912" s="842"/>
      <c r="R912" s="848"/>
      <c r="S912" s="3" t="s">
        <v>130</v>
      </c>
      <c r="T912" s="848"/>
      <c r="U912" s="786">
        <v>330</v>
      </c>
      <c r="V912" s="848"/>
      <c r="W912" s="848"/>
      <c r="X912" s="761" t="s">
        <v>2411</v>
      </c>
      <c r="Y912" s="761">
        <v>45456</v>
      </c>
      <c r="Z912" s="761" t="s">
        <v>62</v>
      </c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861"/>
    </row>
    <row r="913" spans="1:56" ht="13.95" customHeight="1">
      <c r="B913" s="747" t="s">
        <v>72</v>
      </c>
      <c r="C913" s="748" t="s">
        <v>1792</v>
      </c>
      <c r="D913" s="784">
        <v>200106389</v>
      </c>
      <c r="E913" s="1460" t="s">
        <v>431</v>
      </c>
      <c r="F913" s="3">
        <v>30</v>
      </c>
      <c r="G913" s="3" t="s">
        <v>60</v>
      </c>
      <c r="H913" s="804"/>
      <c r="I913" s="786">
        <f>153.4+156.4+158.8</f>
        <v>468.6</v>
      </c>
      <c r="J913" s="804"/>
      <c r="K913" s="827" t="s">
        <v>2411</v>
      </c>
      <c r="L913" s="790">
        <v>45456</v>
      </c>
      <c r="M913" s="842"/>
      <c r="N913" s="842"/>
      <c r="O913" s="761" t="s">
        <v>62</v>
      </c>
      <c r="P913" s="3" t="s">
        <v>432</v>
      </c>
      <c r="Q913" s="842"/>
      <c r="R913" s="848"/>
      <c r="S913" s="3" t="s">
        <v>130</v>
      </c>
      <c r="T913" s="848"/>
      <c r="U913" s="786">
        <v>330.1</v>
      </c>
      <c r="V913" s="848"/>
      <c r="W913" s="848"/>
      <c r="X913" s="761" t="s">
        <v>2411</v>
      </c>
      <c r="Y913" s="761">
        <v>45456</v>
      </c>
      <c r="Z913" s="761" t="s">
        <v>62</v>
      </c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861"/>
    </row>
    <row r="914" spans="1:56" s="807" customFormat="1" ht="16.05" customHeight="1">
      <c r="A914" s="3"/>
      <c r="B914" s="807" t="s">
        <v>13</v>
      </c>
      <c r="C914" s="857" t="s">
        <v>3320</v>
      </c>
      <c r="AM914" s="853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862"/>
    </row>
    <row r="915" spans="1:56" ht="13.95" customHeight="1">
      <c r="B915" s="747" t="s">
        <v>433</v>
      </c>
      <c r="C915" s="748" t="s">
        <v>1792</v>
      </c>
      <c r="D915" s="784">
        <v>200106574</v>
      </c>
      <c r="E915" s="1460" t="s">
        <v>434</v>
      </c>
      <c r="F915" s="3">
        <v>1</v>
      </c>
      <c r="G915" s="3" t="s">
        <v>128</v>
      </c>
      <c r="H915" s="804"/>
      <c r="I915" s="786">
        <v>463.2</v>
      </c>
      <c r="J915" s="804"/>
      <c r="K915" s="827" t="s">
        <v>2411</v>
      </c>
      <c r="L915" s="790">
        <v>45464</v>
      </c>
      <c r="M915" s="842"/>
      <c r="N915" s="842"/>
      <c r="O915" s="761" t="s">
        <v>62</v>
      </c>
      <c r="P915" s="3" t="s">
        <v>435</v>
      </c>
      <c r="Q915" s="842"/>
      <c r="R915" s="848"/>
      <c r="S915" s="3" t="s">
        <v>130</v>
      </c>
      <c r="T915" s="848"/>
      <c r="U915" s="762">
        <v>330</v>
      </c>
      <c r="V915" s="848"/>
      <c r="W915" s="848"/>
      <c r="X915" s="761" t="s">
        <v>2411</v>
      </c>
      <c r="Y915" s="761">
        <v>45464</v>
      </c>
      <c r="Z915" s="761" t="s">
        <v>62</v>
      </c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861"/>
    </row>
    <row r="916" spans="1:56" ht="13.95" customHeight="1">
      <c r="B916" s="747" t="s">
        <v>433</v>
      </c>
      <c r="C916" s="748" t="s">
        <v>1792</v>
      </c>
      <c r="D916" s="784">
        <v>200106575</v>
      </c>
      <c r="E916" s="1460" t="s">
        <v>436</v>
      </c>
      <c r="F916" s="3">
        <v>2</v>
      </c>
      <c r="G916" s="3" t="s">
        <v>128</v>
      </c>
      <c r="H916" s="804"/>
      <c r="I916" s="786">
        <v>466.9</v>
      </c>
      <c r="J916" s="804"/>
      <c r="K916" s="827" t="s">
        <v>2411</v>
      </c>
      <c r="L916" s="790">
        <v>45464</v>
      </c>
      <c r="M916" s="842"/>
      <c r="N916" s="842"/>
      <c r="O916" s="761" t="s">
        <v>62</v>
      </c>
      <c r="P916" s="3" t="s">
        <v>437</v>
      </c>
      <c r="Q916" s="842"/>
      <c r="R916" s="848"/>
      <c r="S916" s="3" t="s">
        <v>130</v>
      </c>
      <c r="T916" s="848"/>
      <c r="U916" s="762">
        <v>330</v>
      </c>
      <c r="V916" s="848"/>
      <c r="W916" s="848"/>
      <c r="X916" s="761" t="s">
        <v>2411</v>
      </c>
      <c r="Y916" s="761">
        <v>45467</v>
      </c>
      <c r="Z916" s="761" t="s">
        <v>62</v>
      </c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861"/>
    </row>
    <row r="917" spans="1:56" ht="13.95" customHeight="1">
      <c r="B917" s="747" t="s">
        <v>433</v>
      </c>
      <c r="C917" s="748" t="s">
        <v>1792</v>
      </c>
      <c r="D917" s="784">
        <v>200106576</v>
      </c>
      <c r="E917" s="1460" t="s">
        <v>438</v>
      </c>
      <c r="F917" s="3">
        <v>3</v>
      </c>
      <c r="G917" s="3" t="s">
        <v>128</v>
      </c>
      <c r="H917" s="804"/>
      <c r="I917" s="786">
        <v>468.4</v>
      </c>
      <c r="J917" s="804"/>
      <c r="K917" s="827" t="s">
        <v>2411</v>
      </c>
      <c r="L917" s="790">
        <v>45467</v>
      </c>
      <c r="M917" s="842"/>
      <c r="N917" s="842"/>
      <c r="O917" s="761" t="s">
        <v>62</v>
      </c>
      <c r="P917" s="785" t="s">
        <v>439</v>
      </c>
      <c r="Q917" s="842"/>
      <c r="R917" s="848"/>
      <c r="S917" s="3" t="s">
        <v>130</v>
      </c>
      <c r="T917" s="848"/>
      <c r="U917" s="762">
        <v>329.9</v>
      </c>
      <c r="V917" s="848"/>
      <c r="W917" s="848"/>
      <c r="X917" s="761" t="s">
        <v>2411</v>
      </c>
      <c r="Y917" s="761">
        <v>45467</v>
      </c>
      <c r="Z917" s="761" t="s">
        <v>62</v>
      </c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861"/>
    </row>
    <row r="918" spans="1:56" ht="13.95" customHeight="1">
      <c r="B918" s="747" t="s">
        <v>433</v>
      </c>
      <c r="C918" s="748" t="s">
        <v>1792</v>
      </c>
      <c r="D918" s="784">
        <v>200106577</v>
      </c>
      <c r="E918" s="1460" t="s">
        <v>440</v>
      </c>
      <c r="F918" s="3">
        <v>4</v>
      </c>
      <c r="G918" s="3" t="s">
        <v>128</v>
      </c>
      <c r="H918" s="804"/>
      <c r="I918" s="786">
        <v>468.5</v>
      </c>
      <c r="J918" s="804"/>
      <c r="K918" s="827" t="s">
        <v>2411</v>
      </c>
      <c r="L918" s="790">
        <v>45467</v>
      </c>
      <c r="M918" s="842"/>
      <c r="N918" s="842"/>
      <c r="O918" s="761" t="s">
        <v>62</v>
      </c>
      <c r="P918" s="785" t="s">
        <v>441</v>
      </c>
      <c r="Q918" s="842"/>
      <c r="R918" s="848"/>
      <c r="S918" s="3" t="s">
        <v>130</v>
      </c>
      <c r="T918" s="848"/>
      <c r="U918" s="762">
        <v>329.8</v>
      </c>
      <c r="V918" s="848"/>
      <c r="W918" s="848"/>
      <c r="X918" s="761" t="s">
        <v>2411</v>
      </c>
      <c r="Y918" s="761">
        <v>45467</v>
      </c>
      <c r="Z918" s="761" t="s">
        <v>62</v>
      </c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861"/>
    </row>
    <row r="919" spans="1:56" ht="13.95" customHeight="1">
      <c r="B919" s="747" t="s">
        <v>433</v>
      </c>
      <c r="C919" s="748" t="s">
        <v>1792</v>
      </c>
      <c r="D919" s="784">
        <v>200106578</v>
      </c>
      <c r="E919" s="1460" t="s">
        <v>442</v>
      </c>
      <c r="F919" s="3">
        <v>5</v>
      </c>
      <c r="G919" s="3" t="s">
        <v>128</v>
      </c>
      <c r="H919" s="804"/>
      <c r="I919" s="762">
        <v>467.9</v>
      </c>
      <c r="J919" s="804"/>
      <c r="K919" s="827" t="s">
        <v>2411</v>
      </c>
      <c r="L919" s="790">
        <v>45467</v>
      </c>
      <c r="M919" s="842"/>
      <c r="N919" s="842"/>
      <c r="O919" s="761" t="s">
        <v>62</v>
      </c>
      <c r="P919" s="3" t="s">
        <v>443</v>
      </c>
      <c r="Q919" s="842"/>
      <c r="R919" s="848"/>
      <c r="S919" s="3" t="s">
        <v>130</v>
      </c>
      <c r="T919" s="848"/>
      <c r="U919" s="786">
        <v>329.9</v>
      </c>
      <c r="V919" s="848"/>
      <c r="W919" s="848"/>
      <c r="X919" s="761" t="s">
        <v>2411</v>
      </c>
      <c r="Y919" s="761">
        <v>45468</v>
      </c>
      <c r="Z919" s="761" t="s">
        <v>62</v>
      </c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861"/>
    </row>
    <row r="920" spans="1:56" ht="13.95" customHeight="1">
      <c r="B920" s="747" t="s">
        <v>433</v>
      </c>
      <c r="C920" s="748" t="s">
        <v>1792</v>
      </c>
      <c r="D920" s="784">
        <v>200106579</v>
      </c>
      <c r="E920" s="1460" t="s">
        <v>444</v>
      </c>
      <c r="F920" s="3">
        <v>6</v>
      </c>
      <c r="G920" s="3" t="s">
        <v>128</v>
      </c>
      <c r="H920" s="804"/>
      <c r="I920" s="762">
        <v>466.6</v>
      </c>
      <c r="J920" s="804"/>
      <c r="K920" s="827" t="s">
        <v>2411</v>
      </c>
      <c r="L920" s="790">
        <v>45467</v>
      </c>
      <c r="M920" s="842"/>
      <c r="N920" s="842"/>
      <c r="O920" s="761" t="s">
        <v>62</v>
      </c>
      <c r="P920" s="3" t="s">
        <v>445</v>
      </c>
      <c r="Q920" s="842"/>
      <c r="R920" s="848"/>
      <c r="S920" s="3" t="s">
        <v>130</v>
      </c>
      <c r="T920" s="848"/>
      <c r="U920" s="786">
        <v>330</v>
      </c>
      <c r="V920" s="848"/>
      <c r="W920" s="848"/>
      <c r="X920" s="761" t="s">
        <v>2411</v>
      </c>
      <c r="Y920" s="761">
        <v>45468</v>
      </c>
      <c r="Z920" s="761" t="s">
        <v>62</v>
      </c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861"/>
    </row>
    <row r="921" spans="1:56" ht="13.95" customHeight="1">
      <c r="B921" s="747" t="s">
        <v>433</v>
      </c>
      <c r="C921" s="748" t="s">
        <v>1792</v>
      </c>
      <c r="D921" s="784">
        <v>200106580</v>
      </c>
      <c r="E921" s="1460" t="s">
        <v>446</v>
      </c>
      <c r="F921" s="3">
        <v>7</v>
      </c>
      <c r="G921" s="3" t="s">
        <v>128</v>
      </c>
      <c r="H921" s="804"/>
      <c r="I921" s="786">
        <v>463.4</v>
      </c>
      <c r="J921" s="804"/>
      <c r="K921" s="827" t="s">
        <v>2411</v>
      </c>
      <c r="L921" s="790">
        <v>45468</v>
      </c>
      <c r="M921" s="842"/>
      <c r="N921" s="842"/>
      <c r="O921" s="761" t="s">
        <v>62</v>
      </c>
      <c r="P921" s="785" t="s">
        <v>447</v>
      </c>
      <c r="Q921" s="842"/>
      <c r="R921" s="848"/>
      <c r="S921" s="3" t="s">
        <v>130</v>
      </c>
      <c r="T921" s="848"/>
      <c r="U921" s="786">
        <v>329.9</v>
      </c>
      <c r="V921" s="848"/>
      <c r="W921" s="848"/>
      <c r="X921" s="761" t="s">
        <v>2411</v>
      </c>
      <c r="Y921" s="761">
        <v>45468</v>
      </c>
      <c r="Z921" s="761" t="s">
        <v>62</v>
      </c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861"/>
    </row>
    <row r="922" spans="1:56" ht="13.95" customHeight="1">
      <c r="B922" s="747" t="s">
        <v>433</v>
      </c>
      <c r="C922" s="748" t="s">
        <v>1792</v>
      </c>
      <c r="D922" s="784">
        <v>200106581</v>
      </c>
      <c r="E922" s="1460" t="s">
        <v>448</v>
      </c>
      <c r="F922" s="3">
        <v>8</v>
      </c>
      <c r="G922" s="3" t="s">
        <v>128</v>
      </c>
      <c r="H922" s="804"/>
      <c r="I922" s="786">
        <v>469.9</v>
      </c>
      <c r="J922" s="804"/>
      <c r="K922" s="827" t="s">
        <v>2411</v>
      </c>
      <c r="L922" s="790">
        <v>45468</v>
      </c>
      <c r="M922" s="842"/>
      <c r="N922" s="842"/>
      <c r="O922" s="761" t="s">
        <v>62</v>
      </c>
      <c r="P922" s="3" t="s">
        <v>449</v>
      </c>
      <c r="Q922" s="842"/>
      <c r="R922" s="848"/>
      <c r="S922" s="848"/>
      <c r="T922" s="848"/>
      <c r="U922" s="848"/>
      <c r="V922" s="848"/>
      <c r="W922" s="848"/>
      <c r="X922" s="848"/>
      <c r="Y922" s="848"/>
      <c r="Z922" s="848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861"/>
    </row>
    <row r="923" spans="1:56" ht="13.95" customHeight="1">
      <c r="B923" s="747" t="s">
        <v>433</v>
      </c>
      <c r="C923" s="748" t="s">
        <v>1792</v>
      </c>
      <c r="D923" s="784">
        <v>200106582</v>
      </c>
      <c r="E923" s="1460" t="s">
        <v>450</v>
      </c>
      <c r="F923" s="3">
        <v>9</v>
      </c>
      <c r="G923" s="3" t="s">
        <v>128</v>
      </c>
      <c r="H923" s="804"/>
      <c r="I923" s="786">
        <f>156.9+153.7+157.6</f>
        <v>468.20000000000005</v>
      </c>
      <c r="J923" s="804"/>
      <c r="K923" s="827" t="s">
        <v>2411</v>
      </c>
      <c r="L923" s="790">
        <v>45468</v>
      </c>
      <c r="M923" s="842"/>
      <c r="N923" s="842"/>
      <c r="O923" s="761" t="s">
        <v>62</v>
      </c>
      <c r="P923" s="785" t="s">
        <v>451</v>
      </c>
      <c r="Q923" s="842"/>
      <c r="R923" s="848"/>
      <c r="S923" s="848"/>
      <c r="T923" s="848"/>
      <c r="U923" s="848"/>
      <c r="V923" s="848"/>
      <c r="W923" s="848"/>
      <c r="X923" s="848"/>
      <c r="Y923" s="848"/>
      <c r="Z923" s="848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861"/>
    </row>
    <row r="924" spans="1:56" ht="13.95" customHeight="1">
      <c r="B924" s="747" t="s">
        <v>433</v>
      </c>
      <c r="C924" s="748" t="s">
        <v>1792</v>
      </c>
      <c r="D924" s="784">
        <v>200106583</v>
      </c>
      <c r="E924" s="1460" t="s">
        <v>452</v>
      </c>
      <c r="F924" s="3">
        <v>10</v>
      </c>
      <c r="G924" s="3" t="s">
        <v>128</v>
      </c>
      <c r="H924" s="804"/>
      <c r="I924" s="786">
        <f>155+158.5+156.9</f>
        <v>470.4</v>
      </c>
      <c r="J924" s="804"/>
      <c r="K924" s="827" t="s">
        <v>2411</v>
      </c>
      <c r="L924" s="790">
        <v>45468</v>
      </c>
      <c r="M924" s="842"/>
      <c r="N924" s="842"/>
      <c r="O924" s="761" t="s">
        <v>62</v>
      </c>
      <c r="P924" s="3" t="s">
        <v>453</v>
      </c>
      <c r="Q924" s="842"/>
      <c r="R924" s="848"/>
      <c r="S924" s="3" t="s">
        <v>130</v>
      </c>
      <c r="T924" s="848"/>
      <c r="U924" s="786">
        <v>330.4</v>
      </c>
      <c r="V924" s="848"/>
      <c r="W924" s="848"/>
      <c r="X924" s="761" t="s">
        <v>2411</v>
      </c>
      <c r="Y924" s="761">
        <v>45469</v>
      </c>
      <c r="Z924" s="761" t="s">
        <v>62</v>
      </c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861"/>
    </row>
    <row r="925" spans="1:56" ht="13.95" customHeight="1">
      <c r="B925" s="747" t="s">
        <v>433</v>
      </c>
      <c r="C925" s="748" t="s">
        <v>1792</v>
      </c>
      <c r="D925" s="784">
        <v>200106451</v>
      </c>
      <c r="E925" s="1460" t="s">
        <v>454</v>
      </c>
      <c r="F925" s="3">
        <v>11</v>
      </c>
      <c r="G925" s="3" t="s">
        <v>128</v>
      </c>
      <c r="H925" s="804"/>
      <c r="I925" s="786">
        <v>466.9</v>
      </c>
      <c r="J925" s="804"/>
      <c r="K925" s="827" t="s">
        <v>2411</v>
      </c>
      <c r="L925" s="790">
        <v>45471</v>
      </c>
      <c r="M925" s="842"/>
      <c r="N925" s="842"/>
      <c r="O925" s="761" t="s">
        <v>62</v>
      </c>
      <c r="P925" s="785" t="s">
        <v>455</v>
      </c>
      <c r="Q925" s="842"/>
      <c r="R925" s="848"/>
      <c r="S925" s="3" t="s">
        <v>130</v>
      </c>
      <c r="T925" s="848"/>
      <c r="U925" s="786">
        <v>330</v>
      </c>
      <c r="V925" s="848"/>
      <c r="W925" s="848"/>
      <c r="X925" s="761" t="s">
        <v>2411</v>
      </c>
      <c r="Y925" s="761">
        <v>45471</v>
      </c>
      <c r="Z925" s="761" t="s">
        <v>62</v>
      </c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861"/>
    </row>
    <row r="926" spans="1:56" ht="13.95" customHeight="1">
      <c r="B926" s="747" t="s">
        <v>433</v>
      </c>
      <c r="C926" s="748" t="s">
        <v>1792</v>
      </c>
      <c r="D926" s="784">
        <v>200106452</v>
      </c>
      <c r="E926" s="1460" t="s">
        <v>456</v>
      </c>
      <c r="F926" s="3">
        <v>12</v>
      </c>
      <c r="G926" s="3" t="s">
        <v>128</v>
      </c>
      <c r="H926" s="804"/>
      <c r="I926" s="786">
        <f>155.9+156.2+157</f>
        <v>469.1</v>
      </c>
      <c r="J926" s="804"/>
      <c r="K926" s="827" t="s">
        <v>2411</v>
      </c>
      <c r="L926" s="790">
        <v>45471</v>
      </c>
      <c r="M926" s="842"/>
      <c r="N926" s="842"/>
      <c r="O926" s="761" t="s">
        <v>62</v>
      </c>
      <c r="P926" s="3" t="s">
        <v>457</v>
      </c>
      <c r="Q926" s="842"/>
      <c r="R926" s="848"/>
      <c r="S926" s="3" t="s">
        <v>130</v>
      </c>
      <c r="T926" s="848"/>
      <c r="U926" s="786">
        <f>71.8+67.8+62.9+60.5+66.8</f>
        <v>329.8</v>
      </c>
      <c r="V926" s="848"/>
      <c r="W926" s="848"/>
      <c r="X926" s="761" t="s">
        <v>2411</v>
      </c>
      <c r="Y926" s="761">
        <v>45471</v>
      </c>
      <c r="Z926" s="761" t="s">
        <v>62</v>
      </c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861"/>
    </row>
    <row r="927" spans="1:56" ht="13.95" customHeight="1">
      <c r="B927" s="747" t="s">
        <v>433</v>
      </c>
      <c r="C927" s="748" t="s">
        <v>1792</v>
      </c>
      <c r="D927" s="784">
        <v>200106453</v>
      </c>
      <c r="E927" s="1460" t="s">
        <v>458</v>
      </c>
      <c r="F927" s="3">
        <v>13</v>
      </c>
      <c r="G927" s="3" t="s">
        <v>128</v>
      </c>
      <c r="H927" s="804"/>
      <c r="I927" s="786">
        <v>464.5</v>
      </c>
      <c r="J927" s="804"/>
      <c r="K927" s="827" t="s">
        <v>2411</v>
      </c>
      <c r="L927" s="790">
        <v>45471</v>
      </c>
      <c r="M927" s="842"/>
      <c r="N927" s="842"/>
      <c r="O927" s="761" t="s">
        <v>62</v>
      </c>
      <c r="P927" s="3" t="s">
        <v>459</v>
      </c>
      <c r="Q927" s="842"/>
      <c r="R927" s="848"/>
      <c r="S927" s="3" t="s">
        <v>130</v>
      </c>
      <c r="T927" s="848"/>
      <c r="U927" s="865">
        <v>329.9</v>
      </c>
      <c r="V927" s="848"/>
      <c r="W927" s="848"/>
      <c r="X927" s="761" t="s">
        <v>2512</v>
      </c>
      <c r="Y927" s="761">
        <v>45474</v>
      </c>
      <c r="Z927" s="761" t="s">
        <v>62</v>
      </c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861"/>
    </row>
    <row r="928" spans="1:56" ht="13.95" customHeight="1">
      <c r="B928" s="747" t="s">
        <v>433</v>
      </c>
      <c r="C928" s="748" t="s">
        <v>1792</v>
      </c>
      <c r="D928" s="784">
        <v>200106454</v>
      </c>
      <c r="E928" s="1460" t="s">
        <v>460</v>
      </c>
      <c r="F928" s="3">
        <v>14</v>
      </c>
      <c r="G928" s="3" t="s">
        <v>128</v>
      </c>
      <c r="H928" s="804"/>
      <c r="I928" s="786">
        <f>154.8+156+158.9</f>
        <v>469.70000000000005</v>
      </c>
      <c r="J928" s="804"/>
      <c r="K928" s="827" t="s">
        <v>2411</v>
      </c>
      <c r="L928" s="790">
        <v>45471</v>
      </c>
      <c r="M928" s="842"/>
      <c r="N928" s="842"/>
      <c r="O928" s="761" t="s">
        <v>62</v>
      </c>
      <c r="P928" s="785" t="s">
        <v>461</v>
      </c>
      <c r="Q928" s="842"/>
      <c r="R928" s="848"/>
      <c r="S928" s="3" t="s">
        <v>130</v>
      </c>
      <c r="T928" s="848"/>
      <c r="U928" s="865">
        <v>329.9</v>
      </c>
      <c r="V928" s="848"/>
      <c r="W928" s="848"/>
      <c r="X928" s="761" t="s">
        <v>2512</v>
      </c>
      <c r="Y928" s="761">
        <v>45474</v>
      </c>
      <c r="Z928" s="761" t="s">
        <v>62</v>
      </c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861"/>
    </row>
    <row r="929" spans="1:56" ht="13.95" customHeight="1">
      <c r="B929" s="747" t="s">
        <v>433</v>
      </c>
      <c r="C929" s="748" t="s">
        <v>1792</v>
      </c>
      <c r="D929" s="784">
        <v>200106455</v>
      </c>
      <c r="E929" s="1460" t="s">
        <v>462</v>
      </c>
      <c r="F929" s="3">
        <v>15</v>
      </c>
      <c r="G929" s="3" t="s">
        <v>128</v>
      </c>
      <c r="H929" s="804"/>
      <c r="I929" s="865">
        <v>466</v>
      </c>
      <c r="J929" s="804"/>
      <c r="K929" s="827" t="s">
        <v>2512</v>
      </c>
      <c r="L929" s="790">
        <v>45474</v>
      </c>
      <c r="M929" s="842"/>
      <c r="N929" s="842"/>
      <c r="O929" s="761" t="s">
        <v>62</v>
      </c>
      <c r="P929" s="785" t="s">
        <v>463</v>
      </c>
      <c r="Q929" s="842"/>
      <c r="R929" s="848"/>
      <c r="S929" s="3" t="s">
        <v>130</v>
      </c>
      <c r="T929" s="848"/>
      <c r="U929" s="865">
        <v>329.7</v>
      </c>
      <c r="V929" s="848"/>
      <c r="W929" s="848"/>
      <c r="X929" s="761" t="s">
        <v>2512</v>
      </c>
      <c r="Y929" s="761">
        <v>45475</v>
      </c>
      <c r="Z929" s="761" t="s">
        <v>62</v>
      </c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861"/>
    </row>
    <row r="930" spans="1:56" ht="13.95" customHeight="1">
      <c r="B930" s="747" t="s">
        <v>433</v>
      </c>
      <c r="C930" s="748" t="s">
        <v>1792</v>
      </c>
      <c r="D930" s="784">
        <v>200106456</v>
      </c>
      <c r="E930" s="1460" t="s">
        <v>464</v>
      </c>
      <c r="F930" s="3">
        <v>16</v>
      </c>
      <c r="G930" s="3" t="s">
        <v>128</v>
      </c>
      <c r="H930" s="804"/>
      <c r="I930" s="865">
        <v>465.8</v>
      </c>
      <c r="J930" s="804"/>
      <c r="K930" s="827" t="s">
        <v>2512</v>
      </c>
      <c r="L930" s="790">
        <v>45474</v>
      </c>
      <c r="M930" s="842"/>
      <c r="N930" s="842"/>
      <c r="O930" s="761" t="s">
        <v>62</v>
      </c>
      <c r="P930" s="3" t="s">
        <v>465</v>
      </c>
      <c r="Q930" s="842"/>
      <c r="R930" s="848"/>
      <c r="S930" s="3" t="s">
        <v>130</v>
      </c>
      <c r="T930" s="848"/>
      <c r="U930" s="865">
        <v>329.7</v>
      </c>
      <c r="V930" s="848"/>
      <c r="W930" s="848"/>
      <c r="X930" s="761" t="s">
        <v>2512</v>
      </c>
      <c r="Y930" s="761">
        <v>45475</v>
      </c>
      <c r="Z930" s="761" t="s">
        <v>62</v>
      </c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861"/>
    </row>
    <row r="931" spans="1:56" ht="13.95" customHeight="1">
      <c r="B931" s="747" t="s">
        <v>433</v>
      </c>
      <c r="C931" s="748" t="s">
        <v>1792</v>
      </c>
      <c r="D931" s="784">
        <v>200106457</v>
      </c>
      <c r="E931" s="1460" t="s">
        <v>466</v>
      </c>
      <c r="F931" s="3">
        <v>17</v>
      </c>
      <c r="G931" s="3" t="s">
        <v>128</v>
      </c>
      <c r="H931" s="804"/>
      <c r="I931" s="865">
        <f>156.8+156.5+157.9</f>
        <v>471.20000000000005</v>
      </c>
      <c r="J931" s="804"/>
      <c r="K931" s="827" t="s">
        <v>2512</v>
      </c>
      <c r="L931" s="790">
        <v>45474</v>
      </c>
      <c r="M931" s="842"/>
      <c r="N931" s="842"/>
      <c r="O931" s="761" t="s">
        <v>62</v>
      </c>
      <c r="P931" s="3" t="s">
        <v>467</v>
      </c>
      <c r="Q931" s="842"/>
      <c r="R931" s="848"/>
      <c r="S931" s="3" t="s">
        <v>130</v>
      </c>
      <c r="T931" s="848"/>
      <c r="U931" s="865">
        <v>329.9</v>
      </c>
      <c r="V931" s="848"/>
      <c r="W931" s="848"/>
      <c r="X931" s="761" t="s">
        <v>2512</v>
      </c>
      <c r="Y931" s="761">
        <v>45475</v>
      </c>
      <c r="Z931" s="761" t="s">
        <v>62</v>
      </c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861"/>
    </row>
    <row r="932" spans="1:56" ht="13.95" customHeight="1">
      <c r="B932" s="747" t="s">
        <v>433</v>
      </c>
      <c r="C932" s="748" t="s">
        <v>1792</v>
      </c>
      <c r="D932" s="784">
        <v>200106458</v>
      </c>
      <c r="E932" s="1460" t="s">
        <v>468</v>
      </c>
      <c r="F932" s="3">
        <v>18</v>
      </c>
      <c r="G932" s="3" t="s">
        <v>128</v>
      </c>
      <c r="H932" s="804"/>
      <c r="I932" s="865">
        <f>153.9+155.2+154.8</f>
        <v>463.90000000000003</v>
      </c>
      <c r="J932" s="804"/>
      <c r="K932" s="827" t="s">
        <v>2512</v>
      </c>
      <c r="L932" s="790">
        <v>45475</v>
      </c>
      <c r="M932" s="842"/>
      <c r="N932" s="842"/>
      <c r="O932" s="761" t="s">
        <v>62</v>
      </c>
      <c r="P932" s="3" t="s">
        <v>469</v>
      </c>
      <c r="Q932" s="842"/>
      <c r="R932" s="848"/>
      <c r="S932" s="3" t="s">
        <v>130</v>
      </c>
      <c r="T932" s="848"/>
      <c r="U932" s="865">
        <v>329.8</v>
      </c>
      <c r="V932" s="848"/>
      <c r="W932" s="848"/>
      <c r="X932" s="761" t="s">
        <v>2512</v>
      </c>
      <c r="Y932" s="761">
        <v>45475</v>
      </c>
      <c r="Z932" s="761" t="s">
        <v>62</v>
      </c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861"/>
    </row>
    <row r="933" spans="1:56" ht="13.95" customHeight="1">
      <c r="B933" s="747" t="s">
        <v>433</v>
      </c>
      <c r="C933" s="748" t="s">
        <v>1792</v>
      </c>
      <c r="D933" s="784">
        <v>200106459</v>
      </c>
      <c r="E933" s="1460" t="s">
        <v>470</v>
      </c>
      <c r="F933" s="3">
        <v>19</v>
      </c>
      <c r="G933" s="3" t="s">
        <v>128</v>
      </c>
      <c r="H933" s="804"/>
      <c r="I933" s="858">
        <v>465</v>
      </c>
      <c r="J933" s="804"/>
      <c r="K933" s="827" t="s">
        <v>2512</v>
      </c>
      <c r="L933" s="790">
        <v>45476</v>
      </c>
      <c r="M933" s="842"/>
      <c r="N933" s="842"/>
      <c r="O933" s="761" t="s">
        <v>62</v>
      </c>
      <c r="P933" s="785" t="s">
        <v>471</v>
      </c>
      <c r="Q933" s="842"/>
      <c r="R933" s="848"/>
      <c r="S933" s="3" t="s">
        <v>130</v>
      </c>
      <c r="T933" s="848"/>
      <c r="U933" s="865">
        <v>329.6</v>
      </c>
      <c r="V933" s="848"/>
      <c r="W933" s="848"/>
      <c r="X933" s="761" t="s">
        <v>2512</v>
      </c>
      <c r="Y933" s="761">
        <v>45476</v>
      </c>
      <c r="Z933" s="761" t="s">
        <v>62</v>
      </c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861"/>
    </row>
    <row r="934" spans="1:56" ht="13.95" customHeight="1">
      <c r="B934" s="747" t="s">
        <v>433</v>
      </c>
      <c r="C934" s="748" t="s">
        <v>1792</v>
      </c>
      <c r="D934" s="784">
        <v>200106640</v>
      </c>
      <c r="E934" s="1460" t="s">
        <v>472</v>
      </c>
      <c r="F934" s="3">
        <v>20</v>
      </c>
      <c r="G934" s="3" t="s">
        <v>128</v>
      </c>
      <c r="H934" s="804"/>
      <c r="I934" s="858">
        <f>155.1+155.7+156.3</f>
        <v>467.09999999999997</v>
      </c>
      <c r="J934" s="804"/>
      <c r="K934" s="827" t="s">
        <v>2512</v>
      </c>
      <c r="L934" s="790">
        <v>45476</v>
      </c>
      <c r="M934" s="842"/>
      <c r="N934" s="842"/>
      <c r="O934" s="761" t="s">
        <v>62</v>
      </c>
      <c r="P934" s="3" t="s">
        <v>473</v>
      </c>
      <c r="Q934" s="842"/>
      <c r="R934" s="848"/>
      <c r="S934" s="3" t="s">
        <v>130</v>
      </c>
      <c r="T934" s="848"/>
      <c r="U934" s="865">
        <v>329.6</v>
      </c>
      <c r="V934" s="848"/>
      <c r="W934" s="848"/>
      <c r="X934" s="761" t="s">
        <v>2512</v>
      </c>
      <c r="Y934" s="761">
        <v>45476</v>
      </c>
      <c r="Z934" s="761" t="s">
        <v>62</v>
      </c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861"/>
    </row>
    <row r="935" spans="1:56" ht="13.95" customHeight="1">
      <c r="B935" s="747" t="s">
        <v>433</v>
      </c>
      <c r="C935" s="748" t="s">
        <v>1792</v>
      </c>
      <c r="D935" s="784">
        <v>200106641</v>
      </c>
      <c r="E935" s="1460" t="s">
        <v>474</v>
      </c>
      <c r="F935" s="3">
        <v>21</v>
      </c>
      <c r="G935" s="3" t="s">
        <v>128</v>
      </c>
      <c r="H935" s="804"/>
      <c r="I935" s="858">
        <f>154.99+149.59+162.21</f>
        <v>466.79000000000008</v>
      </c>
      <c r="J935" s="804"/>
      <c r="K935" s="827" t="s">
        <v>2512</v>
      </c>
      <c r="L935" s="790">
        <v>45476</v>
      </c>
      <c r="M935" s="842"/>
      <c r="N935" s="842"/>
      <c r="O935" s="761" t="s">
        <v>62</v>
      </c>
      <c r="P935" s="3" t="s">
        <v>475</v>
      </c>
      <c r="Q935" s="842"/>
      <c r="R935" s="848"/>
      <c r="S935" s="3" t="s">
        <v>130</v>
      </c>
      <c r="T935" s="848"/>
      <c r="U935" s="858">
        <v>330.1</v>
      </c>
      <c r="V935" s="848"/>
      <c r="W935" s="848"/>
      <c r="X935" s="761" t="s">
        <v>2512</v>
      </c>
      <c r="Y935" s="761">
        <v>45477</v>
      </c>
      <c r="Z935" s="761" t="s">
        <v>62</v>
      </c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861"/>
    </row>
    <row r="936" spans="1:56" ht="13.95" customHeight="1">
      <c r="B936" s="747" t="s">
        <v>433</v>
      </c>
      <c r="C936" s="748" t="s">
        <v>1792</v>
      </c>
      <c r="D936" s="784">
        <v>200106642</v>
      </c>
      <c r="E936" s="1460" t="s">
        <v>476</v>
      </c>
      <c r="F936" s="3">
        <v>22</v>
      </c>
      <c r="G936" s="3" t="s">
        <v>128</v>
      </c>
      <c r="H936" s="804"/>
      <c r="I936" s="858">
        <f>156.75+157.6+152.4</f>
        <v>466.75</v>
      </c>
      <c r="J936" s="804"/>
      <c r="K936" s="827" t="s">
        <v>2512</v>
      </c>
      <c r="L936" s="790">
        <v>45477</v>
      </c>
      <c r="M936" s="842"/>
      <c r="N936" s="842"/>
      <c r="O936" s="761" t="s">
        <v>62</v>
      </c>
      <c r="P936" s="785" t="s">
        <v>477</v>
      </c>
      <c r="Q936" s="842"/>
      <c r="R936" s="848"/>
      <c r="S936" s="3" t="s">
        <v>130</v>
      </c>
      <c r="T936" s="848"/>
      <c r="U936" s="858">
        <v>329.6</v>
      </c>
      <c r="V936" s="848"/>
      <c r="W936" s="848"/>
      <c r="X936" s="761" t="s">
        <v>2512</v>
      </c>
      <c r="Y936" s="761">
        <v>45477</v>
      </c>
      <c r="Z936" s="761" t="s">
        <v>62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861"/>
    </row>
    <row r="937" spans="1:56" ht="13.95" customHeight="1">
      <c r="B937" s="747" t="s">
        <v>433</v>
      </c>
      <c r="C937" s="748" t="s">
        <v>1792</v>
      </c>
      <c r="D937" s="784">
        <v>200106644</v>
      </c>
      <c r="E937" s="1460" t="s">
        <v>478</v>
      </c>
      <c r="F937" s="3">
        <v>23</v>
      </c>
      <c r="G937" s="3" t="s">
        <v>128</v>
      </c>
      <c r="H937" s="804"/>
      <c r="I937" s="858">
        <f>156.3+156+156.7</f>
        <v>469</v>
      </c>
      <c r="J937" s="804"/>
      <c r="K937" s="827" t="s">
        <v>2512</v>
      </c>
      <c r="L937" s="790">
        <v>45477</v>
      </c>
      <c r="M937" s="842"/>
      <c r="N937" s="842"/>
      <c r="O937" s="761" t="s">
        <v>62</v>
      </c>
      <c r="P937" s="785" t="s">
        <v>479</v>
      </c>
      <c r="Q937" s="842"/>
      <c r="R937" s="848"/>
      <c r="S937" s="3" t="s">
        <v>130</v>
      </c>
      <c r="T937" s="848"/>
      <c r="U937" s="858">
        <v>330.1</v>
      </c>
      <c r="V937" s="848"/>
      <c r="W937" s="848"/>
      <c r="X937" s="761" t="s">
        <v>2512</v>
      </c>
      <c r="Y937" s="761">
        <v>45481</v>
      </c>
      <c r="Z937" s="761" t="s">
        <v>62</v>
      </c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861"/>
    </row>
    <row r="938" spans="1:56" ht="13.95" customHeight="1">
      <c r="B938" s="747" t="s">
        <v>433</v>
      </c>
      <c r="C938" s="748" t="s">
        <v>1792</v>
      </c>
      <c r="D938" s="784">
        <v>200106665</v>
      </c>
      <c r="E938" s="1460" t="s">
        <v>480</v>
      </c>
      <c r="F938" s="3">
        <v>24</v>
      </c>
      <c r="G938" s="3" t="s">
        <v>128</v>
      </c>
      <c r="H938" s="804"/>
      <c r="I938" s="858">
        <f>156.4+155.19+153.81</f>
        <v>465.40000000000003</v>
      </c>
      <c r="J938" s="804"/>
      <c r="K938" s="827" t="s">
        <v>2512</v>
      </c>
      <c r="L938" s="790">
        <v>45477</v>
      </c>
      <c r="M938" s="842"/>
      <c r="N938" s="842"/>
      <c r="O938" s="761" t="s">
        <v>62</v>
      </c>
      <c r="P938" s="3" t="s">
        <v>481</v>
      </c>
      <c r="Q938" s="842"/>
      <c r="R938" s="848"/>
      <c r="S938" s="3" t="s">
        <v>130</v>
      </c>
      <c r="T938" s="848"/>
      <c r="U938" s="865">
        <v>330.1</v>
      </c>
      <c r="V938" s="848"/>
      <c r="W938" s="848"/>
      <c r="X938" s="761" t="s">
        <v>2512</v>
      </c>
      <c r="Y938" s="761">
        <v>45481</v>
      </c>
      <c r="Z938" s="761" t="s">
        <v>62</v>
      </c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861"/>
    </row>
    <row r="939" spans="1:56" ht="13.95" customHeight="1">
      <c r="B939" s="747" t="s">
        <v>433</v>
      </c>
      <c r="C939" s="748" t="s">
        <v>1792</v>
      </c>
      <c r="D939" s="784">
        <v>200106666</v>
      </c>
      <c r="E939" s="1460" t="s">
        <v>482</v>
      </c>
      <c r="F939" s="3">
        <v>25</v>
      </c>
      <c r="G939" s="3" t="s">
        <v>128</v>
      </c>
      <c r="H939" s="804"/>
      <c r="I939" s="858">
        <f>92.8+63.1+78+76.4+73.9+83</f>
        <v>467.20000000000005</v>
      </c>
      <c r="J939" s="804"/>
      <c r="K939" s="827" t="s">
        <v>2512</v>
      </c>
      <c r="L939" s="790">
        <v>45477</v>
      </c>
      <c r="M939" s="842"/>
      <c r="N939" s="842"/>
      <c r="O939" s="761" t="s">
        <v>62</v>
      </c>
      <c r="P939" s="3" t="s">
        <v>483</v>
      </c>
      <c r="Q939" s="842"/>
      <c r="R939" s="848"/>
      <c r="S939" s="3" t="s">
        <v>130</v>
      </c>
      <c r="T939" s="848"/>
      <c r="U939" s="865">
        <v>330.3</v>
      </c>
      <c r="V939" s="848"/>
      <c r="W939" s="848"/>
      <c r="X939" s="761" t="s">
        <v>2512</v>
      </c>
      <c r="Y939" s="761">
        <v>45482</v>
      </c>
      <c r="Z939" s="761" t="s">
        <v>62</v>
      </c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861"/>
    </row>
    <row r="940" spans="1:56" ht="13.95" customHeight="1">
      <c r="B940" s="747" t="s">
        <v>433</v>
      </c>
      <c r="C940" s="748" t="s">
        <v>1792</v>
      </c>
      <c r="D940" s="784">
        <v>200106667</v>
      </c>
      <c r="E940" s="1460" t="s">
        <v>484</v>
      </c>
      <c r="F940" s="3">
        <v>26</v>
      </c>
      <c r="G940" s="3" t="s">
        <v>128</v>
      </c>
      <c r="H940" s="804"/>
      <c r="I940" s="865">
        <f>158.1+149.4+156.6</f>
        <v>464.1</v>
      </c>
      <c r="J940" s="804"/>
      <c r="K940" s="827" t="s">
        <v>2512</v>
      </c>
      <c r="L940" s="790">
        <v>45481</v>
      </c>
      <c r="M940" s="842"/>
      <c r="N940" s="842"/>
      <c r="O940" s="761" t="s">
        <v>62</v>
      </c>
      <c r="P940" s="3" t="s">
        <v>485</v>
      </c>
      <c r="Q940" s="842"/>
      <c r="R940" s="848"/>
      <c r="S940" s="3" t="s">
        <v>130</v>
      </c>
      <c r="T940" s="848"/>
      <c r="U940" s="865">
        <v>330.2</v>
      </c>
      <c r="V940" s="848"/>
      <c r="W940" s="848"/>
      <c r="X940" s="761" t="s">
        <v>2512</v>
      </c>
      <c r="Y940" s="761">
        <v>45482</v>
      </c>
      <c r="Z940" s="761" t="s">
        <v>62</v>
      </c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861"/>
    </row>
    <row r="941" spans="1:56" ht="13.95" customHeight="1">
      <c r="B941" s="747" t="s">
        <v>433</v>
      </c>
      <c r="C941" s="748" t="s">
        <v>1792</v>
      </c>
      <c r="D941" s="784">
        <v>200106668</v>
      </c>
      <c r="E941" s="1460" t="s">
        <v>486</v>
      </c>
      <c r="F941" s="3">
        <v>27</v>
      </c>
      <c r="G941" s="3" t="s">
        <v>128</v>
      </c>
      <c r="H941" s="804"/>
      <c r="I941" s="865">
        <f>149.2+157.1+157.7</f>
        <v>463.99999999999994</v>
      </c>
      <c r="J941" s="804"/>
      <c r="K941" s="827" t="s">
        <v>2512</v>
      </c>
      <c r="L941" s="790">
        <v>45482</v>
      </c>
      <c r="M941" s="842"/>
      <c r="N941" s="842"/>
      <c r="O941" s="761" t="s">
        <v>62</v>
      </c>
      <c r="P941" s="3" t="s">
        <v>487</v>
      </c>
      <c r="Q941" s="842"/>
      <c r="R941" s="848"/>
      <c r="S941" s="3" t="s">
        <v>130</v>
      </c>
      <c r="T941" s="848"/>
      <c r="U941" s="865">
        <v>330.4</v>
      </c>
      <c r="V941" s="848"/>
      <c r="W941" s="848"/>
      <c r="X941" s="761" t="s">
        <v>2512</v>
      </c>
      <c r="Y941" s="761">
        <v>45482</v>
      </c>
      <c r="Z941" s="761" t="s">
        <v>62</v>
      </c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861"/>
    </row>
    <row r="942" spans="1:56" ht="13.95" customHeight="1">
      <c r="B942" s="747" t="s">
        <v>433</v>
      </c>
      <c r="C942" s="748" t="s">
        <v>1792</v>
      </c>
      <c r="D942" s="784">
        <v>200106669</v>
      </c>
      <c r="E942" s="1460" t="s">
        <v>488</v>
      </c>
      <c r="F942" s="3">
        <v>28</v>
      </c>
      <c r="G942" s="3" t="s">
        <v>128</v>
      </c>
      <c r="H942" s="804"/>
      <c r="I942" s="858">
        <f>155.9+159.4+153.9</f>
        <v>469.20000000000005</v>
      </c>
      <c r="J942" s="804"/>
      <c r="K942" s="827" t="s">
        <v>2512</v>
      </c>
      <c r="L942" s="790">
        <v>45483</v>
      </c>
      <c r="M942" s="842"/>
      <c r="N942" s="842"/>
      <c r="O942" s="761" t="s">
        <v>62</v>
      </c>
      <c r="P942" s="785" t="s">
        <v>489</v>
      </c>
      <c r="Q942" s="842"/>
      <c r="R942" s="848"/>
      <c r="S942" s="3" t="s">
        <v>130</v>
      </c>
      <c r="T942" s="848"/>
      <c r="U942" s="865">
        <v>330.3</v>
      </c>
      <c r="V942" s="848"/>
      <c r="W942" s="848"/>
      <c r="X942" s="761" t="s">
        <v>2512</v>
      </c>
      <c r="Y942" s="761">
        <v>45484</v>
      </c>
      <c r="Z942" s="761" t="s">
        <v>62</v>
      </c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861"/>
    </row>
    <row r="943" spans="1:56" ht="13.95" customHeight="1">
      <c r="B943" s="747" t="s">
        <v>433</v>
      </c>
      <c r="C943" s="748" t="s">
        <v>1792</v>
      </c>
      <c r="D943" s="784">
        <v>200106670</v>
      </c>
      <c r="E943" s="1460" t="s">
        <v>490</v>
      </c>
      <c r="F943" s="3">
        <v>29</v>
      </c>
      <c r="G943" s="3" t="s">
        <v>128</v>
      </c>
      <c r="H943" s="804"/>
      <c r="I943" s="858">
        <f>155.1+155.5+158.3</f>
        <v>468.90000000000003</v>
      </c>
      <c r="J943" s="804"/>
      <c r="K943" s="827" t="s">
        <v>2512</v>
      </c>
      <c r="L943" s="790">
        <v>45483</v>
      </c>
      <c r="M943" s="842"/>
      <c r="N943" s="842"/>
      <c r="O943" s="761" t="s">
        <v>62</v>
      </c>
      <c r="P943" s="785" t="s">
        <v>491</v>
      </c>
      <c r="Q943" s="842"/>
      <c r="R943" s="848"/>
      <c r="S943" s="3" t="s">
        <v>130</v>
      </c>
      <c r="T943" s="848"/>
      <c r="U943" s="865">
        <v>330.1</v>
      </c>
      <c r="V943" s="848"/>
      <c r="W943" s="848"/>
      <c r="X943" s="761" t="s">
        <v>2512</v>
      </c>
      <c r="Y943" s="761">
        <v>45484</v>
      </c>
      <c r="Z943" s="761" t="s">
        <v>62</v>
      </c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861"/>
    </row>
    <row r="944" spans="1:56" s="807" customFormat="1" ht="16.05" customHeight="1">
      <c r="A944" s="3"/>
      <c r="B944" s="807" t="s">
        <v>13</v>
      </c>
      <c r="C944" s="857" t="s">
        <v>3321</v>
      </c>
      <c r="AM944" s="853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862"/>
    </row>
    <row r="945" spans="2:39" ht="13.95" customHeight="1">
      <c r="B945" s="747" t="s">
        <v>100</v>
      </c>
      <c r="C945" s="748" t="s">
        <v>1792</v>
      </c>
      <c r="D945" s="784">
        <v>200106807</v>
      </c>
      <c r="E945" s="1460" t="s">
        <v>492</v>
      </c>
      <c r="F945" s="3">
        <v>1</v>
      </c>
      <c r="G945" s="3" t="s">
        <v>128</v>
      </c>
      <c r="H945" s="804"/>
      <c r="I945" s="762">
        <v>465.3</v>
      </c>
      <c r="J945" s="804"/>
      <c r="K945" s="827" t="s">
        <v>2512</v>
      </c>
      <c r="L945" s="790">
        <v>45503</v>
      </c>
      <c r="M945" s="842"/>
      <c r="N945" s="842"/>
      <c r="O945" s="761" t="s">
        <v>62</v>
      </c>
      <c r="P945" s="3" t="s">
        <v>493</v>
      </c>
      <c r="Q945" s="842"/>
      <c r="R945" s="848"/>
      <c r="S945" s="3" t="s">
        <v>130</v>
      </c>
      <c r="T945" s="848"/>
      <c r="U945" s="865">
        <v>330.1</v>
      </c>
      <c r="V945" s="848"/>
      <c r="W945" s="848"/>
      <c r="X945" s="761" t="s">
        <v>2512</v>
      </c>
      <c r="Y945" s="761">
        <v>45499</v>
      </c>
      <c r="Z945" s="761" t="s">
        <v>62</v>
      </c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861"/>
    </row>
    <row r="946" spans="2:39" ht="13.95" customHeight="1">
      <c r="B946" s="747" t="s">
        <v>100</v>
      </c>
      <c r="C946" s="748" t="s">
        <v>1792</v>
      </c>
      <c r="D946" s="784">
        <v>200106808</v>
      </c>
      <c r="E946" s="1460" t="s">
        <v>494</v>
      </c>
      <c r="F946" s="3">
        <v>2</v>
      </c>
      <c r="G946" s="3" t="s">
        <v>128</v>
      </c>
      <c r="H946" s="804"/>
      <c r="I946" s="762">
        <v>465.7</v>
      </c>
      <c r="J946" s="804"/>
      <c r="K946" s="827" t="s">
        <v>2512</v>
      </c>
      <c r="L946" s="790">
        <v>45503</v>
      </c>
      <c r="M946" s="842"/>
      <c r="N946" s="842"/>
      <c r="O946" s="761" t="s">
        <v>62</v>
      </c>
      <c r="P946" s="3" t="s">
        <v>495</v>
      </c>
      <c r="Q946" s="842"/>
      <c r="R946" s="848"/>
      <c r="S946" s="3" t="s">
        <v>130</v>
      </c>
      <c r="T946" s="848"/>
      <c r="U946" s="865">
        <v>330.5</v>
      </c>
      <c r="V946" s="848"/>
      <c r="W946" s="848"/>
      <c r="X946" s="761" t="s">
        <v>2512</v>
      </c>
      <c r="Y946" s="761">
        <v>45499</v>
      </c>
      <c r="Z946" s="761" t="s">
        <v>62</v>
      </c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861"/>
    </row>
    <row r="947" spans="2:39" ht="13.95" customHeight="1">
      <c r="B947" s="747" t="s">
        <v>100</v>
      </c>
      <c r="C947" s="748" t="s">
        <v>1792</v>
      </c>
      <c r="D947" s="784">
        <v>200106809</v>
      </c>
      <c r="E947" s="1460" t="s">
        <v>496</v>
      </c>
      <c r="F947" s="3">
        <v>3</v>
      </c>
      <c r="G947" s="3" t="s">
        <v>128</v>
      </c>
      <c r="H947" s="804"/>
      <c r="I947" s="762">
        <v>465.1</v>
      </c>
      <c r="J947" s="804"/>
      <c r="K947" s="827" t="s">
        <v>2512</v>
      </c>
      <c r="L947" s="790">
        <v>45503</v>
      </c>
      <c r="M947" s="842"/>
      <c r="N947" s="842"/>
      <c r="O947" s="761" t="s">
        <v>62</v>
      </c>
      <c r="P947" s="3" t="s">
        <v>497</v>
      </c>
      <c r="Q947" s="842"/>
      <c r="R947"/>
      <c r="S947" s="3" t="s">
        <v>130</v>
      </c>
      <c r="T947" s="848"/>
      <c r="U947" s="762">
        <v>329.8</v>
      </c>
      <c r="V947" s="848"/>
      <c r="W947" s="848"/>
      <c r="X947" s="761" t="s">
        <v>2512</v>
      </c>
      <c r="Y947" s="761">
        <v>45503</v>
      </c>
      <c r="Z947" s="761" t="s">
        <v>62</v>
      </c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861"/>
    </row>
    <row r="948" spans="2:39" ht="13.95" customHeight="1">
      <c r="B948" s="747" t="s">
        <v>100</v>
      </c>
      <c r="C948" s="748" t="s">
        <v>1792</v>
      </c>
      <c r="D948" s="784">
        <v>200106810</v>
      </c>
      <c r="E948" s="1460" t="s">
        <v>498</v>
      </c>
      <c r="F948" s="3">
        <v>4</v>
      </c>
      <c r="G948" s="3" t="s">
        <v>128</v>
      </c>
      <c r="H948" s="804"/>
      <c r="I948" s="762">
        <v>467.6</v>
      </c>
      <c r="J948" s="804"/>
      <c r="K948" s="827" t="s">
        <v>2512</v>
      </c>
      <c r="L948" s="790">
        <v>45504</v>
      </c>
      <c r="M948" s="842"/>
      <c r="N948" s="842"/>
      <c r="O948" s="761" t="s">
        <v>62</v>
      </c>
      <c r="P948" s="3" t="s">
        <v>499</v>
      </c>
      <c r="Q948" s="842"/>
      <c r="R948" s="848"/>
      <c r="S948" s="3" t="s">
        <v>130</v>
      </c>
      <c r="T948" s="848"/>
      <c r="U948" s="762">
        <v>329.8</v>
      </c>
      <c r="V948" s="848"/>
      <c r="W948" s="848"/>
      <c r="X948" s="761" t="s">
        <v>2512</v>
      </c>
      <c r="Y948" s="761">
        <v>45503</v>
      </c>
      <c r="Z948" s="761" t="s">
        <v>62</v>
      </c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861"/>
    </row>
    <row r="949" spans="2:39" ht="13.95" customHeight="1">
      <c r="B949" s="747" t="s">
        <v>100</v>
      </c>
      <c r="C949" s="748" t="s">
        <v>1792</v>
      </c>
      <c r="D949" s="784">
        <v>200106811</v>
      </c>
      <c r="E949" s="1460" t="s">
        <v>500</v>
      </c>
      <c r="F949" s="3">
        <v>5</v>
      </c>
      <c r="G949" s="3" t="s">
        <v>128</v>
      </c>
      <c r="H949" s="804"/>
      <c r="I949" s="762">
        <v>464.7</v>
      </c>
      <c r="J949" s="804"/>
      <c r="K949" s="827" t="s">
        <v>2512</v>
      </c>
      <c r="L949" s="790">
        <v>45504</v>
      </c>
      <c r="M949" s="842"/>
      <c r="N949" s="842"/>
      <c r="O949" s="761" t="s">
        <v>62</v>
      </c>
      <c r="P949" s="3" t="s">
        <v>501</v>
      </c>
      <c r="Q949" s="842"/>
      <c r="R949" s="848"/>
      <c r="S949" s="3" t="s">
        <v>130</v>
      </c>
      <c r="T949" s="848"/>
      <c r="U949" s="865">
        <v>330.2</v>
      </c>
      <c r="V949" s="848"/>
      <c r="W949" s="848"/>
      <c r="X949" s="761" t="s">
        <v>2556</v>
      </c>
      <c r="Y949" s="761">
        <v>45505</v>
      </c>
      <c r="Z949" s="761" t="s">
        <v>62</v>
      </c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861"/>
    </row>
    <row r="950" spans="2:39" ht="13.95" customHeight="1">
      <c r="B950" s="747" t="s">
        <v>100</v>
      </c>
      <c r="C950" s="748" t="s">
        <v>1792</v>
      </c>
      <c r="D950" s="784">
        <v>200106812</v>
      </c>
      <c r="E950" s="1460" t="s">
        <v>502</v>
      </c>
      <c r="F950" s="3">
        <v>6</v>
      </c>
      <c r="G950" s="3" t="s">
        <v>128</v>
      </c>
      <c r="H950" s="804"/>
      <c r="I950" s="762">
        <v>466.8</v>
      </c>
      <c r="J950" s="804"/>
      <c r="K950" s="827" t="s">
        <v>2512</v>
      </c>
      <c r="L950" s="790">
        <v>45504</v>
      </c>
      <c r="M950" s="842"/>
      <c r="N950" s="842"/>
      <c r="O950" s="761" t="s">
        <v>62</v>
      </c>
      <c r="P950" s="3" t="s">
        <v>503</v>
      </c>
      <c r="Q950" s="842"/>
      <c r="R950" s="848"/>
      <c r="S950" s="3" t="s">
        <v>130</v>
      </c>
      <c r="T950" s="848"/>
      <c r="U950" s="865">
        <v>330.1</v>
      </c>
      <c r="V950" s="848"/>
      <c r="W950" s="848"/>
      <c r="X950" s="761" t="s">
        <v>2556</v>
      </c>
      <c r="Y950" s="761">
        <v>45505</v>
      </c>
      <c r="Z950" s="761" t="s">
        <v>62</v>
      </c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861"/>
    </row>
    <row r="951" spans="2:39" ht="13.95" customHeight="1">
      <c r="B951" s="747" t="s">
        <v>100</v>
      </c>
      <c r="C951" s="748" t="s">
        <v>1792</v>
      </c>
      <c r="D951" s="784">
        <v>200106981</v>
      </c>
      <c r="E951" s="1460" t="s">
        <v>504</v>
      </c>
      <c r="F951" s="3">
        <v>7</v>
      </c>
      <c r="G951" s="3" t="s">
        <v>128</v>
      </c>
      <c r="H951" s="804"/>
      <c r="I951" s="865">
        <v>463.4</v>
      </c>
      <c r="J951" s="804"/>
      <c r="K951" s="827" t="s">
        <v>2556</v>
      </c>
      <c r="L951" s="790">
        <v>45505</v>
      </c>
      <c r="M951" s="842"/>
      <c r="N951" s="842"/>
      <c r="O951" s="761" t="s">
        <v>62</v>
      </c>
      <c r="P951" s="785" t="s">
        <v>505</v>
      </c>
      <c r="Q951" s="842"/>
      <c r="R951" s="848"/>
      <c r="S951" s="3" t="s">
        <v>130</v>
      </c>
      <c r="T951" s="848"/>
      <c r="U951" s="858">
        <v>330.1</v>
      </c>
      <c r="V951" s="848"/>
      <c r="W951" s="848"/>
      <c r="X951" s="761" t="s">
        <v>2556</v>
      </c>
      <c r="Y951" s="761">
        <v>45505</v>
      </c>
      <c r="Z951" s="761" t="s">
        <v>62</v>
      </c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861"/>
    </row>
    <row r="952" spans="2:39" ht="13.95" customHeight="1">
      <c r="B952" s="747" t="s">
        <v>100</v>
      </c>
      <c r="C952" s="748" t="s">
        <v>1792</v>
      </c>
      <c r="D952" s="784">
        <v>200106982</v>
      </c>
      <c r="E952" s="1460" t="s">
        <v>506</v>
      </c>
      <c r="F952" s="3">
        <v>8</v>
      </c>
      <c r="G952" s="3" t="s">
        <v>128</v>
      </c>
      <c r="H952" s="804"/>
      <c r="I952" s="865">
        <v>463.6</v>
      </c>
      <c r="J952" s="804"/>
      <c r="K952" s="827" t="s">
        <v>2556</v>
      </c>
      <c r="L952" s="790">
        <v>45505</v>
      </c>
      <c r="M952" s="842"/>
      <c r="N952" s="842"/>
      <c r="O952" s="761" t="s">
        <v>62</v>
      </c>
      <c r="P952" s="3" t="s">
        <v>507</v>
      </c>
      <c r="Q952" s="842"/>
      <c r="R952" s="848"/>
      <c r="S952" s="3" t="s">
        <v>130</v>
      </c>
      <c r="T952" s="848"/>
      <c r="U952" s="858">
        <v>329.8</v>
      </c>
      <c r="V952" s="848"/>
      <c r="W952" s="848"/>
      <c r="X952" s="761" t="s">
        <v>2556</v>
      </c>
      <c r="Y952" s="761">
        <v>45505</v>
      </c>
      <c r="Z952" s="761" t="s">
        <v>62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861"/>
    </row>
    <row r="953" spans="2:39" ht="13.95" customHeight="1">
      <c r="B953" s="747" t="s">
        <v>100</v>
      </c>
      <c r="C953" s="748" t="s">
        <v>1792</v>
      </c>
      <c r="D953" s="784">
        <v>200106983</v>
      </c>
      <c r="E953" s="1460" t="s">
        <v>508</v>
      </c>
      <c r="F953" s="3">
        <v>9</v>
      </c>
      <c r="G953" s="3" t="s">
        <v>128</v>
      </c>
      <c r="H953" s="804"/>
      <c r="I953" s="858">
        <v>466.1</v>
      </c>
      <c r="J953" s="804"/>
      <c r="K953" s="827" t="s">
        <v>2556</v>
      </c>
      <c r="L953" s="790">
        <v>45505</v>
      </c>
      <c r="M953" s="842"/>
      <c r="N953" s="842"/>
      <c r="O953" s="761" t="s">
        <v>62</v>
      </c>
      <c r="P953" s="3" t="s">
        <v>509</v>
      </c>
      <c r="Q953" s="842"/>
      <c r="R953" s="848"/>
      <c r="S953" s="3" t="s">
        <v>130</v>
      </c>
      <c r="T953" s="848"/>
      <c r="U953" s="865">
        <v>329.8</v>
      </c>
      <c r="V953" s="848"/>
      <c r="W953" s="848"/>
      <c r="X953" s="761" t="s">
        <v>2556</v>
      </c>
      <c r="Y953" s="761">
        <v>45506</v>
      </c>
      <c r="Z953" s="761" t="s">
        <v>62</v>
      </c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861"/>
    </row>
    <row r="954" spans="2:39" ht="13.95" customHeight="1">
      <c r="B954" s="747" t="s">
        <v>100</v>
      </c>
      <c r="C954" s="748" t="s">
        <v>1792</v>
      </c>
      <c r="D954" s="784">
        <v>200106984</v>
      </c>
      <c r="E954" s="1460" t="s">
        <v>510</v>
      </c>
      <c r="F954" s="3">
        <v>10</v>
      </c>
      <c r="G954" s="3" t="s">
        <v>128</v>
      </c>
      <c r="H954" s="804"/>
      <c r="I954" s="858">
        <v>468.8</v>
      </c>
      <c r="J954" s="804"/>
      <c r="K954" s="827" t="s">
        <v>2556</v>
      </c>
      <c r="L954" s="790">
        <v>45505</v>
      </c>
      <c r="M954" s="842"/>
      <c r="N954" s="842"/>
      <c r="O954" s="761" t="s">
        <v>62</v>
      </c>
      <c r="P954" s="3" t="s">
        <v>511</v>
      </c>
      <c r="Q954" s="842"/>
      <c r="R954" s="848"/>
      <c r="S954" s="3" t="s">
        <v>130</v>
      </c>
      <c r="T954" s="848"/>
      <c r="U954" s="858">
        <v>329.2</v>
      </c>
      <c r="V954" s="848"/>
      <c r="W954" s="848"/>
      <c r="X954" s="761" t="s">
        <v>2556</v>
      </c>
      <c r="Y954" s="761">
        <v>45509</v>
      </c>
      <c r="Z954" s="761" t="s">
        <v>62</v>
      </c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861"/>
    </row>
    <row r="955" spans="2:39" ht="13.95" customHeight="1">
      <c r="B955" s="747" t="s">
        <v>100</v>
      </c>
      <c r="C955" s="748" t="s">
        <v>1792</v>
      </c>
      <c r="D955" s="784">
        <v>200106886</v>
      </c>
      <c r="E955" s="1460" t="s">
        <v>512</v>
      </c>
      <c r="F955" s="3">
        <v>11</v>
      </c>
      <c r="G955" s="3" t="s">
        <v>128</v>
      </c>
      <c r="H955" s="804"/>
      <c r="I955" s="865">
        <v>464.4</v>
      </c>
      <c r="J955" s="804"/>
      <c r="K955" s="827" t="s">
        <v>2556</v>
      </c>
      <c r="L955" s="790">
        <v>45509</v>
      </c>
      <c r="M955" s="842"/>
      <c r="N955" s="842"/>
      <c r="O955" s="761" t="s">
        <v>62</v>
      </c>
      <c r="P955" s="785" t="s">
        <v>513</v>
      </c>
      <c r="Q955" s="842"/>
      <c r="R955" s="848"/>
      <c r="S955" s="3" t="s">
        <v>130</v>
      </c>
      <c r="T955" s="848"/>
      <c r="U955" s="858">
        <v>329.6</v>
      </c>
      <c r="V955" s="848"/>
      <c r="W955" s="848"/>
      <c r="X955" s="761" t="s">
        <v>2556</v>
      </c>
      <c r="Y955" s="761">
        <v>45509</v>
      </c>
      <c r="Z955" s="761" t="s">
        <v>62</v>
      </c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861"/>
    </row>
    <row r="956" spans="2:39" ht="13.95" customHeight="1">
      <c r="B956" s="747" t="s">
        <v>100</v>
      </c>
      <c r="C956" s="748" t="s">
        <v>1792</v>
      </c>
      <c r="D956" s="784">
        <v>200106887</v>
      </c>
      <c r="E956" s="1460" t="s">
        <v>515</v>
      </c>
      <c r="F956" s="3">
        <v>12</v>
      </c>
      <c r="G956" s="3" t="s">
        <v>128</v>
      </c>
      <c r="H956" s="804"/>
      <c r="I956" s="858">
        <v>468.6</v>
      </c>
      <c r="J956" s="804"/>
      <c r="K956" s="827" t="s">
        <v>2556</v>
      </c>
      <c r="L956" s="790">
        <v>45509</v>
      </c>
      <c r="M956" s="842"/>
      <c r="N956" s="842"/>
      <c r="O956" s="761" t="s">
        <v>62</v>
      </c>
      <c r="P956" s="3" t="s">
        <v>516</v>
      </c>
      <c r="Q956" s="842"/>
      <c r="R956" s="848"/>
      <c r="S956" s="3" t="s">
        <v>130</v>
      </c>
      <c r="T956" s="848"/>
      <c r="U956" s="858">
        <v>329.7</v>
      </c>
      <c r="V956" s="848"/>
      <c r="W956" s="848"/>
      <c r="X956" s="761" t="s">
        <v>2556</v>
      </c>
      <c r="Y956" s="761">
        <v>45510</v>
      </c>
      <c r="Z956" s="761" t="s">
        <v>62</v>
      </c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861"/>
    </row>
    <row r="957" spans="2:39" ht="13.95" customHeight="1">
      <c r="B957" s="747" t="s">
        <v>100</v>
      </c>
      <c r="C957" s="748" t="s">
        <v>1792</v>
      </c>
      <c r="D957" s="784">
        <v>200106888</v>
      </c>
      <c r="E957" s="1460" t="s">
        <v>517</v>
      </c>
      <c r="F957" s="3">
        <v>13</v>
      </c>
      <c r="G957" s="3" t="s">
        <v>128</v>
      </c>
      <c r="H957" s="804"/>
      <c r="I957" s="858">
        <v>463.2</v>
      </c>
      <c r="J957" s="804"/>
      <c r="K957" s="827" t="s">
        <v>2556</v>
      </c>
      <c r="L957" s="790">
        <v>45509</v>
      </c>
      <c r="M957" s="842"/>
      <c r="N957" s="842"/>
      <c r="O957" s="761" t="s">
        <v>62</v>
      </c>
      <c r="P957" s="3" t="s">
        <v>518</v>
      </c>
      <c r="Q957" s="842"/>
      <c r="R957" s="848"/>
      <c r="S957" s="3" t="s">
        <v>130</v>
      </c>
      <c r="T957" s="848"/>
      <c r="U957" s="858">
        <v>329.6</v>
      </c>
      <c r="V957" s="848"/>
      <c r="W957" s="848"/>
      <c r="X957" s="761" t="s">
        <v>2556</v>
      </c>
      <c r="Y957" s="761">
        <v>45510</v>
      </c>
      <c r="Z957" s="761" t="s">
        <v>62</v>
      </c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861"/>
    </row>
    <row r="958" spans="2:39" ht="13.95" customHeight="1">
      <c r="B958" s="747" t="s">
        <v>100</v>
      </c>
      <c r="C958" s="748" t="s">
        <v>1792</v>
      </c>
      <c r="D958" s="784">
        <v>200106889</v>
      </c>
      <c r="E958" s="1460" t="s">
        <v>519</v>
      </c>
      <c r="F958" s="3">
        <v>14</v>
      </c>
      <c r="G958" s="3" t="s">
        <v>128</v>
      </c>
      <c r="H958" s="804"/>
      <c r="I958" s="858">
        <v>463.4</v>
      </c>
      <c r="J958" s="804"/>
      <c r="K958" s="827" t="s">
        <v>2556</v>
      </c>
      <c r="L958" s="790">
        <v>45511</v>
      </c>
      <c r="M958" s="842"/>
      <c r="N958" s="842"/>
      <c r="O958" s="761" t="s">
        <v>62</v>
      </c>
      <c r="P958" s="785" t="s">
        <v>520</v>
      </c>
      <c r="Q958" s="842"/>
      <c r="R958" s="848"/>
      <c r="S958" s="3" t="s">
        <v>130</v>
      </c>
      <c r="T958" s="848"/>
      <c r="U958" s="858">
        <v>329.8</v>
      </c>
      <c r="V958" s="848"/>
      <c r="W958" s="848"/>
      <c r="X958" s="761" t="s">
        <v>2556</v>
      </c>
      <c r="Y958" s="761">
        <v>45510</v>
      </c>
      <c r="Z958" s="761" t="s">
        <v>62</v>
      </c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861"/>
    </row>
    <row r="959" spans="2:39" ht="13.95" customHeight="1">
      <c r="B959" s="747" t="s">
        <v>100</v>
      </c>
      <c r="C959" s="748" t="s">
        <v>1792</v>
      </c>
      <c r="D959" s="784">
        <v>200106890</v>
      </c>
      <c r="E959" s="1460" t="s">
        <v>521</v>
      </c>
      <c r="F959" s="3">
        <v>15</v>
      </c>
      <c r="G959" s="3" t="s">
        <v>128</v>
      </c>
      <c r="H959" s="804"/>
      <c r="I959" s="858">
        <v>469</v>
      </c>
      <c r="J959" s="804"/>
      <c r="K959" s="827" t="s">
        <v>2556</v>
      </c>
      <c r="L959" s="790">
        <v>45511</v>
      </c>
      <c r="M959" s="842"/>
      <c r="N959" s="842"/>
      <c r="O959" s="761" t="s">
        <v>62</v>
      </c>
      <c r="P959" s="3" t="s">
        <v>522</v>
      </c>
      <c r="Q959" s="842"/>
      <c r="R959" s="848"/>
      <c r="S959" s="3" t="s">
        <v>130</v>
      </c>
      <c r="T959" s="848"/>
      <c r="U959" s="858">
        <v>329.4</v>
      </c>
      <c r="V959" s="848"/>
      <c r="W959" s="848"/>
      <c r="X959" s="761" t="s">
        <v>2556</v>
      </c>
      <c r="Y959" s="761">
        <v>45511</v>
      </c>
      <c r="Z959" s="761" t="s">
        <v>62</v>
      </c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861"/>
    </row>
    <row r="960" spans="2:39" ht="13.95" customHeight="1">
      <c r="B960" s="747" t="s">
        <v>100</v>
      </c>
      <c r="C960" s="748" t="s">
        <v>1792</v>
      </c>
      <c r="D960" s="784">
        <v>200107042</v>
      </c>
      <c r="E960" s="1460" t="s">
        <v>524</v>
      </c>
      <c r="F960" s="3">
        <v>16</v>
      </c>
      <c r="G960" s="3" t="s">
        <v>128</v>
      </c>
      <c r="H960" s="804"/>
      <c r="I960" s="858">
        <v>471.6</v>
      </c>
      <c r="J960" s="804"/>
      <c r="K960" s="827" t="s">
        <v>2556</v>
      </c>
      <c r="L960" s="790">
        <v>45511</v>
      </c>
      <c r="M960" s="842"/>
      <c r="N960" s="842"/>
      <c r="O960" s="761" t="s">
        <v>62</v>
      </c>
      <c r="P960" s="3" t="s">
        <v>525</v>
      </c>
      <c r="Q960" s="842"/>
      <c r="R960" s="848"/>
      <c r="S960" s="3" t="s">
        <v>130</v>
      </c>
      <c r="T960" s="848"/>
      <c r="U960" s="858">
        <v>329.5</v>
      </c>
      <c r="V960" s="848"/>
      <c r="W960" s="848"/>
      <c r="X960" s="761" t="s">
        <v>2556</v>
      </c>
      <c r="Y960" s="761">
        <v>45511</v>
      </c>
      <c r="Z960" s="761" t="s">
        <v>62</v>
      </c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861"/>
    </row>
    <row r="961" spans="1:56" ht="13.95" customHeight="1">
      <c r="B961" s="747" t="s">
        <v>100</v>
      </c>
      <c r="C961" s="748" t="s">
        <v>1792</v>
      </c>
      <c r="D961" s="784">
        <v>200107043</v>
      </c>
      <c r="E961" s="1460" t="s">
        <v>526</v>
      </c>
      <c r="F961" s="3">
        <v>17</v>
      </c>
      <c r="G961" s="3" t="s">
        <v>128</v>
      </c>
      <c r="H961" s="804"/>
      <c r="I961" s="858">
        <f>152+155.4+161.3</f>
        <v>468.7</v>
      </c>
      <c r="J961" s="804"/>
      <c r="K961" s="827" t="s">
        <v>2556</v>
      </c>
      <c r="L961" s="790">
        <v>45511</v>
      </c>
      <c r="M961" s="842"/>
      <c r="N961" s="842"/>
      <c r="O961" s="761" t="s">
        <v>62</v>
      </c>
      <c r="P961" s="3" t="s">
        <v>527</v>
      </c>
      <c r="Q961" s="842"/>
      <c r="R961" s="848"/>
      <c r="S961" s="3" t="s">
        <v>130</v>
      </c>
      <c r="T961" s="848"/>
      <c r="U961" s="858">
        <v>330.1</v>
      </c>
      <c r="V961" s="848"/>
      <c r="W961" s="848"/>
      <c r="X961" s="761" t="s">
        <v>2556</v>
      </c>
      <c r="Y961" s="761">
        <v>45511</v>
      </c>
      <c r="Z961" s="761" t="s">
        <v>62</v>
      </c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861"/>
    </row>
    <row r="962" spans="1:56" ht="13.95" customHeight="1">
      <c r="B962" s="747" t="s">
        <v>100</v>
      </c>
      <c r="C962" s="748" t="s">
        <v>1792</v>
      </c>
      <c r="D962" s="784">
        <v>200107044</v>
      </c>
      <c r="E962" s="1460" t="s">
        <v>529</v>
      </c>
      <c r="F962" s="3">
        <v>18</v>
      </c>
      <c r="G962" s="3" t="s">
        <v>128</v>
      </c>
      <c r="H962" s="804"/>
      <c r="I962" s="858">
        <f>144.1+157.6+162.6</f>
        <v>464.29999999999995</v>
      </c>
      <c r="J962" s="804"/>
      <c r="K962" s="827" t="s">
        <v>2556</v>
      </c>
      <c r="L962" s="790">
        <v>45518</v>
      </c>
      <c r="M962" s="842"/>
      <c r="N962" s="842"/>
      <c r="O962" s="761" t="s">
        <v>62</v>
      </c>
      <c r="P962" s="3" t="s">
        <v>530</v>
      </c>
      <c r="Q962" s="842"/>
      <c r="R962" s="848"/>
      <c r="S962" s="3" t="s">
        <v>130</v>
      </c>
      <c r="T962" s="848"/>
      <c r="U962" s="858">
        <v>329.7</v>
      </c>
      <c r="V962" s="848"/>
      <c r="W962" s="848"/>
      <c r="X962" s="761" t="s">
        <v>2556</v>
      </c>
      <c r="Y962" s="761">
        <v>45518</v>
      </c>
      <c r="Z962" s="761" t="s">
        <v>62</v>
      </c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861"/>
    </row>
    <row r="963" spans="1:56" ht="13.95" customHeight="1">
      <c r="B963" s="747" t="s">
        <v>100</v>
      </c>
      <c r="C963" s="748" t="s">
        <v>1792</v>
      </c>
      <c r="D963" s="784">
        <v>200107045</v>
      </c>
      <c r="E963" s="1460" t="s">
        <v>531</v>
      </c>
      <c r="F963" s="3">
        <v>19</v>
      </c>
      <c r="G963" s="3" t="s">
        <v>128</v>
      </c>
      <c r="H963" s="804"/>
      <c r="I963" s="865">
        <f>150.8+155.7+156.1</f>
        <v>462.6</v>
      </c>
      <c r="J963" s="804"/>
      <c r="K963" s="827" t="s">
        <v>2556</v>
      </c>
      <c r="L963" s="790">
        <v>45520</v>
      </c>
      <c r="M963" s="842"/>
      <c r="N963" s="842"/>
      <c r="O963" s="761" t="s">
        <v>62</v>
      </c>
      <c r="P963" s="3" t="s">
        <v>532</v>
      </c>
      <c r="Q963" s="842"/>
      <c r="R963" s="848"/>
      <c r="S963" s="3" t="s">
        <v>130</v>
      </c>
      <c r="T963" s="848"/>
      <c r="U963" s="858">
        <v>330</v>
      </c>
      <c r="V963" s="848"/>
      <c r="W963" s="848"/>
      <c r="X963" s="761" t="s">
        <v>2556</v>
      </c>
      <c r="Y963" s="761">
        <v>45519</v>
      </c>
      <c r="Z963" s="761" t="s">
        <v>62</v>
      </c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861"/>
    </row>
    <row r="964" spans="1:56" ht="13.95" customHeight="1">
      <c r="B964" s="747" t="s">
        <v>100</v>
      </c>
      <c r="C964" s="748" t="s">
        <v>1792</v>
      </c>
      <c r="D964" s="784">
        <v>200107046</v>
      </c>
      <c r="E964" s="1460" t="s">
        <v>534</v>
      </c>
      <c r="F964" s="3">
        <v>20</v>
      </c>
      <c r="G964" s="3" t="s">
        <v>128</v>
      </c>
      <c r="H964" s="804"/>
      <c r="I964" s="858">
        <f>155.9+156+152.8</f>
        <v>464.7</v>
      </c>
      <c r="J964" s="804"/>
      <c r="K964" s="827" t="s">
        <v>2556</v>
      </c>
      <c r="L964" s="790">
        <v>45520</v>
      </c>
      <c r="M964" s="842"/>
      <c r="N964" s="842"/>
      <c r="O964" s="761" t="s">
        <v>62</v>
      </c>
      <c r="P964" s="3" t="s">
        <v>535</v>
      </c>
      <c r="Q964" s="842"/>
      <c r="R964" s="848"/>
      <c r="S964" s="3" t="s">
        <v>130</v>
      </c>
      <c r="T964" s="848"/>
      <c r="U964" s="858">
        <v>330.1</v>
      </c>
      <c r="V964" s="848"/>
      <c r="W964" s="848"/>
      <c r="X964" s="761" t="s">
        <v>2556</v>
      </c>
      <c r="Y964" s="761">
        <v>45519</v>
      </c>
      <c r="Z964" s="761" t="s">
        <v>62</v>
      </c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861"/>
    </row>
    <row r="965" spans="1:56" ht="13.95" customHeight="1">
      <c r="B965" s="747" t="s">
        <v>100</v>
      </c>
      <c r="C965" s="748" t="s">
        <v>1792</v>
      </c>
      <c r="D965" s="784">
        <v>200107047</v>
      </c>
      <c r="E965" s="1460" t="s">
        <v>536</v>
      </c>
      <c r="F965" s="3">
        <v>21</v>
      </c>
      <c r="G965" s="3" t="s">
        <v>128</v>
      </c>
      <c r="H965" s="804"/>
      <c r="I965" s="858">
        <f>155.9+156.1+159.1</f>
        <v>471.1</v>
      </c>
      <c r="J965" s="804"/>
      <c r="K965" s="827" t="s">
        <v>2556</v>
      </c>
      <c r="L965" s="790">
        <v>45520</v>
      </c>
      <c r="M965" s="842"/>
      <c r="N965" s="842"/>
      <c r="O965" s="761" t="s">
        <v>62</v>
      </c>
      <c r="P965" s="3" t="s">
        <v>537</v>
      </c>
      <c r="Q965" s="842"/>
      <c r="R965" s="848"/>
      <c r="S965" s="3" t="s">
        <v>130</v>
      </c>
      <c r="T965" s="848"/>
      <c r="U965" s="858">
        <v>329.9</v>
      </c>
      <c r="V965" s="848"/>
      <c r="W965" s="848"/>
      <c r="X965" s="761" t="s">
        <v>2556</v>
      </c>
      <c r="Y965" s="761">
        <v>45520</v>
      </c>
      <c r="Z965" s="761" t="s">
        <v>62</v>
      </c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861"/>
    </row>
    <row r="966" spans="1:56" ht="13.95" customHeight="1">
      <c r="B966" s="747" t="s">
        <v>100</v>
      </c>
      <c r="C966" s="748" t="s">
        <v>1792</v>
      </c>
      <c r="D966" s="784">
        <v>200107048</v>
      </c>
      <c r="E966" s="1460" t="s">
        <v>538</v>
      </c>
      <c r="F966" s="3">
        <v>22</v>
      </c>
      <c r="G966" s="3" t="s">
        <v>128</v>
      </c>
      <c r="H966" s="804"/>
      <c r="I966" s="858">
        <f>154.4+156.7+157</f>
        <v>468.1</v>
      </c>
      <c r="J966" s="804"/>
      <c r="K966" s="827" t="s">
        <v>2556</v>
      </c>
      <c r="L966" s="790">
        <v>45520</v>
      </c>
      <c r="M966" s="842"/>
      <c r="N966" s="842"/>
      <c r="O966" s="761" t="s">
        <v>62</v>
      </c>
      <c r="P966" s="3" t="s">
        <v>537</v>
      </c>
      <c r="Q966" s="842"/>
      <c r="R966" s="848"/>
      <c r="S966" s="3" t="s">
        <v>130</v>
      </c>
      <c r="T966" s="848"/>
      <c r="U966" s="865">
        <v>330.2</v>
      </c>
      <c r="V966" s="848"/>
      <c r="W966" s="848"/>
      <c r="X966" s="761" t="s">
        <v>2556</v>
      </c>
      <c r="Y966" s="761">
        <v>45524</v>
      </c>
      <c r="Z966" s="761" t="s">
        <v>62</v>
      </c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861"/>
    </row>
    <row r="967" spans="1:56" ht="13.95" customHeight="1">
      <c r="B967" s="747" t="s">
        <v>100</v>
      </c>
      <c r="C967" s="748" t="s">
        <v>1792</v>
      </c>
      <c r="D967" s="784">
        <v>200107049</v>
      </c>
      <c r="E967" s="1460" t="s">
        <v>539</v>
      </c>
      <c r="F967" s="3">
        <v>23</v>
      </c>
      <c r="G967" s="3" t="s">
        <v>128</v>
      </c>
      <c r="H967" s="804"/>
      <c r="I967" s="858">
        <f>152.3+153.3+156.2</f>
        <v>461.8</v>
      </c>
      <c r="J967" s="804"/>
      <c r="K967" s="827" t="s">
        <v>2556</v>
      </c>
      <c r="L967" s="790">
        <v>45525</v>
      </c>
      <c r="M967" s="842"/>
      <c r="N967" s="842"/>
      <c r="O967" s="761" t="s">
        <v>62</v>
      </c>
      <c r="P967" s="785" t="s">
        <v>540</v>
      </c>
      <c r="Q967" s="842"/>
      <c r="R967" s="848"/>
      <c r="S967" s="3" t="s">
        <v>130</v>
      </c>
      <c r="T967" s="848"/>
      <c r="U967" s="865">
        <v>329.7</v>
      </c>
      <c r="V967" s="848"/>
      <c r="W967" s="848"/>
      <c r="X967" s="761" t="s">
        <v>2556</v>
      </c>
      <c r="Y967" s="761">
        <v>45524</v>
      </c>
      <c r="Z967" s="761" t="s">
        <v>62</v>
      </c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861"/>
    </row>
    <row r="968" spans="1:56" s="807" customFormat="1" ht="16.05" customHeight="1">
      <c r="A968" s="3"/>
      <c r="B968" s="807" t="s">
        <v>13</v>
      </c>
      <c r="C968" s="866">
        <v>45536</v>
      </c>
      <c r="AM968" s="853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862"/>
    </row>
    <row r="969" spans="1:56" ht="13.95" customHeight="1">
      <c r="B969" s="747" t="s">
        <v>541</v>
      </c>
      <c r="C969" s="748" t="s">
        <v>1792</v>
      </c>
      <c r="D969" s="784">
        <v>200107174</v>
      </c>
      <c r="E969" s="1460" t="s">
        <v>543</v>
      </c>
      <c r="F969" s="3">
        <v>1</v>
      </c>
      <c r="G969" s="3" t="s">
        <v>128</v>
      </c>
      <c r="H969" s="804"/>
      <c r="I969" s="858">
        <f>145.8+164.7+153.4</f>
        <v>463.9</v>
      </c>
      <c r="J969" s="804"/>
      <c r="K969" s="827" t="s">
        <v>2556</v>
      </c>
      <c r="L969" s="790">
        <v>45525</v>
      </c>
      <c r="M969" s="842"/>
      <c r="N969" s="842"/>
      <c r="O969" s="761" t="s">
        <v>62</v>
      </c>
      <c r="P969" s="785" t="s">
        <v>544</v>
      </c>
      <c r="Q969" s="842"/>
      <c r="R969" s="848"/>
      <c r="S969" s="3" t="s">
        <v>130</v>
      </c>
      <c r="T969" s="848"/>
      <c r="U969" s="865">
        <v>330.3</v>
      </c>
      <c r="V969" s="848"/>
      <c r="W969" s="848"/>
      <c r="X969" s="761" t="s">
        <v>2556</v>
      </c>
      <c r="Y969" s="761">
        <v>45524</v>
      </c>
      <c r="Z969" s="761" t="s">
        <v>62</v>
      </c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861"/>
    </row>
    <row r="970" spans="1:56" ht="13.95" customHeight="1">
      <c r="B970" s="747" t="s">
        <v>541</v>
      </c>
      <c r="C970" s="748" t="s">
        <v>1792</v>
      </c>
      <c r="D970" s="784">
        <v>200107175</v>
      </c>
      <c r="E970" s="1460" t="s">
        <v>545</v>
      </c>
      <c r="F970" s="3">
        <v>2</v>
      </c>
      <c r="G970" s="3" t="s">
        <v>128</v>
      </c>
      <c r="H970" s="804"/>
      <c r="I970" s="865">
        <f>157.1+150.9+161.8</f>
        <v>469.8</v>
      </c>
      <c r="J970" s="804"/>
      <c r="K970" s="827" t="s">
        <v>2556</v>
      </c>
      <c r="L970" s="790">
        <v>45525</v>
      </c>
      <c r="M970" s="842"/>
      <c r="N970" s="842"/>
      <c r="O970" s="761" t="s">
        <v>62</v>
      </c>
      <c r="P970" s="3" t="s">
        <v>546</v>
      </c>
      <c r="Q970" s="842"/>
      <c r="R970" s="848"/>
      <c r="S970" s="3" t="s">
        <v>130</v>
      </c>
      <c r="T970" s="848"/>
      <c r="U970" s="865">
        <v>329.8</v>
      </c>
      <c r="V970" s="848"/>
      <c r="W970" s="848"/>
      <c r="X970" s="761" t="s">
        <v>2556</v>
      </c>
      <c r="Y970" s="761">
        <v>45526</v>
      </c>
      <c r="Z970" s="761" t="s">
        <v>62</v>
      </c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861"/>
    </row>
    <row r="971" spans="1:56" ht="13.95" customHeight="1">
      <c r="B971" s="747" t="s">
        <v>541</v>
      </c>
      <c r="C971" s="748" t="s">
        <v>1792</v>
      </c>
      <c r="D971" s="784">
        <v>200107176</v>
      </c>
      <c r="E971" s="1460" t="s">
        <v>547</v>
      </c>
      <c r="F971" s="3">
        <v>3</v>
      </c>
      <c r="G971" s="3" t="s">
        <v>128</v>
      </c>
      <c r="H971" s="804"/>
      <c r="I971" s="865">
        <f>149+162.6+158.8</f>
        <v>470.40000000000003</v>
      </c>
      <c r="J971" s="804"/>
      <c r="K971" s="827" t="s">
        <v>2556</v>
      </c>
      <c r="L971" s="790">
        <v>45525</v>
      </c>
      <c r="M971" s="842"/>
      <c r="N971" s="842"/>
      <c r="O971" s="761" t="s">
        <v>62</v>
      </c>
      <c r="P971" s="3" t="s">
        <v>548</v>
      </c>
      <c r="Q971" s="842"/>
      <c r="R971" s="848"/>
      <c r="S971" s="3" t="s">
        <v>130</v>
      </c>
      <c r="T971" s="848"/>
      <c r="U971" s="865">
        <v>329.6</v>
      </c>
      <c r="V971" s="848"/>
      <c r="W971" s="848"/>
      <c r="X971" s="761" t="s">
        <v>2556</v>
      </c>
      <c r="Y971" s="761">
        <v>45526</v>
      </c>
      <c r="Z971" s="761" t="s">
        <v>62</v>
      </c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861"/>
    </row>
    <row r="972" spans="1:56" ht="13.95" customHeight="1">
      <c r="B972" s="747" t="s">
        <v>541</v>
      </c>
      <c r="C972" s="748" t="s">
        <v>1792</v>
      </c>
      <c r="D972" s="784">
        <v>200107177</v>
      </c>
      <c r="E972" s="1460" t="s">
        <v>549</v>
      </c>
      <c r="F972" s="3">
        <v>4</v>
      </c>
      <c r="G972" s="3" t="s">
        <v>128</v>
      </c>
      <c r="H972" s="804"/>
      <c r="I972" s="858">
        <f>153+155+158.3</f>
        <v>466.3</v>
      </c>
      <c r="J972" s="804"/>
      <c r="K972" s="827" t="s">
        <v>2556</v>
      </c>
      <c r="L972" s="790">
        <v>45527</v>
      </c>
      <c r="M972" s="842"/>
      <c r="N972" s="842"/>
      <c r="O972" s="761" t="s">
        <v>62</v>
      </c>
      <c r="P972" s="785" t="s">
        <v>550</v>
      </c>
      <c r="Q972" s="842"/>
      <c r="R972" s="848"/>
      <c r="S972" s="3" t="s">
        <v>551</v>
      </c>
      <c r="T972" s="848"/>
      <c r="U972" s="865">
        <v>328.68</v>
      </c>
      <c r="V972" s="848"/>
      <c r="W972" s="848"/>
      <c r="X972" s="761" t="s">
        <v>2556</v>
      </c>
      <c r="Y972" s="761">
        <v>45526</v>
      </c>
      <c r="Z972" s="761" t="s">
        <v>62</v>
      </c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861"/>
    </row>
    <row r="973" spans="1:56" ht="13.95" customHeight="1">
      <c r="B973" s="747" t="s">
        <v>541</v>
      </c>
      <c r="C973" s="748" t="s">
        <v>1792</v>
      </c>
      <c r="D973" s="784">
        <v>200107178</v>
      </c>
      <c r="E973" s="1460" t="s">
        <v>552</v>
      </c>
      <c r="F973" s="3">
        <v>5</v>
      </c>
      <c r="G973" s="3" t="s">
        <v>128</v>
      </c>
      <c r="H973" s="804"/>
      <c r="I973" s="858">
        <f>146+162.9+158.7</f>
        <v>467.59999999999997</v>
      </c>
      <c r="J973" s="804"/>
      <c r="K973" s="827" t="s">
        <v>2556</v>
      </c>
      <c r="L973" s="790">
        <v>45527</v>
      </c>
      <c r="M973" s="842"/>
      <c r="N973" s="842"/>
      <c r="O973" s="761" t="s">
        <v>62</v>
      </c>
      <c r="P973" s="3" t="s">
        <v>553</v>
      </c>
      <c r="Q973" s="842"/>
      <c r="R973" s="848"/>
      <c r="S973" s="3" t="s">
        <v>551</v>
      </c>
      <c r="T973" s="848"/>
      <c r="U973" s="865">
        <v>329.97</v>
      </c>
      <c r="V973" s="848"/>
      <c r="W973" s="848"/>
      <c r="X973" s="761" t="s">
        <v>2556</v>
      </c>
      <c r="Y973" s="761">
        <v>45526</v>
      </c>
      <c r="Z973" s="761" t="s">
        <v>62</v>
      </c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861"/>
    </row>
    <row r="974" spans="1:56" ht="13.95" customHeight="1">
      <c r="B974" s="747" t="s">
        <v>541</v>
      </c>
      <c r="C974" s="748" t="s">
        <v>1792</v>
      </c>
      <c r="D974" s="784">
        <v>200107179</v>
      </c>
      <c r="E974" s="1460" t="s">
        <v>554</v>
      </c>
      <c r="F974" s="3">
        <v>6</v>
      </c>
      <c r="G974" s="3" t="s">
        <v>128</v>
      </c>
      <c r="H974" s="804"/>
      <c r="I974" s="858">
        <f>152.2+151.8+163.5</f>
        <v>467.5</v>
      </c>
      <c r="J974" s="804"/>
      <c r="K974" s="827" t="s">
        <v>2556</v>
      </c>
      <c r="L974" s="790">
        <v>45527</v>
      </c>
      <c r="M974" s="842"/>
      <c r="N974" s="842"/>
      <c r="O974" s="761" t="s">
        <v>62</v>
      </c>
      <c r="P974" s="3" t="s">
        <v>555</v>
      </c>
      <c r="Q974" s="842"/>
      <c r="R974" s="848"/>
      <c r="S974" s="3" t="s">
        <v>556</v>
      </c>
      <c r="T974" s="848"/>
      <c r="U974" s="865">
        <v>330.02</v>
      </c>
      <c r="V974" s="848"/>
      <c r="W974" s="848"/>
      <c r="X974" s="761" t="s">
        <v>2556</v>
      </c>
      <c r="Y974" s="761">
        <v>45527</v>
      </c>
      <c r="Z974" s="761" t="s">
        <v>62</v>
      </c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861"/>
    </row>
    <row r="975" spans="1:56" ht="13.95" customHeight="1">
      <c r="B975" s="747" t="s">
        <v>541</v>
      </c>
      <c r="C975" s="748" t="s">
        <v>1792</v>
      </c>
      <c r="D975" s="784">
        <v>200107186</v>
      </c>
      <c r="E975" s="1460" t="s">
        <v>560</v>
      </c>
      <c r="F975" s="3">
        <v>7</v>
      </c>
      <c r="G975" s="3" t="s">
        <v>128</v>
      </c>
      <c r="H975" s="804"/>
      <c r="I975" s="859">
        <f>152+164.4+152.6</f>
        <v>469</v>
      </c>
      <c r="J975" s="804"/>
      <c r="K975" s="827" t="s">
        <v>2556</v>
      </c>
      <c r="L975" s="790">
        <v>45532</v>
      </c>
      <c r="M975" s="842"/>
      <c r="N975" s="842"/>
      <c r="O975" s="761" t="s">
        <v>62</v>
      </c>
      <c r="P975" s="3" t="s">
        <v>561</v>
      </c>
      <c r="Q975" s="842"/>
      <c r="R975" s="848"/>
      <c r="S975" s="3" t="s">
        <v>562</v>
      </c>
      <c r="T975" s="848"/>
      <c r="U975" s="865">
        <v>329.92</v>
      </c>
      <c r="V975" s="848"/>
      <c r="W975" s="848"/>
      <c r="X975" s="761" t="s">
        <v>2556</v>
      </c>
      <c r="Y975" s="761">
        <v>45530</v>
      </c>
      <c r="Z975" s="761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861"/>
    </row>
    <row r="976" spans="1:56" ht="13.95" customHeight="1">
      <c r="B976" s="747" t="s">
        <v>541</v>
      </c>
      <c r="C976" s="748" t="s">
        <v>1792</v>
      </c>
      <c r="D976" s="784">
        <v>200107187</v>
      </c>
      <c r="E976" s="1460" t="s">
        <v>564</v>
      </c>
      <c r="F976" s="3">
        <v>8</v>
      </c>
      <c r="G976" s="3" t="s">
        <v>128</v>
      </c>
      <c r="H976" s="804"/>
      <c r="I976" s="865">
        <f>154.5+154.2+157.7</f>
        <v>466.4</v>
      </c>
      <c r="J976" s="804"/>
      <c r="K976" s="827" t="s">
        <v>2556</v>
      </c>
      <c r="L976" s="790">
        <v>45532</v>
      </c>
      <c r="M976" s="842"/>
      <c r="N976" s="842"/>
      <c r="O976" s="761" t="s">
        <v>62</v>
      </c>
      <c r="P976" s="3" t="s">
        <v>565</v>
      </c>
      <c r="Q976" s="842"/>
      <c r="R976" s="848"/>
      <c r="S976" s="3" t="s">
        <v>562</v>
      </c>
      <c r="T976" s="848"/>
      <c r="U976" s="865">
        <v>329.94</v>
      </c>
      <c r="V976" s="848"/>
      <c r="W976" s="848"/>
      <c r="X976" s="761" t="s">
        <v>2556</v>
      </c>
      <c r="Y976" s="761">
        <v>45530</v>
      </c>
      <c r="Z976" s="761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861"/>
    </row>
    <row r="977" spans="2:39" ht="13.95" customHeight="1">
      <c r="B977" s="747" t="s">
        <v>541</v>
      </c>
      <c r="C977" s="748" t="s">
        <v>1792</v>
      </c>
      <c r="D977" s="784">
        <v>200107188</v>
      </c>
      <c r="E977" s="1460" t="s">
        <v>567</v>
      </c>
      <c r="F977" s="3">
        <v>9</v>
      </c>
      <c r="G977" s="3" t="s">
        <v>128</v>
      </c>
      <c r="H977" s="804"/>
      <c r="I977" s="858">
        <f>154.7+155.4+157</f>
        <v>467.1</v>
      </c>
      <c r="J977" s="804"/>
      <c r="K977" s="827" t="s">
        <v>2556</v>
      </c>
      <c r="L977" s="790">
        <v>45532</v>
      </c>
      <c r="M977" s="842"/>
      <c r="N977" s="842"/>
      <c r="O977" s="761" t="s">
        <v>62</v>
      </c>
      <c r="P977" s="3" t="s">
        <v>568</v>
      </c>
      <c r="Q977" s="842"/>
      <c r="R977" s="848"/>
      <c r="S977" s="3" t="s">
        <v>562</v>
      </c>
      <c r="T977" s="848"/>
      <c r="U977" s="865">
        <v>330.02</v>
      </c>
      <c r="V977" s="848"/>
      <c r="W977" s="848"/>
      <c r="X977" s="761" t="s">
        <v>2556</v>
      </c>
      <c r="Y977" s="761">
        <v>45530</v>
      </c>
      <c r="Z977" s="761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861"/>
    </row>
    <row r="978" spans="2:39" ht="13.95" customHeight="1">
      <c r="B978" s="747" t="s">
        <v>541</v>
      </c>
      <c r="C978" s="748" t="s">
        <v>1792</v>
      </c>
      <c r="D978" s="784">
        <v>200107189</v>
      </c>
      <c r="E978" s="1460" t="s">
        <v>569</v>
      </c>
      <c r="F978" s="3">
        <v>10</v>
      </c>
      <c r="G978" s="3" t="s">
        <v>128</v>
      </c>
      <c r="H978" s="804"/>
      <c r="I978" s="858">
        <f>150+158.3+158.7</f>
        <v>467</v>
      </c>
      <c r="J978" s="804"/>
      <c r="K978" s="827" t="s">
        <v>2556</v>
      </c>
      <c r="L978" s="790">
        <v>45532</v>
      </c>
      <c r="M978" s="842"/>
      <c r="N978" s="842"/>
      <c r="O978" s="761" t="s">
        <v>62</v>
      </c>
      <c r="P978" s="3" t="s">
        <v>570</v>
      </c>
      <c r="Q978" s="842"/>
      <c r="R978" s="848"/>
      <c r="S978" s="3" t="s">
        <v>562</v>
      </c>
      <c r="T978" s="848"/>
      <c r="U978" s="865">
        <v>329.76</v>
      </c>
      <c r="V978" s="848"/>
      <c r="W978" s="848"/>
      <c r="X978" s="761" t="s">
        <v>2556</v>
      </c>
      <c r="Y978" s="761">
        <v>45532</v>
      </c>
      <c r="Z978" s="761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861"/>
    </row>
    <row r="979" spans="2:39" ht="13.95" customHeight="1">
      <c r="B979" s="747" t="s">
        <v>541</v>
      </c>
      <c r="C979" s="748" t="s">
        <v>1792</v>
      </c>
      <c r="D979" s="784">
        <v>200107190</v>
      </c>
      <c r="E979" s="1460" t="s">
        <v>571</v>
      </c>
      <c r="F979" s="3">
        <v>11</v>
      </c>
      <c r="G979" s="3" t="s">
        <v>128</v>
      </c>
      <c r="H979" s="804"/>
      <c r="I979" s="858">
        <f>153.7+156.1+150.8</f>
        <v>460.59999999999997</v>
      </c>
      <c r="J979" s="804"/>
      <c r="K979" s="827" t="s">
        <v>2556</v>
      </c>
      <c r="L979" s="790">
        <v>45532</v>
      </c>
      <c r="M979" s="842"/>
      <c r="N979" s="842"/>
      <c r="O979" s="761" t="s">
        <v>62</v>
      </c>
      <c r="P979" s="3" t="s">
        <v>572</v>
      </c>
      <c r="Q979" s="842"/>
      <c r="R979" s="848"/>
      <c r="S979" s="3" t="s">
        <v>562</v>
      </c>
      <c r="T979" s="848"/>
      <c r="U979" s="865">
        <v>329.98</v>
      </c>
      <c r="V979" s="848"/>
      <c r="W979" s="848"/>
      <c r="X979" s="761" t="s">
        <v>2556</v>
      </c>
      <c r="Y979" s="761">
        <v>45532</v>
      </c>
      <c r="Z979" s="761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861"/>
    </row>
    <row r="980" spans="2:39" ht="13.95" customHeight="1">
      <c r="B980" s="747" t="s">
        <v>541</v>
      </c>
      <c r="C980" s="748" t="s">
        <v>1792</v>
      </c>
      <c r="D980" s="784">
        <v>200107368</v>
      </c>
      <c r="E980" s="1460" t="s">
        <v>573</v>
      </c>
      <c r="F980" s="3">
        <v>12</v>
      </c>
      <c r="G980" s="3"/>
      <c r="H980" s="804"/>
      <c r="I980" s="858"/>
      <c r="J980" s="804"/>
      <c r="K980" s="827"/>
      <c r="L980" s="790"/>
      <c r="M980" s="842"/>
      <c r="N980" s="842"/>
      <c r="O980" s="761"/>
      <c r="P980" s="3"/>
      <c r="Q980" s="842"/>
      <c r="R980" s="848"/>
      <c r="S980" s="3"/>
      <c r="T980" s="848"/>
      <c r="U980" s="865"/>
      <c r="V980" s="848"/>
      <c r="W980" s="848"/>
      <c r="X980" s="761"/>
      <c r="Y980" s="761"/>
      <c r="Z980" s="761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861"/>
    </row>
    <row r="981" spans="2:39" ht="13.95" customHeight="1">
      <c r="B981" s="747" t="s">
        <v>541</v>
      </c>
      <c r="C981" s="748" t="s">
        <v>1792</v>
      </c>
      <c r="D981" s="784">
        <v>200107369</v>
      </c>
      <c r="E981" s="1460" t="s">
        <v>574</v>
      </c>
      <c r="F981" s="3">
        <v>13</v>
      </c>
      <c r="G981" s="3"/>
      <c r="H981" s="804"/>
      <c r="I981" s="858"/>
      <c r="J981" s="804"/>
      <c r="K981" s="827"/>
      <c r="L981" s="790"/>
      <c r="M981" s="842"/>
      <c r="N981" s="842"/>
      <c r="O981" s="761"/>
      <c r="P981" s="3"/>
      <c r="Q981" s="842"/>
      <c r="R981" s="848"/>
      <c r="S981" s="3"/>
      <c r="T981" s="848"/>
      <c r="U981" s="865"/>
      <c r="V981" s="848"/>
      <c r="W981" s="848"/>
      <c r="X981" s="761"/>
      <c r="Y981" s="761"/>
      <c r="Z981" s="761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861"/>
    </row>
    <row r="982" spans="2:39" ht="13.95" customHeight="1">
      <c r="B982" s="747" t="s">
        <v>541</v>
      </c>
      <c r="C982" s="748" t="s">
        <v>1792</v>
      </c>
      <c r="D982" s="784">
        <v>200107370</v>
      </c>
      <c r="E982" s="1460" t="s">
        <v>575</v>
      </c>
      <c r="F982" s="3">
        <v>14</v>
      </c>
      <c r="G982" s="3"/>
      <c r="H982" s="804"/>
      <c r="I982" s="858"/>
      <c r="J982" s="804"/>
      <c r="K982" s="827"/>
      <c r="L982" s="790"/>
      <c r="M982" s="842"/>
      <c r="N982" s="842"/>
      <c r="O982" s="761"/>
      <c r="P982" s="3"/>
      <c r="Q982" s="842"/>
      <c r="R982" s="848"/>
      <c r="S982" s="3"/>
      <c r="T982" s="848"/>
      <c r="U982" s="865"/>
      <c r="V982" s="848"/>
      <c r="W982" s="848"/>
      <c r="X982" s="761"/>
      <c r="Y982" s="761"/>
      <c r="Z982" s="761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861"/>
    </row>
    <row r="983" spans="2:39" ht="13.95" customHeight="1">
      <c r="B983" s="747" t="s">
        <v>541</v>
      </c>
      <c r="C983" s="748" t="s">
        <v>1792</v>
      </c>
      <c r="D983" s="784">
        <v>200107371</v>
      </c>
      <c r="E983" s="1460" t="s">
        <v>576</v>
      </c>
      <c r="F983" s="3">
        <v>15</v>
      </c>
      <c r="G983" s="3"/>
      <c r="H983" s="804"/>
      <c r="I983" s="858"/>
      <c r="J983" s="804"/>
      <c r="K983" s="827"/>
      <c r="L983" s="790"/>
      <c r="M983" s="842"/>
      <c r="N983" s="842"/>
      <c r="O983" s="761"/>
      <c r="P983" s="3"/>
      <c r="Q983" s="842"/>
      <c r="R983" s="848"/>
      <c r="S983" s="3"/>
      <c r="T983" s="848"/>
      <c r="U983" s="865"/>
      <c r="V983" s="848"/>
      <c r="W983" s="848"/>
      <c r="X983" s="761"/>
      <c r="Y983" s="761"/>
      <c r="Z983" s="761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861"/>
    </row>
    <row r="984" spans="2:39" ht="13.95" customHeight="1">
      <c r="B984" s="747" t="s">
        <v>541</v>
      </c>
      <c r="C984" s="748" t="s">
        <v>1792</v>
      </c>
      <c r="D984" s="784">
        <v>200107372</v>
      </c>
      <c r="E984" s="1460" t="s">
        <v>577</v>
      </c>
      <c r="F984" s="3">
        <v>16</v>
      </c>
      <c r="G984" s="3"/>
      <c r="H984" s="804"/>
      <c r="I984" s="858"/>
      <c r="J984" s="804"/>
      <c r="K984" s="827"/>
      <c r="L984" s="790"/>
      <c r="M984" s="842"/>
      <c r="N984" s="842"/>
      <c r="O984" s="761"/>
      <c r="P984" s="3"/>
      <c r="Q984" s="842"/>
      <c r="R984" s="848"/>
      <c r="S984" s="3"/>
      <c r="T984" s="848"/>
      <c r="U984" s="865"/>
      <c r="V984" s="848"/>
      <c r="W984" s="848"/>
      <c r="X984" s="761"/>
      <c r="Y984" s="761"/>
      <c r="Z984" s="761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861"/>
    </row>
    <row r="985" spans="2:39" ht="13.95" customHeight="1">
      <c r="B985" s="747" t="s">
        <v>541</v>
      </c>
      <c r="C985" s="748" t="s">
        <v>1792</v>
      </c>
      <c r="D985" s="784">
        <v>200107373</v>
      </c>
      <c r="E985" s="1460" t="s">
        <v>578</v>
      </c>
      <c r="F985" s="3">
        <v>17</v>
      </c>
      <c r="G985" s="3"/>
      <c r="H985" s="804"/>
      <c r="I985" s="858"/>
      <c r="J985" s="804"/>
      <c r="K985" s="827"/>
      <c r="L985" s="790"/>
      <c r="M985" s="842"/>
      <c r="N985" s="842"/>
      <c r="O985" s="761"/>
      <c r="P985" s="3"/>
      <c r="Q985" s="842"/>
      <c r="R985" s="848"/>
      <c r="S985" s="3"/>
      <c r="T985" s="848"/>
      <c r="U985" s="865"/>
      <c r="V985" s="848"/>
      <c r="W985" s="848"/>
      <c r="X985" s="761"/>
      <c r="Y985" s="761"/>
      <c r="Z985" s="761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861"/>
    </row>
    <row r="986" spans="2:39" ht="13.95" customHeight="1">
      <c r="B986" s="747" t="s">
        <v>541</v>
      </c>
      <c r="C986" s="748" t="s">
        <v>1792</v>
      </c>
      <c r="D986" s="784">
        <v>200107374</v>
      </c>
      <c r="E986" s="1460" t="s">
        <v>579</v>
      </c>
      <c r="F986" s="3">
        <v>18</v>
      </c>
      <c r="G986" s="3"/>
      <c r="H986" s="804"/>
      <c r="I986" s="858"/>
      <c r="J986" s="804"/>
      <c r="K986" s="827"/>
      <c r="L986" s="790"/>
      <c r="M986" s="842"/>
      <c r="N986" s="842"/>
      <c r="O986" s="761"/>
      <c r="P986" s="3"/>
      <c r="Q986" s="842"/>
      <c r="R986" s="848"/>
      <c r="S986" s="3"/>
      <c r="T986" s="848"/>
      <c r="U986" s="865"/>
      <c r="V986" s="848"/>
      <c r="W986" s="848"/>
      <c r="X986" s="761"/>
      <c r="Y986" s="761"/>
      <c r="Z986" s="761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861"/>
    </row>
    <row r="987" spans="2:39" ht="13.95" customHeight="1">
      <c r="B987" s="747" t="s">
        <v>541</v>
      </c>
      <c r="C987" s="748" t="s">
        <v>1792</v>
      </c>
      <c r="D987" s="784">
        <v>200107375</v>
      </c>
      <c r="E987" s="1460" t="s">
        <v>580</v>
      </c>
      <c r="F987" s="3">
        <v>19</v>
      </c>
      <c r="G987" s="3"/>
      <c r="H987" s="804"/>
      <c r="I987" s="858"/>
      <c r="J987" s="804"/>
      <c r="K987" s="827"/>
      <c r="L987" s="790"/>
      <c r="M987" s="842"/>
      <c r="N987" s="842"/>
      <c r="O987" s="761"/>
      <c r="P987" s="3"/>
      <c r="Q987" s="842"/>
      <c r="R987" s="848"/>
      <c r="S987" s="3"/>
      <c r="T987" s="848"/>
      <c r="U987" s="865"/>
      <c r="V987" s="848"/>
      <c r="W987" s="848"/>
      <c r="X987" s="761"/>
      <c r="Y987" s="761"/>
      <c r="Z987" s="761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861"/>
    </row>
    <row r="988" spans="2:39" ht="13.95" customHeight="1">
      <c r="B988" s="747" t="s">
        <v>541</v>
      </c>
      <c r="C988" s="748" t="s">
        <v>1792</v>
      </c>
      <c r="D988" s="784">
        <v>200107376</v>
      </c>
      <c r="E988" s="1460" t="s">
        <v>581</v>
      </c>
      <c r="F988" s="3">
        <v>20</v>
      </c>
      <c r="G988" s="3"/>
      <c r="H988" s="804"/>
      <c r="I988" s="858"/>
      <c r="J988" s="804"/>
      <c r="K988" s="827"/>
      <c r="L988" s="790"/>
      <c r="M988" s="842"/>
      <c r="N988" s="842"/>
      <c r="O988" s="761"/>
      <c r="P988" s="3"/>
      <c r="Q988" s="842"/>
      <c r="R988" s="848"/>
      <c r="S988" s="3"/>
      <c r="T988" s="848"/>
      <c r="U988" s="865"/>
      <c r="V988" s="848"/>
      <c r="W988" s="848"/>
      <c r="X988" s="761"/>
      <c r="Y988" s="761"/>
      <c r="Z988" s="761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861"/>
    </row>
    <row r="989" spans="2:39" ht="13.95" customHeight="1">
      <c r="B989" s="747" t="s">
        <v>541</v>
      </c>
      <c r="C989" s="748" t="s">
        <v>1792</v>
      </c>
      <c r="D989" s="784">
        <v>200107359</v>
      </c>
      <c r="E989" s="1460" t="s">
        <v>582</v>
      </c>
      <c r="F989" s="3">
        <v>21</v>
      </c>
      <c r="G989" s="3"/>
      <c r="H989" s="804"/>
      <c r="I989" s="858"/>
      <c r="J989" s="804"/>
      <c r="K989" s="827"/>
      <c r="L989" s="790"/>
      <c r="M989" s="842"/>
      <c r="N989" s="842"/>
      <c r="O989" s="761"/>
      <c r="P989" s="3"/>
      <c r="Q989" s="842"/>
      <c r="R989" s="848"/>
      <c r="S989" s="3"/>
      <c r="T989" s="848"/>
      <c r="U989" s="865"/>
      <c r="V989" s="848"/>
      <c r="W989" s="848"/>
      <c r="X989" s="761"/>
      <c r="Y989" s="761"/>
      <c r="Z989" s="761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861"/>
    </row>
    <row r="990" spans="2:39" ht="13.95" customHeight="1">
      <c r="B990" s="747"/>
      <c r="C990" s="748"/>
      <c r="D990" s="784"/>
      <c r="E990" s="784"/>
      <c r="F990" s="3"/>
      <c r="G990" s="3"/>
      <c r="H990" s="804"/>
      <c r="I990" s="858"/>
      <c r="J990" s="804"/>
      <c r="K990" s="827"/>
      <c r="L990" s="790"/>
      <c r="M990" s="842"/>
      <c r="N990" s="842"/>
      <c r="O990" s="761"/>
      <c r="P990" s="3"/>
      <c r="Q990" s="842"/>
      <c r="R990" s="848"/>
      <c r="S990" s="3"/>
      <c r="T990" s="848"/>
      <c r="U990" s="865"/>
      <c r="V990" s="848"/>
      <c r="W990" s="848"/>
      <c r="X990" s="761"/>
      <c r="Y990" s="761"/>
      <c r="Z990" s="761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861"/>
    </row>
    <row r="991" spans="2:39" ht="13.95" customHeight="1">
      <c r="B991" s="747"/>
      <c r="C991" s="748"/>
      <c r="D991" s="784">
        <v>200107429</v>
      </c>
      <c r="E991" s="784">
        <v>100014</v>
      </c>
      <c r="F991" s="3" t="s">
        <v>124</v>
      </c>
      <c r="G991" s="3" t="s">
        <v>1792</v>
      </c>
      <c r="H991" s="804" t="s">
        <v>3322</v>
      </c>
      <c r="I991" s="858" t="s">
        <v>3323</v>
      </c>
      <c r="J991" s="804">
        <v>255750</v>
      </c>
      <c r="K991" s="827">
        <v>0</v>
      </c>
      <c r="L991" s="790" t="s">
        <v>3324</v>
      </c>
      <c r="M991" s="842" t="s">
        <v>3325</v>
      </c>
      <c r="N991" s="842" t="s">
        <v>3326</v>
      </c>
      <c r="O991" s="761" t="s">
        <v>3327</v>
      </c>
      <c r="P991" s="3"/>
      <c r="Q991" s="842"/>
      <c r="R991" s="848"/>
      <c r="S991" s="3"/>
      <c r="T991" s="848"/>
      <c r="U991" s="865"/>
      <c r="V991" s="848"/>
      <c r="W991" s="848"/>
      <c r="X991" s="761"/>
      <c r="Y991" s="761"/>
      <c r="Z991" s="761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861"/>
    </row>
    <row r="992" spans="2:39" ht="13.95" customHeight="1">
      <c r="B992" s="747"/>
      <c r="C992" s="748"/>
      <c r="D992" s="784">
        <v>200107440</v>
      </c>
      <c r="E992" s="784">
        <v>100024</v>
      </c>
      <c r="F992" s="3" t="s">
        <v>124</v>
      </c>
      <c r="G992" s="3" t="s">
        <v>1792</v>
      </c>
      <c r="H992" s="804" t="s">
        <v>3322</v>
      </c>
      <c r="I992" s="858" t="s">
        <v>3323</v>
      </c>
      <c r="J992" s="804">
        <v>255750</v>
      </c>
      <c r="K992" s="827">
        <v>0</v>
      </c>
      <c r="L992" s="790" t="s">
        <v>3324</v>
      </c>
      <c r="M992" s="842" t="s">
        <v>3325</v>
      </c>
      <c r="N992" s="842" t="s">
        <v>3326</v>
      </c>
      <c r="O992" s="761" t="s">
        <v>3327</v>
      </c>
      <c r="P992" s="3"/>
      <c r="Q992" s="842"/>
      <c r="R992" s="848"/>
      <c r="S992" s="3"/>
      <c r="T992" s="848"/>
      <c r="U992" s="865"/>
      <c r="V992" s="848"/>
      <c r="W992" s="848"/>
      <c r="X992" s="761"/>
      <c r="Y992" s="761"/>
      <c r="Z992" s="761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861"/>
    </row>
    <row r="993" spans="1:56" ht="13.95" customHeight="1">
      <c r="B993" s="747"/>
      <c r="C993" s="748"/>
      <c r="D993" s="784">
        <v>200107441</v>
      </c>
      <c r="E993" s="784">
        <v>100034</v>
      </c>
      <c r="F993" s="3" t="s">
        <v>124</v>
      </c>
      <c r="G993" s="3" t="s">
        <v>1792</v>
      </c>
      <c r="H993" s="804" t="s">
        <v>3322</v>
      </c>
      <c r="I993" s="858" t="s">
        <v>3323</v>
      </c>
      <c r="J993" s="804">
        <v>255750</v>
      </c>
      <c r="K993" s="827">
        <v>0</v>
      </c>
      <c r="L993" s="790" t="s">
        <v>3324</v>
      </c>
      <c r="M993" s="842" t="s">
        <v>3325</v>
      </c>
      <c r="N993" s="842" t="s">
        <v>3326</v>
      </c>
      <c r="O993" s="761" t="s">
        <v>3327</v>
      </c>
      <c r="P993" s="3"/>
      <c r="Q993" s="842"/>
      <c r="R993" s="848"/>
      <c r="S993" s="3"/>
      <c r="T993" s="848"/>
      <c r="U993" s="865"/>
      <c r="V993" s="848"/>
      <c r="W993" s="848"/>
      <c r="X993" s="761"/>
      <c r="Y993" s="761"/>
      <c r="Z993" s="761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861"/>
    </row>
    <row r="994" spans="1:56" ht="13.95" customHeight="1">
      <c r="B994" s="747"/>
      <c r="C994" s="748"/>
      <c r="D994" s="784">
        <v>200107442</v>
      </c>
      <c r="E994" s="784">
        <v>100044</v>
      </c>
      <c r="F994" s="3" t="s">
        <v>124</v>
      </c>
      <c r="G994" s="3" t="s">
        <v>1792</v>
      </c>
      <c r="H994" s="804" t="s">
        <v>3322</v>
      </c>
      <c r="I994" s="858" t="s">
        <v>3323</v>
      </c>
      <c r="J994" s="804">
        <v>255750</v>
      </c>
      <c r="K994" s="827">
        <v>0</v>
      </c>
      <c r="L994" s="790" t="s">
        <v>3324</v>
      </c>
      <c r="M994" s="842" t="s">
        <v>3325</v>
      </c>
      <c r="N994" s="842" t="s">
        <v>3326</v>
      </c>
      <c r="O994" s="761" t="s">
        <v>3327</v>
      </c>
      <c r="P994" s="3"/>
      <c r="Q994" s="842"/>
      <c r="R994" s="848"/>
      <c r="S994" s="3"/>
      <c r="T994" s="848"/>
      <c r="U994" s="865"/>
      <c r="V994" s="848"/>
      <c r="W994" s="848"/>
      <c r="X994" s="761"/>
      <c r="Y994" s="761"/>
      <c r="Z994" s="761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861"/>
    </row>
    <row r="995" spans="1:56" ht="13.95" customHeight="1">
      <c r="B995" s="747"/>
      <c r="C995" s="748"/>
      <c r="D995" s="784">
        <v>200107443</v>
      </c>
      <c r="E995" s="784">
        <v>100054</v>
      </c>
      <c r="F995" s="3" t="s">
        <v>124</v>
      </c>
      <c r="G995" s="3" t="s">
        <v>1792</v>
      </c>
      <c r="H995" s="804" t="s">
        <v>3322</v>
      </c>
      <c r="I995" s="858" t="s">
        <v>3323</v>
      </c>
      <c r="J995" s="804">
        <v>255750</v>
      </c>
      <c r="K995" s="827">
        <v>0</v>
      </c>
      <c r="L995" s="790" t="s">
        <v>3324</v>
      </c>
      <c r="M995" s="842" t="s">
        <v>3325</v>
      </c>
      <c r="N995" s="842" t="s">
        <v>3326</v>
      </c>
      <c r="O995" s="761" t="s">
        <v>3327</v>
      </c>
      <c r="P995" s="3"/>
      <c r="Q995" s="842"/>
      <c r="R995" s="848"/>
      <c r="S995" s="3"/>
      <c r="T995" s="848"/>
      <c r="U995" s="865"/>
      <c r="V995" s="848"/>
      <c r="W995" s="848"/>
      <c r="X995" s="761"/>
      <c r="Y995" s="761"/>
      <c r="Z995" s="761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861"/>
    </row>
    <row r="996" spans="1:56" ht="13.95" customHeight="1">
      <c r="B996" s="747"/>
      <c r="C996" s="748"/>
      <c r="D996" s="784">
        <v>200107444</v>
      </c>
      <c r="E996" s="784">
        <v>100064</v>
      </c>
      <c r="F996" s="3" t="s">
        <v>124</v>
      </c>
      <c r="G996" s="3" t="s">
        <v>1792</v>
      </c>
      <c r="H996" s="804" t="s">
        <v>3328</v>
      </c>
      <c r="I996" s="858" t="s">
        <v>3329</v>
      </c>
      <c r="J996" s="804">
        <v>255750</v>
      </c>
      <c r="K996" s="827">
        <v>0</v>
      </c>
      <c r="L996" s="790" t="s">
        <v>3324</v>
      </c>
      <c r="M996" s="842" t="s">
        <v>3330</v>
      </c>
      <c r="N996" s="842"/>
      <c r="O996" s="761"/>
      <c r="P996" s="3"/>
      <c r="Q996" s="842"/>
      <c r="R996" s="848"/>
      <c r="S996" s="3"/>
      <c r="T996" s="848"/>
      <c r="U996" s="865"/>
      <c r="V996" s="848"/>
      <c r="W996" s="848"/>
      <c r="X996" s="761"/>
      <c r="Y996" s="761"/>
      <c r="Z996" s="761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861"/>
    </row>
    <row r="997" spans="1:56" ht="13.95" customHeight="1">
      <c r="B997" s="747"/>
      <c r="C997" s="748"/>
      <c r="D997" s="784">
        <v>200107445</v>
      </c>
      <c r="E997" s="784">
        <v>100074</v>
      </c>
      <c r="F997" s="3" t="s">
        <v>124</v>
      </c>
      <c r="G997" s="3" t="s">
        <v>1792</v>
      </c>
      <c r="H997" s="804" t="s">
        <v>3328</v>
      </c>
      <c r="I997" s="858" t="s">
        <v>3329</v>
      </c>
      <c r="J997" s="804">
        <v>255750</v>
      </c>
      <c r="K997" s="827">
        <v>0</v>
      </c>
      <c r="L997" s="790" t="s">
        <v>3324</v>
      </c>
      <c r="M997" s="842" t="s">
        <v>3330</v>
      </c>
      <c r="N997" s="842"/>
      <c r="O997" s="761"/>
      <c r="P997" s="3"/>
      <c r="Q997" s="842"/>
      <c r="R997" s="848"/>
      <c r="S997" s="3"/>
      <c r="T997" s="848"/>
      <c r="U997" s="865"/>
      <c r="V997" s="848"/>
      <c r="W997" s="848"/>
      <c r="X997" s="761"/>
      <c r="Y997" s="761"/>
      <c r="Z997" s="761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861"/>
    </row>
    <row r="998" spans="1:56" ht="13.95" customHeight="1">
      <c r="B998" s="747"/>
      <c r="C998" s="748"/>
      <c r="D998" s="784">
        <v>200107446</v>
      </c>
      <c r="E998" s="784">
        <v>100084</v>
      </c>
      <c r="F998" s="3" t="s">
        <v>124</v>
      </c>
      <c r="G998" s="3" t="s">
        <v>1792</v>
      </c>
      <c r="H998" s="804" t="s">
        <v>3328</v>
      </c>
      <c r="I998" s="858" t="s">
        <v>3329</v>
      </c>
      <c r="J998" s="804">
        <v>255750</v>
      </c>
      <c r="K998" s="827">
        <v>0</v>
      </c>
      <c r="L998" s="790" t="s">
        <v>3324</v>
      </c>
      <c r="M998" s="842" t="s">
        <v>3330</v>
      </c>
      <c r="N998" s="842"/>
      <c r="O998" s="761"/>
      <c r="P998" s="3"/>
      <c r="Q998" s="842"/>
      <c r="R998" s="848"/>
      <c r="S998" s="3"/>
      <c r="T998" s="848"/>
      <c r="U998" s="865"/>
      <c r="V998" s="848"/>
      <c r="W998" s="848"/>
      <c r="X998" s="761"/>
      <c r="Y998" s="761"/>
      <c r="Z998" s="761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861"/>
    </row>
    <row r="999" spans="1:56" ht="13.95" customHeight="1">
      <c r="B999" s="747"/>
      <c r="C999" s="748"/>
      <c r="D999" s="784">
        <v>200107447</v>
      </c>
      <c r="E999" s="784">
        <v>100094</v>
      </c>
      <c r="F999" s="3" t="s">
        <v>124</v>
      </c>
      <c r="G999" s="3" t="s">
        <v>1792</v>
      </c>
      <c r="H999" s="804" t="s">
        <v>3328</v>
      </c>
      <c r="I999" s="858" t="s">
        <v>3329</v>
      </c>
      <c r="J999" s="804">
        <v>255750</v>
      </c>
      <c r="K999" s="827">
        <v>0</v>
      </c>
      <c r="L999" s="790" t="s">
        <v>3324</v>
      </c>
      <c r="M999" s="842" t="s">
        <v>3330</v>
      </c>
      <c r="N999" s="842"/>
      <c r="O999" s="761"/>
      <c r="P999" s="3"/>
      <c r="Q999" s="842"/>
      <c r="R999" s="848"/>
      <c r="S999" s="3"/>
      <c r="T999" s="848"/>
      <c r="U999" s="865"/>
      <c r="V999" s="848"/>
      <c r="W999" s="848"/>
      <c r="X999" s="761"/>
      <c r="Y999" s="761"/>
      <c r="Z999" s="761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861"/>
    </row>
    <row r="1000" spans="1:56" ht="13.95" customHeight="1">
      <c r="B1000" s="747"/>
      <c r="C1000" s="748"/>
      <c r="D1000" s="784">
        <v>200107448</v>
      </c>
      <c r="E1000" s="784">
        <v>100104</v>
      </c>
      <c r="F1000" s="3" t="s">
        <v>124</v>
      </c>
      <c r="G1000" s="3" t="s">
        <v>1792</v>
      </c>
      <c r="H1000" s="804" t="s">
        <v>3328</v>
      </c>
      <c r="I1000" s="858" t="s">
        <v>3329</v>
      </c>
      <c r="J1000" s="804">
        <v>255750</v>
      </c>
      <c r="K1000" s="827">
        <v>0</v>
      </c>
      <c r="L1000" s="790" t="s">
        <v>3324</v>
      </c>
      <c r="M1000" s="842" t="s">
        <v>3330</v>
      </c>
      <c r="N1000" s="842"/>
      <c r="O1000" s="761"/>
      <c r="P1000" s="3"/>
      <c r="Q1000" s="842"/>
      <c r="R1000" s="848"/>
      <c r="S1000" s="3"/>
      <c r="T1000" s="848"/>
      <c r="U1000" s="865"/>
      <c r="V1000" s="848"/>
      <c r="W1000" s="848"/>
      <c r="X1000" s="761"/>
      <c r="Y1000" s="761"/>
      <c r="Z1000" s="761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861"/>
    </row>
    <row r="1001" spans="1:56" s="807" customFormat="1" ht="19.95" customHeight="1">
      <c r="A1001" s="3"/>
      <c r="B1001" s="807" t="s">
        <v>13</v>
      </c>
      <c r="C1001" s="852" t="s">
        <v>865</v>
      </c>
      <c r="AM1001" s="853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862"/>
    </row>
    <row r="1002" spans="1:56" ht="18" customHeight="1">
      <c r="B1002" s="1495" t="s">
        <v>163</v>
      </c>
      <c r="C1002" s="868" t="s">
        <v>896</v>
      </c>
      <c r="D1002" s="869"/>
      <c r="E1002" s="870" t="s">
        <v>3331</v>
      </c>
      <c r="F1002" s="749">
        <v>1</v>
      </c>
      <c r="G1002" s="3"/>
      <c r="H1002" s="3"/>
      <c r="I1002" s="3"/>
      <c r="J1002" s="3"/>
      <c r="K1002" s="3"/>
      <c r="L1002" s="790"/>
      <c r="M1002" s="761"/>
      <c r="N1002" s="761"/>
      <c r="O1002" s="761"/>
      <c r="P1002" s="762"/>
      <c r="Q1002" s="3"/>
      <c r="R1002" s="3"/>
      <c r="S1002" s="3"/>
      <c r="T1002" s="3"/>
      <c r="U1002" s="3"/>
      <c r="V1002" s="4"/>
      <c r="W1002" s="761"/>
      <c r="X1002" s="761"/>
      <c r="Y1002" s="761"/>
      <c r="Z1002" s="761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</row>
    <row r="1003" spans="1:56" ht="18" customHeight="1">
      <c r="B1003" s="1495" t="s">
        <v>213</v>
      </c>
      <c r="C1003" s="868" t="s">
        <v>896</v>
      </c>
      <c r="D1003" s="12" t="s">
        <v>3332</v>
      </c>
      <c r="E1003" s="871">
        <v>30352</v>
      </c>
      <c r="F1003" s="749">
        <v>1</v>
      </c>
      <c r="G1003" s="3" t="s">
        <v>932</v>
      </c>
      <c r="H1003" s="3" t="s">
        <v>932</v>
      </c>
      <c r="I1003" s="3">
        <v>260</v>
      </c>
      <c r="J1003" s="3">
        <v>149.91999999999999</v>
      </c>
      <c r="K1003" s="3" t="s">
        <v>2125</v>
      </c>
      <c r="L1003" s="790">
        <v>44616</v>
      </c>
      <c r="M1003" s="761" t="s">
        <v>2125</v>
      </c>
      <c r="N1003" s="790">
        <v>44616</v>
      </c>
      <c r="O1003" s="761" t="s">
        <v>62</v>
      </c>
      <c r="P1003" s="762">
        <v>2.2200000000000002</v>
      </c>
      <c r="Q1003" s="3"/>
      <c r="R1003" s="3" t="s">
        <v>1547</v>
      </c>
      <c r="S1003" s="3" t="s">
        <v>1547</v>
      </c>
      <c r="T1003" s="3">
        <v>319</v>
      </c>
      <c r="U1003" s="3">
        <v>273.3</v>
      </c>
      <c r="V1003" s="4" t="s">
        <v>3333</v>
      </c>
      <c r="W1003" s="761">
        <v>44616</v>
      </c>
      <c r="X1003" s="761" t="s">
        <v>2125</v>
      </c>
      <c r="Y1003" s="761">
        <v>44616</v>
      </c>
      <c r="Z1003" s="761" t="s">
        <v>62</v>
      </c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</row>
    <row r="1004" spans="1:56" ht="18" customHeight="1">
      <c r="B1004" s="1495" t="s">
        <v>213</v>
      </c>
      <c r="C1004" s="868" t="s">
        <v>896</v>
      </c>
      <c r="D1004" s="12" t="s">
        <v>3334</v>
      </c>
      <c r="E1004" s="12" t="s">
        <v>3335</v>
      </c>
      <c r="F1004" s="749">
        <v>2</v>
      </c>
      <c r="G1004" s="3" t="s">
        <v>932</v>
      </c>
      <c r="H1004" s="3" t="s">
        <v>932</v>
      </c>
      <c r="I1004" s="3">
        <v>260.98</v>
      </c>
      <c r="J1004" s="3">
        <v>149.12</v>
      </c>
      <c r="K1004" s="3" t="s">
        <v>2125</v>
      </c>
      <c r="L1004" s="761">
        <v>44617</v>
      </c>
      <c r="M1004" s="761" t="s">
        <v>3333</v>
      </c>
      <c r="N1004" s="790">
        <v>44616</v>
      </c>
      <c r="O1004" s="761" t="s">
        <v>62</v>
      </c>
      <c r="P1004" s="762">
        <v>2.15</v>
      </c>
      <c r="Q1004" s="3" t="s">
        <v>3336</v>
      </c>
      <c r="R1004" s="3" t="s">
        <v>1547</v>
      </c>
      <c r="S1004" s="3" t="s">
        <v>1795</v>
      </c>
      <c r="T1004" s="3">
        <v>319.2</v>
      </c>
      <c r="U1004" s="3">
        <v>274.3</v>
      </c>
      <c r="V1004" s="4" t="s">
        <v>2125</v>
      </c>
      <c r="W1004" s="761">
        <v>44616</v>
      </c>
      <c r="X1004" s="761" t="s">
        <v>2125</v>
      </c>
      <c r="Y1004" s="761">
        <v>44617</v>
      </c>
      <c r="Z1004" s="761" t="s">
        <v>62</v>
      </c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</row>
    <row r="1005" spans="1:56" ht="18" customHeight="1">
      <c r="B1005" s="1495" t="s">
        <v>213</v>
      </c>
      <c r="C1005" s="868" t="s">
        <v>896</v>
      </c>
      <c r="D1005" s="12" t="s">
        <v>3337</v>
      </c>
      <c r="E1005" s="12" t="s">
        <v>3338</v>
      </c>
      <c r="F1005" s="749">
        <v>3</v>
      </c>
      <c r="G1005" s="3" t="s">
        <v>932</v>
      </c>
      <c r="H1005" s="3" t="s">
        <v>932</v>
      </c>
      <c r="I1005" s="3">
        <v>260.7</v>
      </c>
      <c r="J1005" s="3">
        <v>149</v>
      </c>
      <c r="K1005" s="3" t="s">
        <v>2125</v>
      </c>
      <c r="L1005" s="761">
        <v>44617</v>
      </c>
      <c r="M1005" s="761" t="s">
        <v>3333</v>
      </c>
      <c r="N1005" s="790">
        <v>44616</v>
      </c>
      <c r="O1005" s="761" t="s">
        <v>62</v>
      </c>
      <c r="P1005" s="762">
        <v>2.2000000000000002</v>
      </c>
      <c r="Q1005" s="3" t="s">
        <v>3339</v>
      </c>
      <c r="R1005" s="3" t="s">
        <v>1547</v>
      </c>
      <c r="S1005" s="3" t="s">
        <v>1547</v>
      </c>
      <c r="T1005" s="3">
        <v>319.2</v>
      </c>
      <c r="U1005" s="3">
        <v>274.2</v>
      </c>
      <c r="V1005" s="4" t="s">
        <v>3333</v>
      </c>
      <c r="W1005" s="761">
        <v>44616</v>
      </c>
      <c r="X1005" s="761" t="s">
        <v>2125</v>
      </c>
      <c r="Y1005" s="761">
        <v>44617</v>
      </c>
      <c r="Z1005" s="761" t="s">
        <v>62</v>
      </c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</row>
    <row r="1006" spans="1:56" ht="18" customHeight="1">
      <c r="B1006" s="1495" t="s">
        <v>213</v>
      </c>
      <c r="C1006" s="868" t="s">
        <v>896</v>
      </c>
      <c r="D1006" s="12" t="s">
        <v>3340</v>
      </c>
      <c r="E1006" s="12" t="s">
        <v>3341</v>
      </c>
      <c r="F1006" s="749">
        <v>4</v>
      </c>
      <c r="G1006" s="3" t="s">
        <v>932</v>
      </c>
      <c r="H1006" s="3" t="s">
        <v>932</v>
      </c>
      <c r="I1006" s="3">
        <v>264.04000000000002</v>
      </c>
      <c r="J1006" s="3">
        <v>150.88</v>
      </c>
      <c r="K1006" s="3" t="s">
        <v>2125</v>
      </c>
      <c r="L1006" s="761">
        <v>44617</v>
      </c>
      <c r="M1006" s="761" t="s">
        <v>2125</v>
      </c>
      <c r="N1006" s="790">
        <v>44616</v>
      </c>
      <c r="O1006" s="761" t="s">
        <v>62</v>
      </c>
      <c r="P1006" s="762">
        <v>1.97</v>
      </c>
      <c r="Q1006" s="3" t="s">
        <v>3342</v>
      </c>
      <c r="R1006" s="3" t="s">
        <v>1547</v>
      </c>
      <c r="S1006" s="3" t="s">
        <v>1547</v>
      </c>
      <c r="T1006" s="3">
        <v>320.7</v>
      </c>
      <c r="U1006" s="3">
        <v>277.39999999999998</v>
      </c>
      <c r="V1006" s="4" t="s">
        <v>3333</v>
      </c>
      <c r="W1006" s="761">
        <v>44616</v>
      </c>
      <c r="X1006" s="761" t="s">
        <v>2125</v>
      </c>
      <c r="Y1006" s="761">
        <v>44617</v>
      </c>
      <c r="Z1006" s="761" t="s">
        <v>62</v>
      </c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</row>
    <row r="1007" spans="1:56" ht="18" customHeight="1">
      <c r="B1007" s="1495" t="s">
        <v>213</v>
      </c>
      <c r="C1007" s="868" t="s">
        <v>874</v>
      </c>
      <c r="D1007" s="493"/>
      <c r="E1007" s="11">
        <v>30352</v>
      </c>
      <c r="F1007" s="749"/>
      <c r="G1007" s="3" t="s">
        <v>932</v>
      </c>
      <c r="H1007" s="3"/>
      <c r="I1007" s="3">
        <v>151.74</v>
      </c>
      <c r="J1007" s="3"/>
      <c r="K1007" s="3" t="s">
        <v>2125</v>
      </c>
      <c r="L1007" s="790">
        <v>44615</v>
      </c>
      <c r="M1007" s="761"/>
      <c r="N1007" s="761"/>
      <c r="O1007" s="761" t="s">
        <v>62</v>
      </c>
      <c r="P1007" s="762"/>
      <c r="Q1007" s="3"/>
      <c r="R1007" s="3"/>
      <c r="S1007" s="3"/>
      <c r="T1007" s="3"/>
      <c r="U1007" s="3"/>
      <c r="V1007" s="4"/>
      <c r="W1007" s="761"/>
      <c r="X1007" s="761"/>
      <c r="Y1007" s="761"/>
      <c r="Z1007" s="761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</row>
    <row r="1008" spans="1:56" ht="18" customHeight="1">
      <c r="B1008" s="1495" t="s">
        <v>213</v>
      </c>
      <c r="C1008" s="868" t="s">
        <v>874</v>
      </c>
      <c r="D1008" s="493"/>
      <c r="E1008" s="11">
        <v>30362</v>
      </c>
      <c r="F1008" s="749"/>
      <c r="G1008" s="3" t="s">
        <v>932</v>
      </c>
      <c r="H1008" s="3"/>
      <c r="I1008" s="3">
        <v>154.12</v>
      </c>
      <c r="J1008" s="3"/>
      <c r="K1008" s="3" t="s">
        <v>2125</v>
      </c>
      <c r="L1008" s="790">
        <v>44615</v>
      </c>
      <c r="M1008" s="761"/>
      <c r="N1008" s="761"/>
      <c r="O1008" s="761" t="s">
        <v>62</v>
      </c>
      <c r="P1008" s="762"/>
      <c r="Q1008" s="3"/>
      <c r="R1008" s="3"/>
      <c r="S1008" s="3"/>
      <c r="T1008" s="3"/>
      <c r="U1008" s="3"/>
      <c r="V1008" s="4"/>
      <c r="W1008" s="761"/>
      <c r="X1008" s="761"/>
      <c r="Y1008" s="761"/>
      <c r="Z1008" s="761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</row>
    <row r="1009" spans="1:39" ht="18" customHeight="1">
      <c r="B1009" s="1495" t="s">
        <v>213</v>
      </c>
      <c r="C1009" s="868" t="s">
        <v>874</v>
      </c>
      <c r="D1009" s="493"/>
      <c r="E1009" s="11">
        <v>30372</v>
      </c>
      <c r="F1009" s="749"/>
      <c r="G1009" s="3" t="s">
        <v>932</v>
      </c>
      <c r="H1009" s="3"/>
      <c r="I1009" s="3">
        <v>154.94</v>
      </c>
      <c r="J1009" s="3"/>
      <c r="K1009" s="3" t="s">
        <v>2125</v>
      </c>
      <c r="L1009" s="790">
        <v>44615</v>
      </c>
      <c r="M1009" s="761"/>
      <c r="N1009" s="761"/>
      <c r="O1009" s="761" t="s">
        <v>62</v>
      </c>
      <c r="P1009" s="762"/>
      <c r="Q1009" s="3"/>
      <c r="R1009" s="3"/>
      <c r="S1009" s="3"/>
      <c r="T1009" s="3"/>
      <c r="U1009" s="3"/>
      <c r="V1009" s="4"/>
      <c r="W1009" s="761"/>
      <c r="X1009" s="761"/>
      <c r="Y1009" s="761"/>
      <c r="Z1009" s="761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</row>
    <row r="1010" spans="1:39" ht="18" customHeight="1">
      <c r="B1010" s="1495" t="s">
        <v>213</v>
      </c>
      <c r="C1010" s="868" t="s">
        <v>874</v>
      </c>
      <c r="D1010" s="493"/>
      <c r="E1010" s="11">
        <v>30382</v>
      </c>
      <c r="F1010" s="749"/>
      <c r="G1010" s="3" t="s">
        <v>932</v>
      </c>
      <c r="H1010" s="3"/>
      <c r="I1010" s="3">
        <v>153.06</v>
      </c>
      <c r="J1010" s="3"/>
      <c r="K1010" s="3" t="s">
        <v>2125</v>
      </c>
      <c r="L1010" s="790">
        <v>44615</v>
      </c>
      <c r="M1010" s="761"/>
      <c r="N1010" s="761"/>
      <c r="O1010" s="761" t="s">
        <v>62</v>
      </c>
      <c r="P1010" s="762"/>
      <c r="Q1010" s="3"/>
      <c r="R1010" s="3"/>
      <c r="S1010" s="3"/>
      <c r="T1010" s="3"/>
      <c r="U1010" s="3"/>
      <c r="V1010" s="4"/>
      <c r="W1010" s="761"/>
      <c r="X1010" s="761"/>
      <c r="Y1010" s="761"/>
      <c r="Z1010" s="761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</row>
    <row r="1011" spans="1:39" s="707" customFormat="1" ht="18" customHeight="1">
      <c r="A1011"/>
      <c r="B1011" s="872" t="s">
        <v>13</v>
      </c>
      <c r="C1011" s="9" t="s">
        <v>2226</v>
      </c>
      <c r="D1011" s="873"/>
      <c r="E1011" s="874"/>
      <c r="F1011" s="807"/>
      <c r="G1011" s="807"/>
      <c r="H1011" s="807"/>
      <c r="I1011" s="807"/>
      <c r="J1011" s="807"/>
      <c r="K1011" s="807"/>
      <c r="L1011" s="877"/>
      <c r="M1011" s="819"/>
      <c r="N1011" s="819"/>
      <c r="O1011" s="819"/>
      <c r="P1011" s="820"/>
      <c r="Q1011" s="807"/>
      <c r="R1011" s="807"/>
      <c r="S1011" s="807"/>
      <c r="T1011" s="807"/>
      <c r="U1011" s="807"/>
      <c r="V1011" s="710"/>
      <c r="W1011" s="819"/>
      <c r="X1011" s="819"/>
      <c r="Y1011" s="819"/>
      <c r="Z1011" s="819"/>
      <c r="AA1011" s="710"/>
      <c r="AB1011" s="710"/>
      <c r="AC1011" s="710"/>
      <c r="AD1011" s="710"/>
      <c r="AE1011" s="710"/>
      <c r="AF1011" s="710"/>
      <c r="AG1011" s="710"/>
      <c r="AH1011" s="710"/>
      <c r="AI1011" s="710"/>
      <c r="AJ1011" s="710"/>
      <c r="AK1011" s="710"/>
      <c r="AL1011" s="710"/>
      <c r="AM1011" s="710"/>
    </row>
    <row r="1012" spans="1:39" ht="18" customHeight="1">
      <c r="B1012" s="1495" t="s">
        <v>277</v>
      </c>
      <c r="C1012" s="868" t="s">
        <v>896</v>
      </c>
      <c r="D1012" s="12" t="s">
        <v>3343</v>
      </c>
      <c r="E1012" s="12" t="s">
        <v>3344</v>
      </c>
      <c r="F1012" s="749">
        <v>1</v>
      </c>
      <c r="G1012" s="3" t="s">
        <v>1041</v>
      </c>
      <c r="H1012" s="3" t="s">
        <v>932</v>
      </c>
      <c r="I1012" s="3">
        <v>258.86</v>
      </c>
      <c r="J1012" s="3">
        <v>148.5</v>
      </c>
      <c r="K1012" s="3" t="s">
        <v>2094</v>
      </c>
      <c r="L1012" s="790">
        <v>44565</v>
      </c>
      <c r="M1012" s="761" t="s">
        <v>2272</v>
      </c>
      <c r="N1012" s="761">
        <v>44654</v>
      </c>
      <c r="O1012" s="761" t="s">
        <v>62</v>
      </c>
      <c r="P1012" s="762" t="s">
        <v>3345</v>
      </c>
      <c r="Q1012" s="3">
        <v>2</v>
      </c>
      <c r="R1012" s="3" t="s">
        <v>1547</v>
      </c>
      <c r="S1012" s="3" t="s">
        <v>1547</v>
      </c>
      <c r="T1012" s="3">
        <v>319</v>
      </c>
      <c r="U1012" s="3">
        <v>272.10000000000002</v>
      </c>
      <c r="V1012" s="4" t="s">
        <v>2272</v>
      </c>
      <c r="W1012" s="761">
        <v>44655</v>
      </c>
      <c r="X1012" s="761" t="s">
        <v>2272</v>
      </c>
      <c r="Y1012" s="761">
        <v>44652</v>
      </c>
      <c r="Z1012" s="761" t="s">
        <v>62</v>
      </c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</row>
    <row r="1013" spans="1:39" ht="18" customHeight="1">
      <c r="B1013" s="1495" t="s">
        <v>277</v>
      </c>
      <c r="C1013" s="868" t="s">
        <v>896</v>
      </c>
      <c r="D1013" s="12" t="s">
        <v>3346</v>
      </c>
      <c r="E1013" s="12" t="s">
        <v>3347</v>
      </c>
      <c r="F1013" s="749">
        <v>2</v>
      </c>
      <c r="G1013" s="3" t="s">
        <v>1041</v>
      </c>
      <c r="H1013" s="3" t="s">
        <v>932</v>
      </c>
      <c r="I1013" s="3">
        <v>262.14</v>
      </c>
      <c r="J1013" s="3">
        <v>146.24</v>
      </c>
      <c r="K1013" s="3" t="s">
        <v>2272</v>
      </c>
      <c r="L1013" s="790">
        <v>44656</v>
      </c>
      <c r="M1013" s="761" t="s">
        <v>2272</v>
      </c>
      <c r="N1013" s="761">
        <v>44656</v>
      </c>
      <c r="O1013" s="761" t="s">
        <v>62</v>
      </c>
      <c r="P1013" s="762" t="s">
        <v>3348</v>
      </c>
      <c r="Q1013" s="3">
        <v>1.94</v>
      </c>
      <c r="R1013" s="3" t="s">
        <v>1547</v>
      </c>
      <c r="S1013" s="3" t="s">
        <v>1547</v>
      </c>
      <c r="T1013" s="3">
        <v>314.7</v>
      </c>
      <c r="U1013" s="3">
        <v>275.5</v>
      </c>
      <c r="V1013" s="4" t="s">
        <v>2272</v>
      </c>
      <c r="W1013" s="761">
        <v>44656</v>
      </c>
      <c r="X1013" s="761" t="s">
        <v>2272</v>
      </c>
      <c r="Y1013" s="761">
        <v>44656</v>
      </c>
      <c r="Z1013" s="761" t="s">
        <v>62</v>
      </c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</row>
    <row r="1014" spans="1:39" ht="18" customHeight="1">
      <c r="B1014" s="1495" t="s">
        <v>277</v>
      </c>
      <c r="C1014" s="868" t="s">
        <v>874</v>
      </c>
      <c r="D1014" s="12" t="s">
        <v>3343</v>
      </c>
      <c r="E1014" s="12" t="s">
        <v>3344</v>
      </c>
      <c r="F1014" s="749"/>
      <c r="G1014" s="3" t="s">
        <v>932</v>
      </c>
      <c r="H1014" s="3"/>
      <c r="I1014" s="3">
        <v>154.04</v>
      </c>
      <c r="J1014" s="3"/>
      <c r="K1014" s="3" t="s">
        <v>2272</v>
      </c>
      <c r="L1014" s="790">
        <v>44652</v>
      </c>
      <c r="M1014" s="761"/>
      <c r="N1014" s="761"/>
      <c r="O1014" s="761" t="s">
        <v>62</v>
      </c>
      <c r="P1014" s="762"/>
      <c r="Q1014" s="3"/>
      <c r="R1014" s="3" t="s">
        <v>1547</v>
      </c>
      <c r="S1014" s="3"/>
      <c r="T1014" s="3">
        <v>319</v>
      </c>
      <c r="U1014" s="3"/>
      <c r="V1014" s="4" t="s">
        <v>2272</v>
      </c>
      <c r="W1014" s="761">
        <v>44656</v>
      </c>
      <c r="X1014" s="761"/>
      <c r="Y1014" s="761"/>
      <c r="Z1014" s="761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</row>
    <row r="1015" spans="1:39" ht="18" customHeight="1">
      <c r="B1015" s="1495" t="s">
        <v>277</v>
      </c>
      <c r="C1015" s="868" t="s">
        <v>874</v>
      </c>
      <c r="D1015" s="12" t="s">
        <v>3346</v>
      </c>
      <c r="E1015" s="12" t="s">
        <v>3347</v>
      </c>
      <c r="F1015" s="749"/>
      <c r="G1015" s="3" t="s">
        <v>932</v>
      </c>
      <c r="H1015" s="3"/>
      <c r="I1015" s="3">
        <v>156.1</v>
      </c>
      <c r="J1015" s="3"/>
      <c r="K1015" s="3" t="s">
        <v>2272</v>
      </c>
      <c r="L1015" s="790">
        <v>44652</v>
      </c>
      <c r="M1015" s="761"/>
      <c r="N1015" s="761"/>
      <c r="O1015" s="761" t="s">
        <v>62</v>
      </c>
      <c r="P1015" s="762"/>
      <c r="Q1015" s="3"/>
      <c r="R1015" s="3"/>
      <c r="S1015" s="3"/>
      <c r="T1015" s="3"/>
      <c r="U1015" s="3"/>
      <c r="V1015" s="4" t="s">
        <v>2094</v>
      </c>
      <c r="W1015" s="761"/>
      <c r="X1015" s="761"/>
      <c r="Y1015" s="761"/>
      <c r="Z1015" s="761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</row>
    <row r="1016" spans="1:39" s="707" customFormat="1" ht="18" customHeight="1">
      <c r="A1016"/>
      <c r="B1016" s="872" t="s">
        <v>13</v>
      </c>
      <c r="C1016" s="9" t="s">
        <v>1758</v>
      </c>
      <c r="D1016" s="875"/>
      <c r="E1016" s="875"/>
      <c r="F1016" s="807"/>
      <c r="G1016" s="807"/>
      <c r="H1016" s="807"/>
      <c r="I1016" s="807"/>
      <c r="J1016" s="807"/>
      <c r="K1016" s="807"/>
      <c r="L1016" s="818"/>
      <c r="M1016" s="819"/>
      <c r="N1016" s="819"/>
      <c r="O1016" s="819"/>
      <c r="P1016" s="820"/>
      <c r="Q1016" s="807"/>
      <c r="R1016" s="807"/>
      <c r="S1016" s="807"/>
      <c r="T1016" s="807"/>
      <c r="U1016" s="807"/>
      <c r="V1016" s="710"/>
      <c r="W1016" s="819"/>
      <c r="X1016" s="819"/>
      <c r="Y1016" s="819"/>
      <c r="Z1016" s="819"/>
      <c r="AA1016" s="710"/>
      <c r="AB1016" s="710"/>
      <c r="AC1016" s="710"/>
      <c r="AD1016" s="710"/>
      <c r="AE1016" s="710"/>
      <c r="AF1016" s="710"/>
      <c r="AG1016" s="710"/>
      <c r="AH1016" s="710"/>
      <c r="AI1016" s="710"/>
      <c r="AJ1016" s="710"/>
      <c r="AK1016" s="710"/>
      <c r="AL1016" s="710"/>
      <c r="AM1016" s="710"/>
    </row>
    <row r="1017" spans="1:39" ht="18" customHeight="1">
      <c r="B1017" s="867">
        <v>5</v>
      </c>
      <c r="C1017" s="868" t="s">
        <v>896</v>
      </c>
      <c r="D1017" s="12" t="s">
        <v>3349</v>
      </c>
      <c r="E1017" s="12" t="s">
        <v>3350</v>
      </c>
      <c r="F1017" s="749">
        <v>1</v>
      </c>
      <c r="G1017" s="3" t="s">
        <v>128</v>
      </c>
      <c r="H1017" s="3" t="s">
        <v>932</v>
      </c>
      <c r="I1017" s="3">
        <v>260.94</v>
      </c>
      <c r="J1017" s="3">
        <v>148.6</v>
      </c>
      <c r="K1017" s="3" t="s">
        <v>2272</v>
      </c>
      <c r="L1017" s="790">
        <v>44679</v>
      </c>
      <c r="M1017" s="761" t="s">
        <v>2272</v>
      </c>
      <c r="N1017" s="761">
        <v>44679</v>
      </c>
      <c r="O1017" s="761" t="s">
        <v>62</v>
      </c>
      <c r="P1017" s="762" t="s">
        <v>3351</v>
      </c>
      <c r="Q1017" s="3">
        <v>1.97</v>
      </c>
      <c r="R1017" s="3" t="s">
        <v>1547</v>
      </c>
      <c r="S1017" s="3" t="s">
        <v>1547</v>
      </c>
      <c r="T1017" s="3">
        <v>320.5</v>
      </c>
      <c r="U1017" s="3">
        <v>274.5</v>
      </c>
      <c r="V1017" s="4" t="str">
        <f>TEXT(W1017,"mmmm")</f>
        <v>April</v>
      </c>
      <c r="W1017" s="761">
        <v>44679</v>
      </c>
      <c r="X1017" s="761" t="s">
        <v>2272</v>
      </c>
      <c r="Y1017" s="761">
        <v>44679</v>
      </c>
      <c r="Z1017" s="761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</row>
    <row r="1018" spans="1:39" ht="18" customHeight="1">
      <c r="B1018" s="867">
        <v>5</v>
      </c>
      <c r="C1018" s="868" t="s">
        <v>896</v>
      </c>
      <c r="D1018" s="12" t="s">
        <v>3352</v>
      </c>
      <c r="E1018" s="12" t="s">
        <v>3353</v>
      </c>
      <c r="F1018" s="749">
        <v>2</v>
      </c>
      <c r="G1018" s="3" t="s">
        <v>1041</v>
      </c>
      <c r="H1018" s="3" t="s">
        <v>932</v>
      </c>
      <c r="I1018" s="3">
        <v>260</v>
      </c>
      <c r="J1018" s="3">
        <v>149.78</v>
      </c>
      <c r="K1018" s="3" t="s">
        <v>2272</v>
      </c>
      <c r="L1018" s="790">
        <v>44679</v>
      </c>
      <c r="M1018" s="761" t="str">
        <f>TEXT(N1018,"mmmm")</f>
        <v>April</v>
      </c>
      <c r="N1018" s="761">
        <v>44679</v>
      </c>
      <c r="O1018" s="761" t="s">
        <v>62</v>
      </c>
      <c r="P1018" s="762" t="s">
        <v>3354</v>
      </c>
      <c r="Q1018" s="3">
        <v>2.0099999999999998</v>
      </c>
      <c r="R1018" s="3" t="s">
        <v>1547</v>
      </c>
      <c r="S1018" s="3" t="s">
        <v>1547</v>
      </c>
      <c r="T1018" s="3">
        <v>322.2</v>
      </c>
      <c r="U1018" s="3">
        <v>277.3</v>
      </c>
      <c r="V1018" s="4" t="s">
        <v>2272</v>
      </c>
      <c r="W1018" s="761">
        <v>44679</v>
      </c>
      <c r="X1018" s="761" t="s">
        <v>2272</v>
      </c>
      <c r="Y1018" s="761">
        <v>44679</v>
      </c>
      <c r="Z1018" s="761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</row>
    <row r="1019" spans="1:39" ht="18" customHeight="1">
      <c r="B1019" s="867">
        <v>5</v>
      </c>
      <c r="C1019" s="868" t="s">
        <v>896</v>
      </c>
      <c r="D1019" s="787" t="s">
        <v>3355</v>
      </c>
      <c r="E1019" s="12" t="s">
        <v>3356</v>
      </c>
      <c r="F1019" s="749">
        <v>3</v>
      </c>
      <c r="G1019" s="3" t="s">
        <v>1041</v>
      </c>
      <c r="H1019" s="3" t="s">
        <v>932</v>
      </c>
      <c r="I1019" s="3">
        <v>264.58</v>
      </c>
      <c r="J1019" s="3">
        <v>150.26</v>
      </c>
      <c r="K1019" s="3" t="s">
        <v>2272</v>
      </c>
      <c r="L1019" s="790">
        <v>44679</v>
      </c>
      <c r="M1019" s="761" t="s">
        <v>2272</v>
      </c>
      <c r="N1019" s="761">
        <v>44679</v>
      </c>
      <c r="O1019" s="761"/>
      <c r="P1019" s="762" t="s">
        <v>3357</v>
      </c>
      <c r="Q1019" s="3">
        <v>2.21</v>
      </c>
      <c r="R1019" s="3" t="s">
        <v>1547</v>
      </c>
      <c r="S1019" s="3" t="s">
        <v>1547</v>
      </c>
      <c r="T1019" s="3">
        <v>321.39999999999998</v>
      </c>
      <c r="U1019" s="3">
        <v>277</v>
      </c>
      <c r="V1019" s="4" t="str">
        <f>TEXT(W1019,"mmmm")</f>
        <v>April</v>
      </c>
      <c r="W1019" s="761">
        <v>44679</v>
      </c>
      <c r="X1019" s="761" t="str">
        <f>TEXT(Y1019,"mmmm")</f>
        <v>April</v>
      </c>
      <c r="Y1019" s="761">
        <v>44679</v>
      </c>
      <c r="Z1019" s="761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</row>
    <row r="1020" spans="1:39" ht="18" customHeight="1">
      <c r="B1020" s="867">
        <v>5</v>
      </c>
      <c r="C1020" s="868" t="s">
        <v>874</v>
      </c>
      <c r="D1020" s="787"/>
      <c r="E1020" s="12" t="s">
        <v>3350</v>
      </c>
      <c r="F1020" s="749"/>
      <c r="G1020" s="3" t="s">
        <v>932</v>
      </c>
      <c r="H1020" s="3"/>
      <c r="I1020" s="3">
        <v>152.41999999999999</v>
      </c>
      <c r="J1020" s="3"/>
      <c r="K1020" s="3" t="s">
        <v>2272</v>
      </c>
      <c r="L1020" s="790">
        <v>44678</v>
      </c>
      <c r="M1020" s="761"/>
      <c r="N1020" s="761"/>
      <c r="O1020" s="761" t="s">
        <v>62</v>
      </c>
      <c r="P1020" s="762">
        <v>2.91</v>
      </c>
      <c r="Q1020" s="3"/>
      <c r="R1020" s="3"/>
      <c r="S1020" s="3"/>
      <c r="T1020" s="3"/>
      <c r="U1020" s="3"/>
      <c r="V1020" s="4"/>
      <c r="W1020" s="761"/>
      <c r="X1020" s="761"/>
      <c r="Y1020" s="761"/>
      <c r="Z1020" s="761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</row>
    <row r="1021" spans="1:39" ht="18" customHeight="1">
      <c r="B1021" s="867">
        <v>5</v>
      </c>
      <c r="C1021" s="868" t="s">
        <v>874</v>
      </c>
      <c r="D1021" s="787"/>
      <c r="E1021" s="12" t="s">
        <v>3353</v>
      </c>
      <c r="F1021" s="749"/>
      <c r="G1021" s="3" t="s">
        <v>932</v>
      </c>
      <c r="H1021" s="3"/>
      <c r="I1021" s="3">
        <v>153.12</v>
      </c>
      <c r="J1021" s="3"/>
      <c r="K1021" s="3" t="s">
        <v>2272</v>
      </c>
      <c r="L1021" s="790">
        <v>44678</v>
      </c>
      <c r="M1021" s="761"/>
      <c r="N1021" s="761"/>
      <c r="O1021" s="761" t="s">
        <v>62</v>
      </c>
      <c r="P1021" s="762">
        <v>3.04</v>
      </c>
      <c r="Q1021" s="3"/>
      <c r="R1021" s="3"/>
      <c r="S1021" s="3"/>
      <c r="T1021" s="3"/>
      <c r="U1021" s="3"/>
      <c r="V1021" s="4"/>
      <c r="W1021" s="761"/>
      <c r="X1021" s="761"/>
      <c r="Y1021" s="761"/>
      <c r="Z1021" s="761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</row>
    <row r="1022" spans="1:39" ht="18" customHeight="1">
      <c r="B1022" s="867">
        <v>5</v>
      </c>
      <c r="C1022" s="868" t="s">
        <v>874</v>
      </c>
      <c r="D1022" s="787"/>
      <c r="E1022" s="12" t="s">
        <v>3356</v>
      </c>
      <c r="F1022" s="749"/>
      <c r="G1022" s="3" t="s">
        <v>932</v>
      </c>
      <c r="H1022" s="3"/>
      <c r="I1022" s="3">
        <v>155.5</v>
      </c>
      <c r="J1022" s="3"/>
      <c r="K1022" s="3" t="s">
        <v>2272</v>
      </c>
      <c r="L1022" s="790">
        <v>44679</v>
      </c>
      <c r="M1022" s="761"/>
      <c r="N1022" s="761"/>
      <c r="O1022" s="761" t="s">
        <v>62</v>
      </c>
      <c r="P1022" s="762">
        <v>2.99</v>
      </c>
      <c r="Q1022" s="3"/>
      <c r="R1022" s="3"/>
      <c r="S1022" s="3"/>
      <c r="T1022" s="3"/>
      <c r="U1022" s="3"/>
      <c r="V1022" s="4"/>
      <c r="W1022" s="761"/>
      <c r="X1022" s="761"/>
      <c r="Y1022" s="761"/>
      <c r="Z1022" s="761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</row>
    <row r="1023" spans="1:39" s="707" customFormat="1" ht="18" customHeight="1">
      <c r="A1023"/>
      <c r="B1023" s="872" t="s">
        <v>13</v>
      </c>
      <c r="C1023" s="9" t="s">
        <v>1759</v>
      </c>
      <c r="D1023" s="876"/>
      <c r="E1023" s="875"/>
      <c r="F1023" s="807"/>
      <c r="G1023" s="807"/>
      <c r="H1023" s="807"/>
      <c r="I1023" s="807"/>
      <c r="J1023" s="807"/>
      <c r="K1023" s="807"/>
      <c r="L1023" s="818"/>
      <c r="M1023" s="819"/>
      <c r="N1023" s="819"/>
      <c r="O1023" s="819"/>
      <c r="P1023" s="820"/>
      <c r="Q1023" s="807"/>
      <c r="R1023" s="807"/>
      <c r="S1023" s="807"/>
      <c r="T1023" s="807"/>
      <c r="U1023" s="807"/>
      <c r="V1023" s="710"/>
      <c r="W1023" s="819"/>
      <c r="X1023" s="819"/>
      <c r="Y1023" s="819"/>
      <c r="Z1023" s="819"/>
      <c r="AA1023" s="710"/>
      <c r="AB1023" s="710"/>
      <c r="AC1023" s="710"/>
      <c r="AD1023" s="710"/>
      <c r="AE1023" s="710"/>
      <c r="AF1023" s="710"/>
      <c r="AG1023" s="710"/>
      <c r="AH1023" s="710"/>
      <c r="AI1023" s="710"/>
      <c r="AJ1023" s="710"/>
      <c r="AK1023" s="710"/>
      <c r="AL1023" s="710"/>
      <c r="AM1023" s="710"/>
    </row>
    <row r="1024" spans="1:39" ht="18" customHeight="1">
      <c r="B1024" s="867">
        <v>6</v>
      </c>
      <c r="C1024" s="868" t="s">
        <v>896</v>
      </c>
      <c r="D1024" s="787" t="s">
        <v>3358</v>
      </c>
      <c r="E1024" s="12" t="s">
        <v>3359</v>
      </c>
      <c r="F1024" s="749">
        <v>1</v>
      </c>
      <c r="G1024" s="3" t="s">
        <v>1041</v>
      </c>
      <c r="H1024" s="3" t="s">
        <v>932</v>
      </c>
      <c r="I1024" s="3">
        <v>256.8</v>
      </c>
      <c r="J1024" s="878">
        <v>148.46</v>
      </c>
      <c r="K1024" s="3" t="s">
        <v>2327</v>
      </c>
      <c r="L1024" s="790">
        <v>44708</v>
      </c>
      <c r="M1024" s="761" t="s">
        <v>2327</v>
      </c>
      <c r="N1024" s="761">
        <v>44706</v>
      </c>
      <c r="O1024" s="761" t="s">
        <v>62</v>
      </c>
      <c r="P1024" s="762" t="s">
        <v>3360</v>
      </c>
      <c r="Q1024" s="3">
        <v>1.85</v>
      </c>
      <c r="R1024" s="3" t="s">
        <v>1547</v>
      </c>
      <c r="S1024" s="3" t="s">
        <v>1547</v>
      </c>
      <c r="T1024" s="3">
        <v>321</v>
      </c>
      <c r="U1024" s="3">
        <v>270.2</v>
      </c>
      <c r="V1024" s="4" t="s">
        <v>3361</v>
      </c>
      <c r="W1024" s="761">
        <v>44708</v>
      </c>
      <c r="X1024" s="761" t="str">
        <f>TEXT(Y1024,"mmmm")</f>
        <v>May</v>
      </c>
      <c r="Y1024" s="761">
        <v>44708</v>
      </c>
      <c r="Z1024" s="761" t="s">
        <v>62</v>
      </c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</row>
    <row r="1025" spans="1:39" ht="18" customHeight="1">
      <c r="B1025" s="867">
        <v>6</v>
      </c>
      <c r="C1025" s="868" t="s">
        <v>896</v>
      </c>
      <c r="D1025" s="787" t="s">
        <v>3362</v>
      </c>
      <c r="E1025" s="12" t="s">
        <v>3363</v>
      </c>
      <c r="F1025" s="749">
        <v>2</v>
      </c>
      <c r="G1025" s="3" t="s">
        <v>1041</v>
      </c>
      <c r="H1025" s="3" t="s">
        <v>932</v>
      </c>
      <c r="I1025" s="3">
        <v>256.72000000000003</v>
      </c>
      <c r="J1025" s="878">
        <v>148.4</v>
      </c>
      <c r="K1025" s="3" t="s">
        <v>2327</v>
      </c>
      <c r="L1025" s="790">
        <v>44708</v>
      </c>
      <c r="M1025" s="761" t="s">
        <v>3361</v>
      </c>
      <c r="N1025" s="761">
        <v>44706</v>
      </c>
      <c r="O1025" s="761" t="s">
        <v>62</v>
      </c>
      <c r="P1025" s="762" t="s">
        <v>3364</v>
      </c>
      <c r="Q1025" s="3">
        <v>2.12</v>
      </c>
      <c r="R1025" s="3" t="s">
        <v>1547</v>
      </c>
      <c r="S1025" s="3" t="s">
        <v>1547</v>
      </c>
      <c r="T1025" s="3">
        <v>321.10000000000002</v>
      </c>
      <c r="U1025" s="3">
        <v>269.89999999999998</v>
      </c>
      <c r="V1025" s="4" t="str">
        <f>TEXT(W1025,"mmmm")</f>
        <v>May</v>
      </c>
      <c r="W1025" s="761">
        <v>44708</v>
      </c>
      <c r="X1025" s="761" t="str">
        <f>TEXT(Y1025,"mmmm")</f>
        <v>May</v>
      </c>
      <c r="Y1025" s="761">
        <v>44708</v>
      </c>
      <c r="Z1025" s="761" t="s">
        <v>62</v>
      </c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</row>
    <row r="1026" spans="1:39" ht="18" customHeight="1">
      <c r="B1026" s="867">
        <v>6</v>
      </c>
      <c r="C1026" s="868" t="s">
        <v>896</v>
      </c>
      <c r="D1026" s="787" t="s">
        <v>3365</v>
      </c>
      <c r="E1026" s="12" t="s">
        <v>3366</v>
      </c>
      <c r="F1026" s="749">
        <v>3</v>
      </c>
      <c r="G1026" s="3" t="s">
        <v>1041</v>
      </c>
      <c r="H1026" s="3" t="s">
        <v>1041</v>
      </c>
      <c r="I1026" s="3">
        <v>260.62</v>
      </c>
      <c r="J1026" s="878">
        <v>148.63999999999999</v>
      </c>
      <c r="K1026" s="3" t="s">
        <v>2327</v>
      </c>
      <c r="L1026" s="790">
        <v>44708</v>
      </c>
      <c r="M1026" s="761" t="str">
        <f>TEXT(N1026,"mmmm")</f>
        <v>May</v>
      </c>
      <c r="N1026" s="761">
        <v>44708</v>
      </c>
      <c r="O1026" s="761" t="s">
        <v>62</v>
      </c>
      <c r="P1026" s="762" t="s">
        <v>3367</v>
      </c>
      <c r="Q1026" s="3">
        <v>2.19</v>
      </c>
      <c r="R1026" s="3" t="s">
        <v>1547</v>
      </c>
      <c r="S1026" s="3" t="s">
        <v>1547</v>
      </c>
      <c r="T1026" s="3">
        <v>321.5</v>
      </c>
      <c r="U1026" s="3">
        <v>273.7</v>
      </c>
      <c r="V1026" s="4" t="str">
        <f>TEXT(W1026,"mmmm")</f>
        <v>May</v>
      </c>
      <c r="W1026" s="761">
        <v>44708</v>
      </c>
      <c r="X1026" s="761" t="str">
        <f>TEXT(Y1026,"mmmm")</f>
        <v>May</v>
      </c>
      <c r="Y1026" s="761">
        <v>44708</v>
      </c>
      <c r="Z1026" s="761" t="s">
        <v>62</v>
      </c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</row>
    <row r="1027" spans="1:39" ht="18" customHeight="1">
      <c r="B1027" s="867">
        <v>6</v>
      </c>
      <c r="C1027" s="868" t="s">
        <v>896</v>
      </c>
      <c r="D1027" s="787" t="s">
        <v>3368</v>
      </c>
      <c r="E1027" s="12" t="s">
        <v>3369</v>
      </c>
      <c r="F1027" s="749">
        <v>4</v>
      </c>
      <c r="G1027" s="3" t="s">
        <v>932</v>
      </c>
      <c r="H1027" s="3" t="s">
        <v>932</v>
      </c>
      <c r="I1027" s="3">
        <v>261.95999999999998</v>
      </c>
      <c r="J1027" s="878">
        <v>147.1</v>
      </c>
      <c r="K1027" s="3" t="s">
        <v>2327</v>
      </c>
      <c r="L1027" s="790">
        <v>44711</v>
      </c>
      <c r="M1027" s="761" t="str">
        <f>TEXT(N1027,"mmmm")</f>
        <v>May</v>
      </c>
      <c r="N1027" s="761">
        <v>44708</v>
      </c>
      <c r="O1027" s="761" t="s">
        <v>62</v>
      </c>
      <c r="P1027" s="762" t="s">
        <v>3370</v>
      </c>
      <c r="Q1027" s="3">
        <v>2.2400000000000002</v>
      </c>
      <c r="R1027" s="3" t="s">
        <v>1547</v>
      </c>
      <c r="S1027" s="3" t="s">
        <v>1547</v>
      </c>
      <c r="T1027" s="3">
        <v>320.39999999999998</v>
      </c>
      <c r="U1027" s="3">
        <v>275.10000000000002</v>
      </c>
      <c r="V1027" s="4" t="s">
        <v>3361</v>
      </c>
      <c r="W1027" s="761">
        <v>44708</v>
      </c>
      <c r="X1027" s="761" t="s">
        <v>3361</v>
      </c>
      <c r="Y1027" s="761">
        <v>44711</v>
      </c>
      <c r="Z1027" s="761" t="s">
        <v>62</v>
      </c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</row>
    <row r="1028" spans="1:39" ht="18" customHeight="1">
      <c r="B1028" s="867">
        <v>6</v>
      </c>
      <c r="C1028" s="868" t="s">
        <v>874</v>
      </c>
      <c r="D1028" s="787"/>
      <c r="E1028" s="12" t="s">
        <v>3359</v>
      </c>
      <c r="F1028" s="749"/>
      <c r="G1028" s="3" t="s">
        <v>1041</v>
      </c>
      <c r="H1028" s="3"/>
      <c r="I1028" s="3">
        <v>154.30000000000001</v>
      </c>
      <c r="J1028" s="878"/>
      <c r="K1028" s="3" t="s">
        <v>2327</v>
      </c>
      <c r="L1028" s="790">
        <v>44706</v>
      </c>
      <c r="M1028" s="761"/>
      <c r="N1028" s="761"/>
      <c r="O1028" s="761" t="s">
        <v>62</v>
      </c>
      <c r="P1028" s="762">
        <v>3.02</v>
      </c>
      <c r="Q1028" s="3"/>
      <c r="R1028" s="3"/>
      <c r="S1028" s="3"/>
      <c r="T1028" s="3"/>
      <c r="U1028" s="3"/>
      <c r="V1028" s="4"/>
      <c r="W1028" s="761"/>
      <c r="X1028" s="761"/>
      <c r="Y1028" s="761"/>
      <c r="Z1028" s="761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</row>
    <row r="1029" spans="1:39" ht="18" customHeight="1">
      <c r="B1029" s="867">
        <v>6</v>
      </c>
      <c r="C1029" s="868" t="s">
        <v>874</v>
      </c>
      <c r="D1029" s="787"/>
      <c r="E1029" s="12" t="s">
        <v>3363</v>
      </c>
      <c r="F1029" s="749"/>
      <c r="G1029" s="3" t="s">
        <v>1041</v>
      </c>
      <c r="H1029" s="3"/>
      <c r="I1029" s="3">
        <v>154.30000000000001</v>
      </c>
      <c r="J1029" s="878"/>
      <c r="K1029" s="3" t="s">
        <v>2327</v>
      </c>
      <c r="L1029" s="790">
        <v>44706</v>
      </c>
      <c r="M1029" s="761"/>
      <c r="N1029" s="761"/>
      <c r="O1029" s="761" t="s">
        <v>62</v>
      </c>
      <c r="P1029" s="762">
        <v>2.89</v>
      </c>
      <c r="Q1029" s="3"/>
      <c r="R1029" s="3"/>
      <c r="S1029" s="3"/>
      <c r="T1029" s="3"/>
      <c r="U1029" s="3"/>
      <c r="V1029" s="4"/>
      <c r="W1029" s="761"/>
      <c r="X1029" s="761"/>
      <c r="Y1029" s="761"/>
      <c r="Z1029" s="761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</row>
    <row r="1030" spans="1:39" ht="18" customHeight="1">
      <c r="B1030" s="867">
        <v>6</v>
      </c>
      <c r="C1030" s="868" t="s">
        <v>874</v>
      </c>
      <c r="D1030" s="787"/>
      <c r="E1030" s="12" t="s">
        <v>3366</v>
      </c>
      <c r="F1030" s="749"/>
      <c r="G1030" s="3" t="s">
        <v>1041</v>
      </c>
      <c r="H1030" s="3"/>
      <c r="I1030" s="3">
        <v>156</v>
      </c>
      <c r="J1030" s="878"/>
      <c r="K1030" s="3" t="s">
        <v>2327</v>
      </c>
      <c r="L1030" s="790">
        <v>44708</v>
      </c>
      <c r="M1030" s="761"/>
      <c r="N1030" s="761"/>
      <c r="O1030" s="761" t="s">
        <v>62</v>
      </c>
      <c r="P1030" s="762">
        <v>3.03</v>
      </c>
      <c r="Q1030" s="3"/>
      <c r="R1030" s="3"/>
      <c r="S1030" s="3"/>
      <c r="T1030" s="3"/>
      <c r="U1030" s="3"/>
      <c r="V1030" s="4"/>
      <c r="W1030" s="761"/>
      <c r="X1030" s="761"/>
      <c r="Y1030" s="761"/>
      <c r="Z1030" s="761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</row>
    <row r="1031" spans="1:39" ht="18" customHeight="1">
      <c r="B1031" s="867">
        <v>6</v>
      </c>
      <c r="C1031" s="868" t="s">
        <v>874</v>
      </c>
      <c r="D1031" s="787"/>
      <c r="E1031" s="12" t="s">
        <v>3369</v>
      </c>
      <c r="F1031" s="749"/>
      <c r="G1031" s="3" t="s">
        <v>1041</v>
      </c>
      <c r="H1031" s="3"/>
      <c r="I1031" s="3">
        <v>156.62</v>
      </c>
      <c r="J1031" s="878"/>
      <c r="K1031" s="3" t="s">
        <v>2327</v>
      </c>
      <c r="L1031" s="790">
        <v>44708</v>
      </c>
      <c r="M1031" s="761"/>
      <c r="N1031" s="761"/>
      <c r="O1031" s="761" t="s">
        <v>62</v>
      </c>
      <c r="P1031" s="762">
        <v>3</v>
      </c>
      <c r="Q1031" s="3"/>
      <c r="R1031" s="3"/>
      <c r="S1031" s="3"/>
      <c r="T1031" s="3"/>
      <c r="U1031" s="3"/>
      <c r="V1031" s="4"/>
      <c r="W1031" s="761"/>
      <c r="X1031" s="761"/>
      <c r="Y1031" s="761"/>
      <c r="Z1031" s="761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</row>
    <row r="1032" spans="1:39" s="707" customFormat="1" ht="18" customHeight="1">
      <c r="A1032"/>
      <c r="B1032" s="872" t="s">
        <v>13</v>
      </c>
      <c r="C1032" s="9" t="s">
        <v>1764</v>
      </c>
      <c r="D1032" s="876"/>
      <c r="E1032" s="875"/>
      <c r="F1032" s="807"/>
      <c r="G1032" s="807"/>
      <c r="H1032" s="807"/>
      <c r="I1032" s="807"/>
      <c r="J1032" s="881"/>
      <c r="K1032" s="807"/>
      <c r="L1032" s="818"/>
      <c r="M1032" s="819"/>
      <c r="N1032" s="819"/>
      <c r="O1032" s="819"/>
      <c r="P1032" s="820"/>
      <c r="Q1032" s="807"/>
      <c r="R1032" s="807"/>
      <c r="S1032" s="807"/>
      <c r="T1032" s="807"/>
      <c r="U1032" s="807"/>
      <c r="V1032" s="710"/>
      <c r="W1032" s="819"/>
      <c r="X1032" s="819"/>
      <c r="Y1032" s="819"/>
      <c r="Z1032" s="819"/>
      <c r="AA1032" s="710"/>
      <c r="AB1032" s="710"/>
      <c r="AC1032" s="710"/>
      <c r="AD1032" s="710"/>
      <c r="AE1032" s="710"/>
      <c r="AF1032" s="710"/>
      <c r="AG1032" s="710"/>
      <c r="AH1032" s="710"/>
      <c r="AI1032" s="710"/>
      <c r="AJ1032" s="710"/>
      <c r="AK1032" s="710"/>
      <c r="AL1032" s="710"/>
      <c r="AM1032" s="710"/>
    </row>
    <row r="1033" spans="1:39" ht="18" customHeight="1">
      <c r="B1033" s="867">
        <v>7</v>
      </c>
      <c r="C1033" s="868" t="s">
        <v>896</v>
      </c>
      <c r="D1033" s="787" t="s">
        <v>3371</v>
      </c>
      <c r="E1033" s="12" t="s">
        <v>3372</v>
      </c>
      <c r="F1033" s="749">
        <v>1</v>
      </c>
      <c r="G1033" s="3" t="s">
        <v>60</v>
      </c>
      <c r="H1033" s="3" t="s">
        <v>128</v>
      </c>
      <c r="I1033" s="3">
        <v>147.59</v>
      </c>
      <c r="J1033" s="878">
        <v>259.17</v>
      </c>
      <c r="K1033" s="3" t="s">
        <v>3373</v>
      </c>
      <c r="L1033" s="790">
        <v>44736</v>
      </c>
      <c r="M1033" s="761" t="s">
        <v>2411</v>
      </c>
      <c r="N1033" s="761">
        <v>44736</v>
      </c>
      <c r="O1033" s="761" t="s">
        <v>62</v>
      </c>
      <c r="P1033" s="762">
        <v>2.25</v>
      </c>
      <c r="Q1033" s="3"/>
      <c r="R1033" s="3" t="s">
        <v>130</v>
      </c>
      <c r="S1033" s="3" t="s">
        <v>1547</v>
      </c>
      <c r="T1033" s="3">
        <v>319.3</v>
      </c>
      <c r="U1033" s="3">
        <v>272.7</v>
      </c>
      <c r="V1033" s="4" t="s">
        <v>2411</v>
      </c>
      <c r="W1033" s="761">
        <v>44736</v>
      </c>
      <c r="X1033" s="761" t="s">
        <v>2411</v>
      </c>
      <c r="Y1033" s="761">
        <v>44736</v>
      </c>
      <c r="Z1033" s="761" t="s">
        <v>62</v>
      </c>
      <c r="AA1033" s="4"/>
      <c r="AB1033" s="4"/>
      <c r="AC1033" s="4"/>
      <c r="AD1033" s="4"/>
      <c r="AE1033" s="4"/>
      <c r="AF1033" s="4"/>
      <c r="AG1033" s="4" t="s">
        <v>3374</v>
      </c>
      <c r="AH1033" s="4"/>
      <c r="AI1033" s="4"/>
      <c r="AJ1033" s="4"/>
      <c r="AK1033" s="4"/>
      <c r="AL1033" s="4"/>
      <c r="AM1033" s="4">
        <v>3.14</v>
      </c>
    </row>
    <row r="1034" spans="1:39" ht="18" customHeight="1">
      <c r="B1034" s="867">
        <v>7</v>
      </c>
      <c r="C1034" s="868" t="s">
        <v>896</v>
      </c>
      <c r="D1034" s="787" t="s">
        <v>3375</v>
      </c>
      <c r="E1034" s="12" t="s">
        <v>3376</v>
      </c>
      <c r="F1034" s="749">
        <v>2</v>
      </c>
      <c r="G1034" s="3" t="s">
        <v>60</v>
      </c>
      <c r="H1034" s="3" t="s">
        <v>128</v>
      </c>
      <c r="I1034" s="3">
        <v>150.05000000000001</v>
      </c>
      <c r="J1034" s="878">
        <v>260.58999999999997</v>
      </c>
      <c r="K1034" s="3" t="s">
        <v>2411</v>
      </c>
      <c r="L1034" s="790">
        <v>44736</v>
      </c>
      <c r="M1034" s="761" t="s">
        <v>2411</v>
      </c>
      <c r="N1034" s="761">
        <v>44736</v>
      </c>
      <c r="O1034" s="761" t="s">
        <v>62</v>
      </c>
      <c r="P1034" s="762">
        <v>2.2200000000000002</v>
      </c>
      <c r="Q1034" s="3"/>
      <c r="R1034" s="3" t="s">
        <v>130</v>
      </c>
      <c r="S1034" s="3" t="s">
        <v>1547</v>
      </c>
      <c r="T1034" s="3">
        <v>319.39999999999998</v>
      </c>
      <c r="U1034" s="3">
        <v>274.5</v>
      </c>
      <c r="V1034" s="4" t="s">
        <v>2411</v>
      </c>
      <c r="W1034" s="761">
        <v>44736</v>
      </c>
      <c r="X1034" s="761" t="str">
        <f>TEXT(Y1034,"mmmm")</f>
        <v>June</v>
      </c>
      <c r="Y1034" s="761">
        <v>44736</v>
      </c>
      <c r="Z1034" s="761" t="s">
        <v>62</v>
      </c>
      <c r="AA1034" s="4"/>
      <c r="AB1034" s="4"/>
      <c r="AC1034" s="4"/>
      <c r="AD1034" s="4"/>
      <c r="AE1034" s="4"/>
      <c r="AF1034" s="4"/>
      <c r="AG1034" s="4" t="s">
        <v>3377</v>
      </c>
      <c r="AH1034" s="4"/>
      <c r="AI1034" s="4"/>
      <c r="AJ1034" s="4"/>
      <c r="AK1034" s="4"/>
      <c r="AL1034" s="4"/>
      <c r="AM1034" s="4">
        <v>3.05</v>
      </c>
    </row>
    <row r="1035" spans="1:39" ht="18" customHeight="1">
      <c r="B1035" s="867">
        <v>7</v>
      </c>
      <c r="C1035" s="868" t="s">
        <v>896</v>
      </c>
      <c r="D1035" s="787" t="s">
        <v>3378</v>
      </c>
      <c r="E1035" s="12" t="s">
        <v>3379</v>
      </c>
      <c r="F1035" s="749">
        <v>3</v>
      </c>
      <c r="G1035" s="3" t="s">
        <v>60</v>
      </c>
      <c r="H1035" s="3" t="s">
        <v>128</v>
      </c>
      <c r="I1035" s="3">
        <v>149.77000000000001</v>
      </c>
      <c r="J1035" s="878">
        <v>264.64999999999998</v>
      </c>
      <c r="K1035" s="3" t="str">
        <f>TEXT(L1035,"mmmm")</f>
        <v>June</v>
      </c>
      <c r="L1035" s="790">
        <v>44736</v>
      </c>
      <c r="M1035" s="761" t="s">
        <v>2411</v>
      </c>
      <c r="N1035" s="761">
        <v>44736</v>
      </c>
      <c r="O1035" s="761" t="s">
        <v>62</v>
      </c>
      <c r="P1035" s="762">
        <v>2.2000000000000002</v>
      </c>
      <c r="Q1035" s="3"/>
      <c r="R1035" s="3" t="s">
        <v>130</v>
      </c>
      <c r="S1035" s="3" t="s">
        <v>1547</v>
      </c>
      <c r="T1035" s="3">
        <v>319.2</v>
      </c>
      <c r="U1035" s="3">
        <v>278</v>
      </c>
      <c r="V1035" s="4" t="s">
        <v>3373</v>
      </c>
      <c r="W1035" s="761">
        <v>44736</v>
      </c>
      <c r="X1035" s="761" t="s">
        <v>2411</v>
      </c>
      <c r="Y1035" s="761">
        <v>44739</v>
      </c>
      <c r="Z1035" s="761" t="s">
        <v>62</v>
      </c>
      <c r="AA1035" s="4"/>
      <c r="AB1035" s="4"/>
      <c r="AC1035" s="4"/>
      <c r="AD1035" s="4"/>
      <c r="AE1035" s="4"/>
      <c r="AF1035" s="4"/>
      <c r="AG1035" s="4" t="s">
        <v>3380</v>
      </c>
      <c r="AH1035" s="4"/>
      <c r="AI1035" s="4"/>
      <c r="AJ1035" s="4"/>
      <c r="AK1035" s="4"/>
      <c r="AL1035" s="4"/>
      <c r="AM1035" s="4">
        <v>3.22</v>
      </c>
    </row>
    <row r="1036" spans="1:39" ht="18" customHeight="1">
      <c r="B1036" s="867">
        <v>7</v>
      </c>
      <c r="C1036" s="868" t="s">
        <v>874</v>
      </c>
      <c r="D1036" s="787"/>
      <c r="E1036" s="12" t="s">
        <v>3372</v>
      </c>
      <c r="F1036" s="749"/>
      <c r="G1036" s="3" t="s">
        <v>60</v>
      </c>
      <c r="H1036" s="3"/>
      <c r="I1036" s="3">
        <v>152.78</v>
      </c>
      <c r="J1036" s="878"/>
      <c r="K1036" s="3" t="s">
        <v>2411</v>
      </c>
      <c r="L1036" s="790">
        <v>44736</v>
      </c>
      <c r="M1036" s="761"/>
      <c r="N1036" s="761"/>
      <c r="O1036" s="761"/>
      <c r="P1036" s="762">
        <v>2.82</v>
      </c>
      <c r="Q1036" s="3"/>
      <c r="R1036" s="3"/>
      <c r="S1036" s="3"/>
      <c r="T1036" s="3"/>
      <c r="U1036" s="3"/>
      <c r="V1036" s="4"/>
      <c r="W1036" s="761"/>
      <c r="X1036" s="761"/>
      <c r="Y1036" s="761"/>
      <c r="Z1036" s="761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</row>
    <row r="1037" spans="1:39" ht="18" customHeight="1">
      <c r="B1037" s="867">
        <v>7</v>
      </c>
      <c r="C1037" s="868" t="s">
        <v>874</v>
      </c>
      <c r="D1037" s="787"/>
      <c r="E1037" s="12" t="s">
        <v>3376</v>
      </c>
      <c r="F1037" s="749"/>
      <c r="G1037" s="3" t="s">
        <v>60</v>
      </c>
      <c r="H1037" s="3"/>
      <c r="I1037" s="3">
        <v>152.4</v>
      </c>
      <c r="J1037" s="878"/>
      <c r="K1037" s="3" t="str">
        <f>TEXT(L1037,"mmmm")</f>
        <v>June</v>
      </c>
      <c r="L1037" s="790">
        <v>44736</v>
      </c>
      <c r="M1037" s="761"/>
      <c r="N1037" s="761"/>
      <c r="O1037" s="761"/>
      <c r="P1037" s="762">
        <v>2.95</v>
      </c>
      <c r="Q1037" s="3"/>
      <c r="R1037" s="3"/>
      <c r="S1037" s="3"/>
      <c r="T1037" s="3"/>
      <c r="U1037" s="3"/>
      <c r="V1037" s="4"/>
      <c r="W1037" s="761"/>
      <c r="X1037" s="761"/>
      <c r="Y1037" s="761"/>
      <c r="Z1037" s="761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</row>
    <row r="1038" spans="1:39" s="707" customFormat="1" ht="18" customHeight="1">
      <c r="A1038"/>
      <c r="B1038" s="872" t="s">
        <v>13</v>
      </c>
      <c r="C1038" s="9" t="s">
        <v>1760</v>
      </c>
      <c r="D1038" s="876"/>
      <c r="E1038" s="875"/>
      <c r="F1038" s="808"/>
      <c r="G1038" s="807"/>
      <c r="H1038" s="807"/>
      <c r="I1038" s="807"/>
      <c r="J1038" s="881"/>
      <c r="K1038" s="807"/>
      <c r="L1038" s="818"/>
      <c r="M1038" s="819"/>
      <c r="N1038" s="819"/>
      <c r="O1038" s="819"/>
      <c r="P1038" s="820"/>
      <c r="Q1038" s="807"/>
      <c r="R1038" s="807"/>
      <c r="S1038" s="807"/>
      <c r="T1038" s="807"/>
      <c r="U1038" s="807"/>
      <c r="V1038" s="710"/>
      <c r="W1038" s="819"/>
      <c r="X1038" s="819"/>
      <c r="Y1038" s="819"/>
      <c r="Z1038" s="819"/>
      <c r="AA1038" s="710"/>
      <c r="AB1038" s="710"/>
      <c r="AC1038" s="710"/>
      <c r="AD1038" s="710"/>
      <c r="AE1038" s="710"/>
      <c r="AF1038" s="710"/>
      <c r="AG1038" s="710"/>
      <c r="AH1038" s="710"/>
      <c r="AI1038" s="710"/>
      <c r="AJ1038" s="710"/>
      <c r="AK1038" s="710"/>
      <c r="AL1038" s="710"/>
      <c r="AM1038" s="710"/>
    </row>
    <row r="1039" spans="1:39" ht="18" customHeight="1">
      <c r="B1039" s="867">
        <v>9</v>
      </c>
      <c r="C1039" s="868" t="s">
        <v>896</v>
      </c>
      <c r="D1039" s="493">
        <v>200099263</v>
      </c>
      <c r="E1039" s="11">
        <v>90332</v>
      </c>
      <c r="F1039" s="749">
        <v>1</v>
      </c>
      <c r="G1039" s="3" t="s">
        <v>60</v>
      </c>
      <c r="H1039" s="3" t="s">
        <v>128</v>
      </c>
      <c r="I1039" s="3">
        <v>147.5</v>
      </c>
      <c r="J1039" s="785">
        <v>259.10000000000002</v>
      </c>
      <c r="K1039" s="3" t="s">
        <v>2661</v>
      </c>
      <c r="L1039" s="761">
        <v>44806</v>
      </c>
      <c r="M1039" s="761"/>
      <c r="N1039" s="761">
        <v>44805</v>
      </c>
      <c r="O1039" s="761" t="s">
        <v>62</v>
      </c>
      <c r="P1039" s="762">
        <v>2.15</v>
      </c>
      <c r="Q1039" s="3" t="s">
        <v>3381</v>
      </c>
      <c r="R1039" s="3" t="s">
        <v>130</v>
      </c>
      <c r="S1039" s="3" t="s">
        <v>1547</v>
      </c>
      <c r="T1039" s="3">
        <v>316.39999999999998</v>
      </c>
      <c r="U1039" s="3">
        <v>272.39999999999998</v>
      </c>
      <c r="V1039" s="3"/>
      <c r="W1039" s="761">
        <v>44806</v>
      </c>
      <c r="X1039" s="761"/>
      <c r="Y1039" s="761">
        <v>44806</v>
      </c>
      <c r="Z1039" s="761" t="s">
        <v>62</v>
      </c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</row>
    <row r="1040" spans="1:39" ht="18" customHeight="1">
      <c r="B1040" s="867">
        <v>9</v>
      </c>
      <c r="C1040" s="868" t="s">
        <v>874</v>
      </c>
      <c r="D1040" s="493"/>
      <c r="E1040" s="11">
        <v>90332</v>
      </c>
      <c r="F1040" s="749">
        <v>2</v>
      </c>
      <c r="G1040" s="3" t="s">
        <v>128</v>
      </c>
      <c r="H1040" s="3"/>
      <c r="I1040" s="785">
        <v>152.32</v>
      </c>
      <c r="J1040" s="785"/>
      <c r="K1040" s="3" t="str">
        <f>TEXT(L1040,"mmmm")</f>
        <v>September</v>
      </c>
      <c r="L1040" s="761">
        <v>44805</v>
      </c>
      <c r="M1040" s="761"/>
      <c r="N1040" s="761"/>
      <c r="O1040" s="761"/>
      <c r="P1040" s="762">
        <v>2.52</v>
      </c>
      <c r="Q1040" s="3"/>
      <c r="R1040" s="3"/>
      <c r="S1040" s="3"/>
      <c r="T1040" s="3"/>
      <c r="U1040" s="3"/>
      <c r="V1040" s="3"/>
      <c r="W1040" s="761"/>
      <c r="X1040" s="761"/>
      <c r="Y1040" s="761"/>
      <c r="Z1040" s="761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</row>
    <row r="1041" spans="1:39" s="707" customFormat="1" ht="18" customHeight="1">
      <c r="A1041"/>
      <c r="B1041" s="805" t="s">
        <v>13</v>
      </c>
      <c r="C1041" s="9" t="s">
        <v>1899</v>
      </c>
      <c r="D1041" s="855"/>
      <c r="E1041" s="874"/>
      <c r="F1041" s="807"/>
      <c r="G1041" s="807"/>
      <c r="H1041" s="807"/>
      <c r="I1041" s="807"/>
      <c r="J1041" s="807"/>
      <c r="K1041" s="807"/>
      <c r="L1041" s="819"/>
      <c r="M1041" s="818"/>
      <c r="N1041" s="819"/>
      <c r="O1041" s="819"/>
      <c r="P1041" s="820"/>
      <c r="Q1041" s="807"/>
      <c r="R1041" s="807"/>
      <c r="S1041" s="807"/>
      <c r="T1041" s="807"/>
      <c r="U1041" s="807"/>
      <c r="V1041" s="807"/>
      <c r="W1041" s="819"/>
      <c r="X1041" s="819"/>
      <c r="Y1041" s="819"/>
      <c r="Z1041" s="819"/>
      <c r="AA1041" s="710"/>
      <c r="AB1041" s="710"/>
      <c r="AC1041" s="710"/>
      <c r="AD1041" s="710"/>
      <c r="AE1041" s="710"/>
      <c r="AF1041" s="710"/>
      <c r="AG1041" s="710"/>
      <c r="AH1041" s="710"/>
      <c r="AI1041" s="710"/>
      <c r="AJ1041" s="710"/>
      <c r="AK1041" s="710"/>
      <c r="AL1041" s="710"/>
      <c r="AM1041" s="710"/>
    </row>
    <row r="1042" spans="1:39" ht="18" customHeight="1">
      <c r="B1042" s="747">
        <v>10</v>
      </c>
      <c r="C1042" s="868" t="s">
        <v>896</v>
      </c>
      <c r="D1042" s="789">
        <v>200099565</v>
      </c>
      <c r="E1042" s="11">
        <v>100682</v>
      </c>
      <c r="F1042" s="749">
        <v>1</v>
      </c>
      <c r="G1042" s="3" t="s">
        <v>2236</v>
      </c>
      <c r="H1042" s="3" t="s">
        <v>60</v>
      </c>
      <c r="I1042" s="762">
        <v>149.09</v>
      </c>
      <c r="J1042" s="786">
        <v>259.89</v>
      </c>
      <c r="K1042" s="3" t="s">
        <v>2661</v>
      </c>
      <c r="L1042" s="761">
        <v>44830</v>
      </c>
      <c r="M1042" s="790" t="s">
        <v>2661</v>
      </c>
      <c r="N1042" s="761">
        <v>44830</v>
      </c>
      <c r="O1042" s="761" t="s">
        <v>62</v>
      </c>
      <c r="P1042" s="764">
        <v>3.39</v>
      </c>
      <c r="Q1042" s="3"/>
      <c r="R1042" s="3"/>
      <c r="S1042" s="3"/>
      <c r="T1042" s="3"/>
      <c r="U1042" s="3"/>
      <c r="V1042" s="3"/>
      <c r="W1042" s="761"/>
      <c r="X1042" s="761"/>
      <c r="Y1042" s="761"/>
      <c r="Z1042" s="761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</row>
    <row r="1043" spans="1:39" ht="18" customHeight="1">
      <c r="B1043" s="747">
        <v>10</v>
      </c>
      <c r="C1043" s="868" t="s">
        <v>896</v>
      </c>
      <c r="D1043" s="789">
        <v>200099566</v>
      </c>
      <c r="E1043" s="11">
        <v>100692</v>
      </c>
      <c r="F1043" s="749">
        <v>2</v>
      </c>
      <c r="G1043" s="3" t="s">
        <v>128</v>
      </c>
      <c r="H1043" s="3" t="s">
        <v>60</v>
      </c>
      <c r="I1043" s="762">
        <v>149.09</v>
      </c>
      <c r="J1043" s="786">
        <v>263.14</v>
      </c>
      <c r="K1043" s="3" t="s">
        <v>2661</v>
      </c>
      <c r="L1043" s="761">
        <v>44830</v>
      </c>
      <c r="M1043" s="790" t="s">
        <v>2661</v>
      </c>
      <c r="N1043" s="761">
        <v>44830</v>
      </c>
      <c r="O1043" s="761" t="s">
        <v>62</v>
      </c>
      <c r="P1043" s="882">
        <v>3.27</v>
      </c>
      <c r="Q1043" s="3"/>
      <c r="R1043" s="3"/>
      <c r="S1043" s="786" t="s">
        <v>1547</v>
      </c>
      <c r="T1043" s="3"/>
      <c r="U1043" s="786">
        <v>276.60000000000002</v>
      </c>
      <c r="V1043" s="3"/>
      <c r="W1043" s="761"/>
      <c r="X1043" s="761"/>
      <c r="Y1043" s="761">
        <v>44830</v>
      </c>
      <c r="Z1043" s="761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</row>
    <row r="1044" spans="1:39" ht="18" customHeight="1">
      <c r="B1044" s="747">
        <v>10</v>
      </c>
      <c r="C1044" s="879" t="s">
        <v>900</v>
      </c>
      <c r="D1044" s="789"/>
      <c r="E1044" s="1469" t="s">
        <v>3382</v>
      </c>
      <c r="F1044" s="749"/>
      <c r="G1044" s="3" t="s">
        <v>128</v>
      </c>
      <c r="H1044" s="3"/>
      <c r="I1044" s="762">
        <v>154.9</v>
      </c>
      <c r="J1044" s="785"/>
      <c r="K1044" s="3" t="s">
        <v>2661</v>
      </c>
      <c r="L1044" s="761">
        <v>44830</v>
      </c>
      <c r="M1044" s="790"/>
      <c r="N1044" s="761"/>
      <c r="O1044" s="761"/>
      <c r="P1044" s="762"/>
      <c r="Q1044" s="3"/>
      <c r="R1044" s="3"/>
      <c r="S1044" s="3"/>
      <c r="T1044" s="3"/>
      <c r="U1044" s="3"/>
      <c r="V1044" s="3"/>
      <c r="W1044" s="761"/>
      <c r="X1044" s="761"/>
      <c r="Y1044" s="761"/>
      <c r="Z1044" s="761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</row>
    <row r="1045" spans="1:39" ht="18" customHeight="1">
      <c r="B1045" s="747">
        <v>10</v>
      </c>
      <c r="C1045" s="879" t="s">
        <v>900</v>
      </c>
      <c r="D1045" s="789"/>
      <c r="E1045" s="1469" t="s">
        <v>3383</v>
      </c>
      <c r="F1045" s="749"/>
      <c r="G1045" s="3"/>
      <c r="H1045" s="3"/>
      <c r="I1045" s="762">
        <v>154.30000000000001</v>
      </c>
      <c r="J1045" s="785"/>
      <c r="K1045" s="3" t="s">
        <v>2661</v>
      </c>
      <c r="L1045" s="761">
        <v>44830</v>
      </c>
      <c r="M1045" s="790"/>
      <c r="N1045" s="761"/>
      <c r="O1045" s="761"/>
      <c r="P1045" s="762"/>
      <c r="Q1045" s="3"/>
      <c r="R1045" s="3"/>
      <c r="S1045" s="3"/>
      <c r="T1045" s="3"/>
      <c r="U1045" s="3"/>
      <c r="V1045" s="3"/>
      <c r="W1045" s="761"/>
      <c r="X1045" s="761"/>
      <c r="Y1045" s="761"/>
      <c r="Z1045" s="761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</row>
    <row r="1046" spans="1:39" s="707" customFormat="1" ht="18" customHeight="1">
      <c r="A1046"/>
      <c r="B1046" s="805" t="s">
        <v>13</v>
      </c>
      <c r="C1046" s="9" t="s">
        <v>1756</v>
      </c>
      <c r="D1046" s="855"/>
      <c r="E1046" s="807"/>
      <c r="F1046" s="807"/>
      <c r="G1046" s="807"/>
      <c r="H1046" s="807"/>
      <c r="I1046" s="820"/>
      <c r="J1046" s="807"/>
      <c r="K1046" s="807"/>
      <c r="L1046" s="819"/>
      <c r="M1046" s="818"/>
      <c r="N1046" s="819"/>
      <c r="O1046" s="819"/>
      <c r="P1046" s="820"/>
      <c r="Q1046" s="807"/>
      <c r="R1046" s="807"/>
      <c r="S1046" s="807"/>
      <c r="T1046" s="807"/>
      <c r="U1046" s="807"/>
      <c r="V1046" s="807"/>
      <c r="W1046" s="819"/>
      <c r="X1046" s="819"/>
      <c r="Y1046" s="819"/>
      <c r="Z1046" s="819"/>
      <c r="AA1046" s="710"/>
      <c r="AB1046" s="710"/>
      <c r="AC1046" s="710"/>
      <c r="AD1046" s="710"/>
      <c r="AE1046" s="710"/>
      <c r="AF1046" s="710"/>
      <c r="AG1046" s="710"/>
      <c r="AH1046" s="710"/>
      <c r="AI1046" s="710"/>
      <c r="AJ1046" s="710"/>
      <c r="AK1046" s="710"/>
      <c r="AL1046" s="710"/>
      <c r="AM1046" s="710"/>
    </row>
    <row r="1047" spans="1:39" ht="18" customHeight="1">
      <c r="B1047" s="747">
        <v>11</v>
      </c>
      <c r="C1047" s="868" t="s">
        <v>896</v>
      </c>
      <c r="D1047" s="789">
        <v>200099872</v>
      </c>
      <c r="E1047" s="3">
        <v>110552</v>
      </c>
      <c r="F1047" s="749">
        <v>1</v>
      </c>
      <c r="G1047" s="3" t="s">
        <v>60</v>
      </c>
      <c r="H1047" s="3" t="s">
        <v>60</v>
      </c>
      <c r="I1047" s="3">
        <v>148.11000000000001</v>
      </c>
      <c r="J1047" s="786">
        <f>128.96+130.24</f>
        <v>259.20000000000005</v>
      </c>
      <c r="K1047" s="3" t="s">
        <v>2747</v>
      </c>
      <c r="L1047" s="761">
        <v>44875</v>
      </c>
      <c r="M1047" s="790" t="s">
        <v>1756</v>
      </c>
      <c r="N1047" s="761">
        <v>44875</v>
      </c>
      <c r="O1047" s="761" t="s">
        <v>62</v>
      </c>
      <c r="P1047" s="762">
        <v>2.21</v>
      </c>
      <c r="Q1047" s="785" t="s">
        <v>3384</v>
      </c>
      <c r="R1047" s="3" t="s">
        <v>130</v>
      </c>
      <c r="S1047" s="3" t="s">
        <v>1547</v>
      </c>
      <c r="T1047" s="3">
        <v>318.10000000000002</v>
      </c>
      <c r="U1047" s="786">
        <v>272.39999999999998</v>
      </c>
      <c r="V1047" s="3" t="s">
        <v>1756</v>
      </c>
      <c r="W1047" s="761">
        <v>44876</v>
      </c>
      <c r="X1047" s="761" t="s">
        <v>1756</v>
      </c>
      <c r="Y1047" s="761">
        <v>44876</v>
      </c>
      <c r="Z1047" s="761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</row>
    <row r="1048" spans="1:39" ht="18" customHeight="1">
      <c r="B1048" s="747">
        <v>11</v>
      </c>
      <c r="C1048" s="868" t="s">
        <v>896</v>
      </c>
      <c r="D1048" s="789">
        <v>200100074</v>
      </c>
      <c r="E1048" s="3">
        <v>112072</v>
      </c>
      <c r="F1048" s="749">
        <v>2</v>
      </c>
      <c r="G1048" s="3" t="s">
        <v>60</v>
      </c>
      <c r="H1048" s="3" t="s">
        <v>60</v>
      </c>
      <c r="I1048" s="3">
        <v>150.93</v>
      </c>
      <c r="J1048" s="3">
        <f>129.96+132.84</f>
        <v>262.8</v>
      </c>
      <c r="K1048" s="3" t="s">
        <v>2747</v>
      </c>
      <c r="L1048" s="761">
        <v>44876</v>
      </c>
      <c r="M1048" s="790" t="s">
        <v>1756</v>
      </c>
      <c r="N1048" s="761">
        <v>44875</v>
      </c>
      <c r="O1048" s="761" t="s">
        <v>62</v>
      </c>
      <c r="P1048" s="3">
        <v>2.0699999999999998</v>
      </c>
      <c r="Q1048" s="3" t="s">
        <v>3385</v>
      </c>
      <c r="R1048" s="3" t="s">
        <v>130</v>
      </c>
      <c r="S1048" s="3" t="s">
        <v>1547</v>
      </c>
      <c r="T1048" s="887">
        <v>320.2</v>
      </c>
      <c r="U1048" s="760">
        <v>276</v>
      </c>
      <c r="V1048" s="3" t="s">
        <v>1756</v>
      </c>
      <c r="W1048" s="761">
        <v>44879</v>
      </c>
      <c r="X1048" s="761" t="s">
        <v>1756</v>
      </c>
      <c r="Y1048" s="761">
        <v>44879</v>
      </c>
      <c r="Z1048" s="761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</row>
    <row r="1049" spans="1:39" ht="18" customHeight="1">
      <c r="B1049" s="747">
        <v>11</v>
      </c>
      <c r="C1049" s="868" t="s">
        <v>896</v>
      </c>
      <c r="D1049" s="789">
        <v>200100075</v>
      </c>
      <c r="E1049" s="3">
        <v>112082</v>
      </c>
      <c r="F1049" s="749">
        <v>3</v>
      </c>
      <c r="G1049" s="3" t="s">
        <v>60</v>
      </c>
      <c r="H1049" s="3" t="s">
        <v>60</v>
      </c>
      <c r="I1049" s="3">
        <v>148.38999999999999</v>
      </c>
      <c r="J1049" s="786">
        <v>262.02</v>
      </c>
      <c r="K1049" s="3" t="s">
        <v>2747</v>
      </c>
      <c r="L1049" s="761">
        <v>44875</v>
      </c>
      <c r="M1049" s="790" t="s">
        <v>1756</v>
      </c>
      <c r="N1049" s="761">
        <v>44876</v>
      </c>
      <c r="O1049" s="761" t="s">
        <v>62</v>
      </c>
      <c r="P1049" s="762">
        <v>1.87</v>
      </c>
      <c r="Q1049" s="3" t="s">
        <v>3386</v>
      </c>
      <c r="R1049" s="3" t="s">
        <v>130</v>
      </c>
      <c r="S1049" s="3" t="s">
        <v>1547</v>
      </c>
      <c r="T1049" s="3">
        <v>319.8</v>
      </c>
      <c r="U1049" s="786">
        <v>276</v>
      </c>
      <c r="V1049" s="3" t="s">
        <v>1756</v>
      </c>
      <c r="W1049" s="761">
        <v>44876</v>
      </c>
      <c r="X1049" s="761" t="s">
        <v>1756</v>
      </c>
      <c r="Y1049" s="761">
        <v>44876</v>
      </c>
      <c r="Z1049" s="761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</row>
    <row r="1050" spans="1:39" ht="18" customHeight="1">
      <c r="B1050" s="747">
        <v>11</v>
      </c>
      <c r="C1050" s="879" t="s">
        <v>900</v>
      </c>
      <c r="D1050" s="789" t="s">
        <v>875</v>
      </c>
      <c r="E1050" s="3">
        <v>110552</v>
      </c>
      <c r="F1050" s="749"/>
      <c r="G1050" s="3" t="s">
        <v>128</v>
      </c>
      <c r="H1050" s="3"/>
      <c r="I1050" s="3">
        <v>152.80000000000001</v>
      </c>
      <c r="J1050" s="786"/>
      <c r="K1050" s="3" t="s">
        <v>2747</v>
      </c>
      <c r="L1050" s="761">
        <v>44875</v>
      </c>
      <c r="M1050" s="790"/>
      <c r="N1050" s="761"/>
      <c r="O1050" s="761"/>
      <c r="P1050" s="762">
        <v>2.82</v>
      </c>
      <c r="Q1050" s="3"/>
      <c r="R1050" s="3"/>
      <c r="S1050" s="3"/>
      <c r="T1050" s="3"/>
      <c r="U1050" s="3"/>
      <c r="V1050" s="3"/>
      <c r="W1050" s="761"/>
      <c r="X1050" s="761"/>
      <c r="Y1050" s="761"/>
      <c r="Z1050" s="761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</row>
    <row r="1051" spans="1:39" ht="18" customHeight="1">
      <c r="B1051" s="747">
        <v>11</v>
      </c>
      <c r="C1051" s="879" t="s">
        <v>900</v>
      </c>
      <c r="D1051" s="789" t="s">
        <v>875</v>
      </c>
      <c r="E1051" s="3">
        <v>112072</v>
      </c>
      <c r="F1051" s="749"/>
      <c r="G1051" s="3" t="s">
        <v>128</v>
      </c>
      <c r="H1051" s="3"/>
      <c r="I1051" s="786">
        <v>152.57</v>
      </c>
      <c r="J1051" s="786"/>
      <c r="K1051" s="3" t="s">
        <v>2747</v>
      </c>
      <c r="L1051" s="761">
        <v>44876</v>
      </c>
      <c r="M1051" s="790"/>
      <c r="N1051" s="761"/>
      <c r="O1051" s="761"/>
      <c r="P1051" s="786">
        <v>3.02</v>
      </c>
      <c r="Q1051" s="3"/>
      <c r="R1051" s="3"/>
      <c r="S1051" s="3"/>
      <c r="T1051" s="3"/>
      <c r="U1051" s="3"/>
      <c r="V1051" s="3"/>
      <c r="W1051" s="761"/>
      <c r="X1051" s="761"/>
      <c r="Y1051" s="761"/>
      <c r="Z1051" s="761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</row>
    <row r="1052" spans="1:39" ht="18" customHeight="1">
      <c r="B1052" s="747">
        <v>11</v>
      </c>
      <c r="C1052" s="879" t="s">
        <v>900</v>
      </c>
      <c r="D1052" s="789" t="s">
        <v>875</v>
      </c>
      <c r="E1052" s="3">
        <v>112082</v>
      </c>
      <c r="F1052" s="749"/>
      <c r="G1052" s="3" t="s">
        <v>128</v>
      </c>
      <c r="H1052" s="3"/>
      <c r="I1052" s="786">
        <v>155.46</v>
      </c>
      <c r="J1052" s="785"/>
      <c r="K1052" s="3" t="s">
        <v>2747</v>
      </c>
      <c r="L1052" s="761">
        <v>44876</v>
      </c>
      <c r="M1052" s="790"/>
      <c r="N1052" s="761"/>
      <c r="O1052" s="761"/>
      <c r="P1052" s="786">
        <v>2.97</v>
      </c>
      <c r="Q1052" s="3"/>
      <c r="R1052" s="3"/>
      <c r="S1052" s="3"/>
      <c r="T1052" s="3"/>
      <c r="U1052" s="3"/>
      <c r="V1052" s="3"/>
      <c r="W1052" s="761"/>
      <c r="X1052" s="761"/>
      <c r="Y1052" s="761"/>
      <c r="Z1052" s="761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</row>
    <row r="1053" spans="1:39" ht="18" customHeight="1">
      <c r="B1053" s="747">
        <v>12</v>
      </c>
      <c r="C1053" s="868" t="s">
        <v>896</v>
      </c>
      <c r="D1053" s="789">
        <v>200100286</v>
      </c>
      <c r="E1053" s="3">
        <v>121252</v>
      </c>
      <c r="F1053" s="749">
        <v>1</v>
      </c>
      <c r="G1053" s="3" t="s">
        <v>128</v>
      </c>
      <c r="H1053" s="3" t="s">
        <v>128</v>
      </c>
      <c r="I1053" s="786">
        <v>148.97999999999999</v>
      </c>
      <c r="J1053" s="786">
        <f>129.04+132.84</f>
        <v>261.88</v>
      </c>
      <c r="K1053" s="3" t="s">
        <v>2067</v>
      </c>
      <c r="L1053" s="761">
        <v>44902</v>
      </c>
      <c r="M1053" s="790" t="s">
        <v>2067</v>
      </c>
      <c r="N1053" s="761">
        <v>44901</v>
      </c>
      <c r="O1053" s="761" t="s">
        <v>62</v>
      </c>
      <c r="P1053" s="882">
        <v>2.2000000000000002</v>
      </c>
      <c r="Q1053" s="3" t="s">
        <v>3387</v>
      </c>
      <c r="R1053" s="3" t="s">
        <v>130</v>
      </c>
      <c r="S1053" s="3" t="s">
        <v>1547</v>
      </c>
      <c r="T1053" s="786">
        <v>319.60000000000002</v>
      </c>
      <c r="U1053" s="786">
        <v>275.3</v>
      </c>
      <c r="V1053" s="3" t="s">
        <v>2067</v>
      </c>
      <c r="W1053" s="761">
        <v>44902</v>
      </c>
      <c r="X1053" s="761" t="s">
        <v>1710</v>
      </c>
      <c r="Y1053" s="761">
        <v>44902</v>
      </c>
      <c r="Z1053" s="761" t="s">
        <v>62</v>
      </c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</row>
    <row r="1054" spans="1:39" ht="18" customHeight="1">
      <c r="B1054" s="747">
        <v>12</v>
      </c>
      <c r="C1054" s="868" t="s">
        <v>896</v>
      </c>
      <c r="D1054" s="789">
        <v>200100287</v>
      </c>
      <c r="E1054" s="3">
        <v>121262</v>
      </c>
      <c r="F1054" s="749">
        <v>2</v>
      </c>
      <c r="G1054" s="3" t="s">
        <v>60</v>
      </c>
      <c r="H1054" s="3" t="s">
        <v>128</v>
      </c>
      <c r="I1054" s="786">
        <v>148.51</v>
      </c>
      <c r="J1054" s="786">
        <v>254.36</v>
      </c>
      <c r="K1054" s="3" t="s">
        <v>2067</v>
      </c>
      <c r="L1054" s="761">
        <v>44903</v>
      </c>
      <c r="M1054" s="790" t="s">
        <v>2067</v>
      </c>
      <c r="N1054" s="761">
        <v>44902</v>
      </c>
      <c r="O1054" s="761" t="s">
        <v>62</v>
      </c>
      <c r="P1054" s="882">
        <v>2.2200000000000002</v>
      </c>
      <c r="Q1054" s="3" t="s">
        <v>3388</v>
      </c>
      <c r="R1054" s="3" t="s">
        <v>130</v>
      </c>
      <c r="S1054" s="3" t="s">
        <v>1547</v>
      </c>
      <c r="T1054" s="786">
        <v>319.5</v>
      </c>
      <c r="U1054" s="786">
        <v>267.8</v>
      </c>
      <c r="V1054" s="3" t="s">
        <v>2067</v>
      </c>
      <c r="W1054" s="761">
        <v>44903</v>
      </c>
      <c r="X1054" s="761" t="s">
        <v>1710</v>
      </c>
      <c r="Y1054" s="761">
        <v>44902</v>
      </c>
      <c r="Z1054" s="761" t="s">
        <v>62</v>
      </c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</row>
    <row r="1055" spans="1:39" ht="18" customHeight="1">
      <c r="B1055" s="747">
        <v>12</v>
      </c>
      <c r="C1055" s="868" t="s">
        <v>896</v>
      </c>
      <c r="D1055" s="789">
        <v>200100319</v>
      </c>
      <c r="E1055" s="3">
        <v>121582</v>
      </c>
      <c r="F1055" s="749">
        <v>3</v>
      </c>
      <c r="G1055" s="3" t="s">
        <v>60</v>
      </c>
      <c r="H1055" s="3" t="s">
        <v>128</v>
      </c>
      <c r="I1055" s="786">
        <v>150.69999999999999</v>
      </c>
      <c r="J1055" s="786">
        <v>263.58999999999997</v>
      </c>
      <c r="K1055" s="3" t="s">
        <v>2067</v>
      </c>
      <c r="L1055" s="761">
        <v>44903</v>
      </c>
      <c r="M1055" s="790" t="s">
        <v>2067</v>
      </c>
      <c r="N1055" s="761">
        <v>44902</v>
      </c>
      <c r="O1055" s="761" t="s">
        <v>62</v>
      </c>
      <c r="P1055" s="764">
        <v>2.19</v>
      </c>
      <c r="Q1055" s="3" t="s">
        <v>3389</v>
      </c>
      <c r="R1055" s="3" t="s">
        <v>130</v>
      </c>
      <c r="S1055" s="3" t="s">
        <v>1547</v>
      </c>
      <c r="T1055" s="786">
        <v>321.89999999999998</v>
      </c>
      <c r="U1055" s="786">
        <v>276.60000000000002</v>
      </c>
      <c r="V1055" s="3" t="s">
        <v>2067</v>
      </c>
      <c r="W1055" s="761">
        <v>44903</v>
      </c>
      <c r="X1055" s="761" t="s">
        <v>1710</v>
      </c>
      <c r="Y1055" s="761">
        <v>44902</v>
      </c>
      <c r="Z1055" s="761" t="s">
        <v>62</v>
      </c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</row>
    <row r="1056" spans="1:39" ht="18" customHeight="1">
      <c r="B1056" s="747">
        <v>12</v>
      </c>
      <c r="C1056" s="879" t="s">
        <v>900</v>
      </c>
      <c r="D1056" s="789" t="s">
        <v>875</v>
      </c>
      <c r="E1056" s="3">
        <v>121252</v>
      </c>
      <c r="F1056" s="749"/>
      <c r="G1056" s="3" t="s">
        <v>128</v>
      </c>
      <c r="H1056" s="3"/>
      <c r="I1056" s="786">
        <v>153.81</v>
      </c>
      <c r="J1056" s="883"/>
      <c r="K1056" s="3" t="s">
        <v>2067</v>
      </c>
      <c r="L1056" s="761">
        <v>44902</v>
      </c>
      <c r="M1056" s="790"/>
      <c r="N1056" s="761"/>
      <c r="O1056" s="761" t="s">
        <v>62</v>
      </c>
      <c r="P1056" s="882">
        <v>2.77</v>
      </c>
      <c r="Q1056" s="3"/>
      <c r="R1056" s="3"/>
      <c r="S1056" s="3"/>
      <c r="T1056" s="3"/>
      <c r="U1056" s="3"/>
      <c r="V1056" s="3"/>
      <c r="W1056" s="761"/>
      <c r="X1056" s="761"/>
      <c r="Y1056" s="761"/>
      <c r="Z1056" s="761" t="s">
        <v>62</v>
      </c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</row>
    <row r="1057" spans="1:39" ht="18" customHeight="1">
      <c r="B1057" s="747">
        <v>12</v>
      </c>
      <c r="C1057" s="879" t="s">
        <v>900</v>
      </c>
      <c r="D1057" s="789" t="s">
        <v>875</v>
      </c>
      <c r="E1057" s="3">
        <v>121262</v>
      </c>
      <c r="F1057" s="749"/>
      <c r="G1057" s="3" t="s">
        <v>128</v>
      </c>
      <c r="H1057" s="3"/>
      <c r="I1057" s="786">
        <v>154.38</v>
      </c>
      <c r="J1057" s="883"/>
      <c r="K1057" s="3" t="s">
        <v>2067</v>
      </c>
      <c r="L1057" s="761">
        <v>44902</v>
      </c>
      <c r="M1057" s="790"/>
      <c r="N1057" s="761"/>
      <c r="O1057" s="761" t="s">
        <v>62</v>
      </c>
      <c r="P1057" s="882">
        <v>2.83</v>
      </c>
      <c r="Q1057" s="3"/>
      <c r="R1057" s="3"/>
      <c r="S1057" s="3"/>
      <c r="T1057" s="3"/>
      <c r="U1057" s="3"/>
      <c r="V1057" s="3"/>
      <c r="W1057" s="761"/>
      <c r="X1057" s="761"/>
      <c r="Y1057" s="761"/>
      <c r="Z1057" s="761" t="s">
        <v>62</v>
      </c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</row>
    <row r="1058" spans="1:39" ht="18" customHeight="1">
      <c r="B1058" s="747">
        <v>12</v>
      </c>
      <c r="C1058" s="879" t="s">
        <v>900</v>
      </c>
      <c r="D1058" s="789" t="s">
        <v>875</v>
      </c>
      <c r="E1058" s="3">
        <v>121582</v>
      </c>
      <c r="F1058" s="749"/>
      <c r="G1058" s="3" t="s">
        <v>128</v>
      </c>
      <c r="H1058" s="3"/>
      <c r="I1058" s="786">
        <v>154.38</v>
      </c>
      <c r="J1058" s="883"/>
      <c r="K1058" s="3" t="s">
        <v>2067</v>
      </c>
      <c r="L1058" s="761">
        <v>44902</v>
      </c>
      <c r="M1058" s="790"/>
      <c r="N1058" s="761"/>
      <c r="O1058" s="761" t="s">
        <v>62</v>
      </c>
      <c r="P1058" s="882">
        <v>2.65</v>
      </c>
      <c r="Q1058" s="3"/>
      <c r="R1058" s="3"/>
      <c r="S1058" s="3"/>
      <c r="T1058" s="3"/>
      <c r="U1058" s="3"/>
      <c r="V1058" s="3"/>
      <c r="W1058" s="761"/>
      <c r="X1058" s="761"/>
      <c r="Y1058" s="761"/>
      <c r="Z1058" s="761" t="s">
        <v>62</v>
      </c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</row>
    <row r="1059" spans="1:39" ht="18" customHeight="1">
      <c r="B1059" s="747">
        <v>12</v>
      </c>
      <c r="C1059" s="868" t="s">
        <v>896</v>
      </c>
      <c r="D1059" s="789">
        <v>200100640</v>
      </c>
      <c r="E1059" s="3">
        <v>122792</v>
      </c>
      <c r="F1059" s="749">
        <v>4</v>
      </c>
      <c r="G1059" s="3" t="s">
        <v>128</v>
      </c>
      <c r="H1059" s="3" t="s">
        <v>60</v>
      </c>
      <c r="I1059" s="786">
        <v>147.72999999999999</v>
      </c>
      <c r="J1059" s="786">
        <v>259.57</v>
      </c>
      <c r="K1059" s="3" t="s">
        <v>2067</v>
      </c>
      <c r="L1059" s="761">
        <v>44916</v>
      </c>
      <c r="M1059" s="790" t="s">
        <v>2067</v>
      </c>
      <c r="N1059" s="761">
        <v>44916</v>
      </c>
      <c r="O1059" s="761" t="s">
        <v>62</v>
      </c>
      <c r="P1059" s="762">
        <v>2.13</v>
      </c>
      <c r="Q1059" s="3" t="s">
        <v>3390</v>
      </c>
      <c r="R1059" s="3" t="s">
        <v>130</v>
      </c>
      <c r="S1059" s="3" t="s">
        <v>130</v>
      </c>
      <c r="T1059" s="786">
        <v>318.5</v>
      </c>
      <c r="U1059" s="786">
        <v>272.60000000000002</v>
      </c>
      <c r="V1059" s="3" t="s">
        <v>2067</v>
      </c>
      <c r="W1059" s="761">
        <v>44916</v>
      </c>
      <c r="X1059" s="761" t="s">
        <v>1710</v>
      </c>
      <c r="Y1059" s="761">
        <v>44916</v>
      </c>
      <c r="Z1059" s="761" t="s">
        <v>62</v>
      </c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</row>
    <row r="1060" spans="1:39" ht="18" customHeight="1">
      <c r="B1060" s="747">
        <v>12</v>
      </c>
      <c r="C1060" s="879" t="s">
        <v>900</v>
      </c>
      <c r="D1060" s="789" t="s">
        <v>875</v>
      </c>
      <c r="E1060" s="3">
        <v>122792</v>
      </c>
      <c r="F1060" s="749"/>
      <c r="G1060" s="3" t="s">
        <v>128</v>
      </c>
      <c r="H1060" s="3"/>
      <c r="I1060" s="786">
        <v>154.28</v>
      </c>
      <c r="J1060" s="883"/>
      <c r="K1060" s="3" t="s">
        <v>2067</v>
      </c>
      <c r="L1060" s="761">
        <v>44916</v>
      </c>
      <c r="M1060" s="790"/>
      <c r="N1060" s="761"/>
      <c r="O1060" s="761" t="s">
        <v>62</v>
      </c>
      <c r="P1060" s="882">
        <v>3.02</v>
      </c>
      <c r="Q1060" s="3"/>
      <c r="R1060" s="3"/>
      <c r="S1060" s="3"/>
      <c r="T1060" s="3"/>
      <c r="U1060" s="3"/>
      <c r="V1060" s="3"/>
      <c r="W1060" s="761"/>
      <c r="X1060" s="761"/>
      <c r="Y1060" s="761"/>
      <c r="Z1060" s="761" t="s">
        <v>62</v>
      </c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</row>
    <row r="1061" spans="1:39" s="707" customFormat="1" ht="25.95" customHeight="1">
      <c r="A1061"/>
      <c r="B1061" s="805" t="s">
        <v>13</v>
      </c>
      <c r="C1061" s="9">
        <v>2023</v>
      </c>
      <c r="D1061" s="855"/>
      <c r="E1061" s="807"/>
      <c r="F1061" s="808"/>
      <c r="G1061" s="880" t="s">
        <v>3391</v>
      </c>
      <c r="H1061" s="880" t="s">
        <v>3392</v>
      </c>
      <c r="I1061" s="880" t="s">
        <v>3391</v>
      </c>
      <c r="J1061" s="880" t="s">
        <v>3392</v>
      </c>
      <c r="K1061" s="807"/>
      <c r="L1061" s="819"/>
      <c r="M1061" s="818"/>
      <c r="N1061" s="819"/>
      <c r="O1061" s="819"/>
      <c r="P1061" s="884"/>
      <c r="Q1061" s="807"/>
      <c r="R1061" s="807"/>
      <c r="S1061" s="807"/>
      <c r="T1061" s="807"/>
      <c r="U1061" s="807"/>
      <c r="V1061" s="807"/>
      <c r="W1061" s="819"/>
      <c r="X1061" s="819"/>
      <c r="Y1061" s="819"/>
      <c r="Z1061" s="819"/>
      <c r="AA1061" s="710"/>
      <c r="AB1061" s="710"/>
      <c r="AC1061" s="710"/>
      <c r="AD1061" s="710"/>
      <c r="AE1061" s="710"/>
      <c r="AF1061" s="710"/>
      <c r="AG1061" s="710"/>
      <c r="AH1061" s="710"/>
      <c r="AI1061" s="710"/>
      <c r="AJ1061" s="710"/>
      <c r="AK1061" s="710"/>
      <c r="AL1061" s="710"/>
      <c r="AM1061" s="710"/>
    </row>
    <row r="1062" spans="1:39">
      <c r="B1062" s="747">
        <v>1</v>
      </c>
      <c r="C1062" s="868" t="s">
        <v>896</v>
      </c>
      <c r="D1062" s="789">
        <v>200100641</v>
      </c>
      <c r="E1062" s="1469" t="s">
        <v>3393</v>
      </c>
      <c r="F1062" s="749">
        <v>1</v>
      </c>
      <c r="G1062" s="3" t="s">
        <v>128</v>
      </c>
      <c r="H1062" s="3" t="s">
        <v>60</v>
      </c>
      <c r="I1062" s="786">
        <v>147.69999999999999</v>
      </c>
      <c r="J1062" s="786">
        <v>259.66000000000003</v>
      </c>
      <c r="K1062" s="3" t="s">
        <v>2067</v>
      </c>
      <c r="L1062" s="761">
        <v>44916</v>
      </c>
      <c r="M1062" s="790" t="s">
        <v>2067</v>
      </c>
      <c r="N1062" s="761">
        <v>44917</v>
      </c>
      <c r="O1062" s="761" t="s">
        <v>62</v>
      </c>
      <c r="P1062" s="762">
        <v>2.1800000000000002</v>
      </c>
      <c r="Q1062" s="762" t="s">
        <v>3394</v>
      </c>
      <c r="R1062" s="3" t="s">
        <v>130</v>
      </c>
      <c r="S1062" s="3" t="s">
        <v>130</v>
      </c>
      <c r="T1062" s="786">
        <v>318.2</v>
      </c>
      <c r="U1062" s="786">
        <v>273.3</v>
      </c>
      <c r="V1062" s="3" t="s">
        <v>2067</v>
      </c>
      <c r="W1062" s="761">
        <v>44916</v>
      </c>
      <c r="X1062" s="761" t="s">
        <v>1710</v>
      </c>
      <c r="Y1062" s="761">
        <v>44917</v>
      </c>
      <c r="Z1062" s="761" t="s">
        <v>62</v>
      </c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</row>
    <row r="1063" spans="1:39">
      <c r="B1063" s="747">
        <v>1</v>
      </c>
      <c r="C1063" s="868" t="s">
        <v>896</v>
      </c>
      <c r="D1063" s="789">
        <v>200100642</v>
      </c>
      <c r="E1063" s="1469" t="s">
        <v>3395</v>
      </c>
      <c r="F1063" s="749">
        <v>2</v>
      </c>
      <c r="G1063" s="3" t="s">
        <v>128</v>
      </c>
      <c r="H1063" s="3" t="s">
        <v>60</v>
      </c>
      <c r="I1063" s="786">
        <v>148.55000000000001</v>
      </c>
      <c r="J1063" s="786">
        <v>262.45999999999998</v>
      </c>
      <c r="K1063" s="3" t="s">
        <v>2067</v>
      </c>
      <c r="L1063" s="761">
        <v>44917</v>
      </c>
      <c r="M1063" s="790" t="s">
        <v>2067</v>
      </c>
      <c r="N1063" s="761">
        <v>44917</v>
      </c>
      <c r="O1063" s="761" t="s">
        <v>62</v>
      </c>
      <c r="P1063" s="762">
        <v>2.04</v>
      </c>
      <c r="Q1063" s="762" t="s">
        <v>3396</v>
      </c>
      <c r="R1063" s="3" t="s">
        <v>130</v>
      </c>
      <c r="S1063" s="3" t="s">
        <v>130</v>
      </c>
      <c r="T1063" s="785">
        <v>318.7</v>
      </c>
      <c r="U1063" s="786">
        <v>276</v>
      </c>
      <c r="V1063" s="3" t="s">
        <v>2067</v>
      </c>
      <c r="W1063" s="761">
        <v>44917</v>
      </c>
      <c r="X1063" s="761" t="s">
        <v>1710</v>
      </c>
      <c r="Y1063" s="761">
        <v>44917</v>
      </c>
      <c r="Z1063" s="761" t="s">
        <v>62</v>
      </c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</row>
    <row r="1064" spans="1:39">
      <c r="B1064" s="747">
        <v>1</v>
      </c>
      <c r="C1064" s="868" t="s">
        <v>896</v>
      </c>
      <c r="D1064" s="789">
        <v>200100643</v>
      </c>
      <c r="E1064" s="1469" t="s">
        <v>3397</v>
      </c>
      <c r="F1064" s="749">
        <v>3</v>
      </c>
      <c r="G1064" s="3" t="s">
        <v>128</v>
      </c>
      <c r="H1064" s="3" t="s">
        <v>128</v>
      </c>
      <c r="I1064" s="786">
        <v>148.28</v>
      </c>
      <c r="J1064" s="786">
        <v>258.83</v>
      </c>
      <c r="K1064" s="3" t="s">
        <v>2067</v>
      </c>
      <c r="L1064" s="761">
        <v>44917</v>
      </c>
      <c r="M1064" s="790" t="s">
        <v>2067</v>
      </c>
      <c r="N1064" s="761">
        <v>44918</v>
      </c>
      <c r="O1064" s="761"/>
      <c r="P1064" s="762">
        <v>2.12</v>
      </c>
      <c r="Q1064" s="3" t="s">
        <v>3398</v>
      </c>
      <c r="R1064" s="3" t="s">
        <v>130</v>
      </c>
      <c r="S1064" s="3" t="s">
        <v>130</v>
      </c>
      <c r="T1064" s="3">
        <v>319.60000000000002</v>
      </c>
      <c r="U1064" s="786">
        <v>272.39999999999998</v>
      </c>
      <c r="V1064" s="3" t="s">
        <v>2067</v>
      </c>
      <c r="W1064" s="761">
        <v>44917</v>
      </c>
      <c r="X1064" s="761" t="s">
        <v>1710</v>
      </c>
      <c r="Y1064" s="761">
        <v>44918</v>
      </c>
      <c r="Z1064" s="761" t="s">
        <v>62</v>
      </c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</row>
    <row r="1065" spans="1:39">
      <c r="B1065" s="747">
        <v>1</v>
      </c>
      <c r="C1065" s="879" t="s">
        <v>900</v>
      </c>
      <c r="D1065" s="789"/>
      <c r="E1065" s="1469" t="s">
        <v>3393</v>
      </c>
      <c r="F1065" s="749">
        <v>1</v>
      </c>
      <c r="G1065" s="3" t="s">
        <v>128</v>
      </c>
      <c r="H1065" s="3"/>
      <c r="I1065" s="786">
        <v>154.09</v>
      </c>
      <c r="J1065" s="883"/>
      <c r="K1065" s="3" t="s">
        <v>2067</v>
      </c>
      <c r="L1065" s="761">
        <v>44916</v>
      </c>
      <c r="M1065" s="790"/>
      <c r="N1065" s="761"/>
      <c r="O1065" s="761" t="s">
        <v>62</v>
      </c>
      <c r="P1065" s="882">
        <v>2.94</v>
      </c>
      <c r="Q1065" s="3"/>
      <c r="R1065" s="3"/>
      <c r="S1065" s="3"/>
      <c r="T1065" s="3"/>
      <c r="U1065" s="3"/>
      <c r="V1065" s="3"/>
      <c r="W1065" s="761"/>
      <c r="X1065" s="761"/>
      <c r="Y1065" s="761"/>
      <c r="Z1065" s="761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</row>
    <row r="1066" spans="1:39">
      <c r="B1066" s="747">
        <v>1</v>
      </c>
      <c r="C1066" s="879" t="s">
        <v>900</v>
      </c>
      <c r="D1066" s="789"/>
      <c r="E1066" s="1469" t="s">
        <v>3395</v>
      </c>
      <c r="F1066" s="749">
        <v>2</v>
      </c>
      <c r="G1066" s="3" t="s">
        <v>128</v>
      </c>
      <c r="H1066" s="3"/>
      <c r="I1066" s="786">
        <v>153.62</v>
      </c>
      <c r="J1066" s="883"/>
      <c r="K1066" s="3" t="s">
        <v>2067</v>
      </c>
      <c r="L1066" s="761">
        <v>44916</v>
      </c>
      <c r="M1066" s="790"/>
      <c r="N1066" s="761"/>
      <c r="O1066" s="761" t="s">
        <v>62</v>
      </c>
      <c r="P1066" s="882">
        <v>2.89</v>
      </c>
      <c r="Q1066" s="3"/>
      <c r="R1066" s="3"/>
      <c r="S1066" s="3"/>
      <c r="T1066" s="3"/>
      <c r="U1066" s="3"/>
      <c r="V1066" s="3"/>
      <c r="W1066" s="761"/>
      <c r="X1066" s="761"/>
      <c r="Y1066" s="761"/>
      <c r="Z1066" s="761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</row>
    <row r="1067" spans="1:39">
      <c r="B1067" s="747">
        <v>1</v>
      </c>
      <c r="C1067" s="879" t="s">
        <v>900</v>
      </c>
      <c r="D1067" s="789"/>
      <c r="E1067" s="1469" t="s">
        <v>3397</v>
      </c>
      <c r="F1067" s="749">
        <v>3</v>
      </c>
      <c r="G1067" s="3" t="s">
        <v>2236</v>
      </c>
      <c r="H1067" s="3"/>
      <c r="I1067" s="786">
        <v>154.56</v>
      </c>
      <c r="J1067" s="883"/>
      <c r="K1067" s="3" t="s">
        <v>2067</v>
      </c>
      <c r="L1067" s="761">
        <v>44917</v>
      </c>
      <c r="M1067" s="790"/>
      <c r="N1067" s="761"/>
      <c r="O1067" s="761" t="s">
        <v>62</v>
      </c>
      <c r="P1067" s="882">
        <v>2.77</v>
      </c>
      <c r="Q1067" s="3"/>
      <c r="R1067" s="3"/>
      <c r="S1067" s="3"/>
      <c r="T1067" s="3"/>
      <c r="U1067" s="3"/>
      <c r="V1067" s="3"/>
      <c r="W1067" s="761"/>
      <c r="X1067" s="761"/>
      <c r="Y1067" s="761"/>
      <c r="Z1067" s="761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</row>
    <row r="1068" spans="1:39" s="707" customFormat="1">
      <c r="A1068"/>
      <c r="B1068" s="805" t="s">
        <v>13</v>
      </c>
      <c r="C1068" s="9" t="s">
        <v>1723</v>
      </c>
      <c r="D1068" s="855"/>
      <c r="E1068" s="807"/>
      <c r="F1068" s="808"/>
      <c r="G1068" s="807"/>
      <c r="H1068" s="807"/>
      <c r="I1068" s="820"/>
      <c r="J1068" s="809"/>
      <c r="K1068" s="807"/>
      <c r="L1068" s="819"/>
      <c r="M1068" s="818"/>
      <c r="N1068" s="819"/>
      <c r="O1068" s="819"/>
      <c r="P1068" s="884"/>
      <c r="Q1068" s="807"/>
      <c r="R1068" s="807"/>
      <c r="S1068" s="807"/>
      <c r="T1068" s="807"/>
      <c r="U1068" s="807"/>
      <c r="V1068" s="807"/>
      <c r="W1068" s="819"/>
      <c r="X1068" s="819"/>
      <c r="Y1068" s="819"/>
      <c r="Z1068" s="819"/>
      <c r="AA1068" s="710"/>
      <c r="AB1068" s="710"/>
      <c r="AC1068" s="710"/>
      <c r="AD1068" s="710"/>
      <c r="AE1068" s="710"/>
      <c r="AF1068" s="710"/>
      <c r="AG1068" s="710"/>
      <c r="AH1068" s="710"/>
      <c r="AI1068" s="710"/>
      <c r="AJ1068" s="710"/>
      <c r="AK1068" s="710"/>
      <c r="AL1068" s="710"/>
      <c r="AM1068" s="710"/>
    </row>
    <row r="1069" spans="1:39">
      <c r="B1069" s="747" t="s">
        <v>163</v>
      </c>
      <c r="C1069" s="868" t="s">
        <v>896</v>
      </c>
      <c r="D1069" s="789">
        <v>200100841</v>
      </c>
      <c r="E1069" s="1469" t="s">
        <v>3399</v>
      </c>
      <c r="F1069" s="749">
        <v>1</v>
      </c>
      <c r="G1069" s="3" t="s">
        <v>1726</v>
      </c>
      <c r="H1069" s="3" t="s">
        <v>1726</v>
      </c>
      <c r="I1069" s="863">
        <v>148.38</v>
      </c>
      <c r="J1069" s="762">
        <v>255.63</v>
      </c>
      <c r="K1069" s="3" t="s">
        <v>2094</v>
      </c>
      <c r="L1069" s="761">
        <v>44945</v>
      </c>
      <c r="M1069" s="3" t="s">
        <v>2094</v>
      </c>
      <c r="N1069" s="761">
        <v>44945</v>
      </c>
      <c r="O1069" s="761" t="s">
        <v>62</v>
      </c>
      <c r="P1069" s="882">
        <v>1.85</v>
      </c>
      <c r="Q1069" s="3" t="s">
        <v>3400</v>
      </c>
      <c r="R1069" s="3" t="s">
        <v>130</v>
      </c>
      <c r="S1069" s="3" t="s">
        <v>130</v>
      </c>
      <c r="T1069" s="786">
        <v>317.60000000000002</v>
      </c>
      <c r="U1069" s="762">
        <v>269.10000000000002</v>
      </c>
      <c r="V1069" s="3" t="s">
        <v>2094</v>
      </c>
      <c r="W1069" s="761">
        <v>44945</v>
      </c>
      <c r="X1069" s="3" t="s">
        <v>2094</v>
      </c>
      <c r="Y1069" s="761">
        <v>44945</v>
      </c>
      <c r="Z1069" s="761" t="s">
        <v>62</v>
      </c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</row>
    <row r="1070" spans="1:39">
      <c r="B1070" s="747" t="s">
        <v>163</v>
      </c>
      <c r="C1070" s="868" t="s">
        <v>896</v>
      </c>
      <c r="D1070" s="789">
        <v>200100842</v>
      </c>
      <c r="E1070" s="1469" t="s">
        <v>3401</v>
      </c>
      <c r="F1070" s="749">
        <v>2</v>
      </c>
      <c r="G1070" s="3" t="s">
        <v>1726</v>
      </c>
      <c r="H1070" s="3" t="s">
        <v>1726</v>
      </c>
      <c r="I1070" s="863">
        <v>148.19</v>
      </c>
      <c r="J1070" s="762">
        <v>261.22000000000003</v>
      </c>
      <c r="K1070" s="3" t="s">
        <v>2094</v>
      </c>
      <c r="L1070" s="761">
        <v>44945</v>
      </c>
      <c r="M1070" s="3" t="s">
        <v>2094</v>
      </c>
      <c r="N1070" s="761">
        <v>44945</v>
      </c>
      <c r="O1070" s="761" t="s">
        <v>62</v>
      </c>
      <c r="P1070" s="882">
        <v>2.1</v>
      </c>
      <c r="Q1070" s="3" t="s">
        <v>3402</v>
      </c>
      <c r="R1070" s="3" t="s">
        <v>130</v>
      </c>
      <c r="S1070" s="3" t="s">
        <v>130</v>
      </c>
      <c r="T1070" s="762">
        <v>317.5</v>
      </c>
      <c r="U1070" s="762">
        <v>274</v>
      </c>
      <c r="V1070" s="3" t="s">
        <v>2094</v>
      </c>
      <c r="W1070" s="761">
        <v>44945</v>
      </c>
      <c r="X1070" s="3" t="s">
        <v>2094</v>
      </c>
      <c r="Y1070" s="761">
        <v>44945</v>
      </c>
      <c r="Z1070" s="761" t="s">
        <v>62</v>
      </c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</row>
    <row r="1071" spans="1:39">
      <c r="B1071" s="747" t="s">
        <v>163</v>
      </c>
      <c r="C1071" s="868" t="s">
        <v>896</v>
      </c>
      <c r="D1071" s="789">
        <v>200100843</v>
      </c>
      <c r="E1071" s="1469" t="s">
        <v>3403</v>
      </c>
      <c r="F1071" s="749">
        <v>3</v>
      </c>
      <c r="G1071" s="3" t="s">
        <v>1726</v>
      </c>
      <c r="H1071" s="3" t="s">
        <v>1726</v>
      </c>
      <c r="I1071" s="786">
        <v>148.63999999999999</v>
      </c>
      <c r="J1071" s="762">
        <v>259.33999999999997</v>
      </c>
      <c r="K1071" s="3" t="s">
        <v>2094</v>
      </c>
      <c r="L1071" s="761">
        <v>44945</v>
      </c>
      <c r="M1071" s="3" t="s">
        <v>2094</v>
      </c>
      <c r="N1071" s="761">
        <v>44945</v>
      </c>
      <c r="O1071" s="761" t="s">
        <v>62</v>
      </c>
      <c r="P1071" s="882">
        <v>2.0499999999999998</v>
      </c>
      <c r="Q1071" s="3" t="s">
        <v>3404</v>
      </c>
      <c r="R1071" s="3" t="s">
        <v>130</v>
      </c>
      <c r="S1071" s="3" t="s">
        <v>130</v>
      </c>
      <c r="T1071" s="762">
        <v>318.39999999999998</v>
      </c>
      <c r="U1071" s="762">
        <v>272.3</v>
      </c>
      <c r="V1071" s="3" t="s">
        <v>2094</v>
      </c>
      <c r="W1071" s="761">
        <v>44949</v>
      </c>
      <c r="X1071" s="3" t="s">
        <v>2094</v>
      </c>
      <c r="Y1071" s="761">
        <v>44945</v>
      </c>
      <c r="Z1071" s="761" t="s">
        <v>62</v>
      </c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</row>
    <row r="1072" spans="1:39">
      <c r="B1072" s="747" t="s">
        <v>163</v>
      </c>
      <c r="C1072" s="879" t="s">
        <v>900</v>
      </c>
      <c r="D1072" s="789"/>
      <c r="E1072" s="1469" t="s">
        <v>3399</v>
      </c>
      <c r="F1072" s="749">
        <v>1</v>
      </c>
      <c r="G1072" s="3" t="s">
        <v>1726</v>
      </c>
      <c r="H1072" s="3"/>
      <c r="I1072" s="859">
        <v>152.46</v>
      </c>
      <c r="J1072" s="883"/>
      <c r="K1072" s="3" t="s">
        <v>2094</v>
      </c>
      <c r="L1072" s="761">
        <v>44945</v>
      </c>
      <c r="M1072" s="790"/>
      <c r="N1072" s="761"/>
      <c r="O1072" s="761" t="s">
        <v>62</v>
      </c>
      <c r="P1072" s="786">
        <v>2.75</v>
      </c>
      <c r="Q1072" s="3"/>
      <c r="R1072" s="3"/>
      <c r="S1072" s="3"/>
      <c r="T1072" s="3"/>
      <c r="U1072" s="3"/>
      <c r="V1072" s="3"/>
      <c r="W1072" s="761"/>
      <c r="X1072" s="761"/>
      <c r="Y1072" s="761"/>
      <c r="Z1072" s="761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</row>
    <row r="1073" spans="1:39">
      <c r="B1073" s="747" t="s">
        <v>163</v>
      </c>
      <c r="C1073" s="879" t="s">
        <v>900</v>
      </c>
      <c r="D1073" s="789"/>
      <c r="E1073" s="1469" t="s">
        <v>3401</v>
      </c>
      <c r="F1073" s="749">
        <v>2</v>
      </c>
      <c r="G1073" s="3" t="s">
        <v>1726</v>
      </c>
      <c r="H1073" s="3"/>
      <c r="I1073" s="859">
        <v>152.43</v>
      </c>
      <c r="J1073" s="883"/>
      <c r="K1073" s="3" t="s">
        <v>2094</v>
      </c>
      <c r="L1073" s="761">
        <v>44945</v>
      </c>
      <c r="M1073" s="790"/>
      <c r="N1073" s="761"/>
      <c r="O1073" s="761" t="s">
        <v>62</v>
      </c>
      <c r="P1073" s="786">
        <v>2.9</v>
      </c>
      <c r="Q1073" s="3"/>
      <c r="R1073" s="3"/>
      <c r="S1073" s="3"/>
      <c r="T1073" s="3"/>
      <c r="U1073" s="3"/>
      <c r="V1073" s="3"/>
      <c r="W1073" s="761"/>
      <c r="X1073" s="761"/>
      <c r="Y1073" s="761"/>
      <c r="Z1073" s="761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</row>
    <row r="1074" spans="1:39">
      <c r="B1074" s="747" t="s">
        <v>163</v>
      </c>
      <c r="C1074" s="879" t="s">
        <v>900</v>
      </c>
      <c r="D1074" s="789"/>
      <c r="E1074" s="1469" t="s">
        <v>3403</v>
      </c>
      <c r="F1074" s="749">
        <v>3</v>
      </c>
      <c r="G1074" s="3" t="s">
        <v>1726</v>
      </c>
      <c r="H1074" s="3"/>
      <c r="I1074" s="859">
        <v>152.96</v>
      </c>
      <c r="J1074" s="883"/>
      <c r="K1074" s="3" t="s">
        <v>2094</v>
      </c>
      <c r="L1074" s="761">
        <v>44945</v>
      </c>
      <c r="M1074" s="790"/>
      <c r="N1074" s="761"/>
      <c r="O1074" s="761" t="s">
        <v>62</v>
      </c>
      <c r="P1074" s="786">
        <v>2.99</v>
      </c>
      <c r="Q1074" s="3"/>
      <c r="R1074" s="3"/>
      <c r="S1074" s="3"/>
      <c r="T1074" s="3"/>
      <c r="U1074" s="3"/>
      <c r="V1074" s="3"/>
      <c r="W1074" s="761"/>
      <c r="X1074" s="761"/>
      <c r="Y1074" s="761"/>
      <c r="Z1074" s="761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</row>
    <row r="1075" spans="1:39" s="707" customFormat="1">
      <c r="A1075"/>
      <c r="B1075" s="805" t="s">
        <v>13</v>
      </c>
      <c r="C1075" s="807" t="s">
        <v>1716</v>
      </c>
      <c r="D1075" s="855"/>
      <c r="E1075" s="807"/>
      <c r="F1075" s="808"/>
      <c r="G1075" s="807"/>
      <c r="H1075" s="807"/>
      <c r="I1075" s="885"/>
      <c r="J1075" s="809"/>
      <c r="K1075" s="807"/>
      <c r="L1075" s="819"/>
      <c r="M1075" s="818"/>
      <c r="N1075" s="819"/>
      <c r="O1075" s="819"/>
      <c r="P1075" s="820"/>
      <c r="Q1075" s="807"/>
      <c r="R1075" s="807"/>
      <c r="S1075" s="807"/>
      <c r="T1075" s="807"/>
      <c r="U1075" s="807"/>
      <c r="V1075" s="807"/>
      <c r="W1075" s="819"/>
      <c r="X1075" s="819"/>
      <c r="Y1075" s="819"/>
      <c r="Z1075" s="819"/>
      <c r="AA1075" s="710"/>
      <c r="AB1075" s="710"/>
      <c r="AC1075" s="710"/>
      <c r="AD1075" s="710"/>
      <c r="AE1075" s="710"/>
      <c r="AF1075" s="710"/>
      <c r="AG1075" s="710"/>
      <c r="AH1075" s="710"/>
      <c r="AI1075" s="710"/>
      <c r="AJ1075" s="710"/>
      <c r="AK1075" s="710"/>
      <c r="AL1075" s="710"/>
      <c r="AM1075" s="710"/>
    </row>
    <row r="1076" spans="1:39">
      <c r="B1076" s="747" t="s">
        <v>213</v>
      </c>
      <c r="C1076" s="868" t="s">
        <v>896</v>
      </c>
      <c r="D1076" s="789">
        <v>200101239</v>
      </c>
      <c r="E1076" s="1469" t="s">
        <v>3405</v>
      </c>
      <c r="F1076" s="749">
        <v>1</v>
      </c>
      <c r="G1076" s="3" t="s">
        <v>1041</v>
      </c>
      <c r="H1076" s="3" t="s">
        <v>1041</v>
      </c>
      <c r="I1076" s="786">
        <v>147.12</v>
      </c>
      <c r="J1076" s="786">
        <v>258.51</v>
      </c>
      <c r="K1076" s="3" t="s">
        <v>1716</v>
      </c>
      <c r="L1076" s="761">
        <v>44991</v>
      </c>
      <c r="M1076" s="790" t="s">
        <v>1716</v>
      </c>
      <c r="N1076" s="761">
        <v>44987</v>
      </c>
      <c r="O1076" s="761" t="s">
        <v>62</v>
      </c>
      <c r="P1076" s="882">
        <v>1.97</v>
      </c>
      <c r="Q1076" s="3" t="s">
        <v>3406</v>
      </c>
      <c r="R1076" s="3" t="s">
        <v>1547</v>
      </c>
      <c r="S1076" s="3" t="s">
        <v>1547</v>
      </c>
      <c r="T1076" s="786">
        <v>317.89999999999998</v>
      </c>
      <c r="U1076" s="786">
        <v>272.2</v>
      </c>
      <c r="V1076" s="3" t="s">
        <v>1716</v>
      </c>
      <c r="W1076" s="761">
        <v>44991</v>
      </c>
      <c r="X1076" s="761" t="s">
        <v>1716</v>
      </c>
      <c r="Y1076" s="761">
        <v>44988</v>
      </c>
      <c r="Z1076" s="761" t="s">
        <v>62</v>
      </c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</row>
    <row r="1077" spans="1:39">
      <c r="B1077" s="747" t="s">
        <v>213</v>
      </c>
      <c r="C1077" s="868" t="s">
        <v>896</v>
      </c>
      <c r="D1077" s="789">
        <v>200101260</v>
      </c>
      <c r="E1077" s="1469" t="s">
        <v>3407</v>
      </c>
      <c r="F1077" s="749">
        <v>2</v>
      </c>
      <c r="G1077" s="3" t="s">
        <v>1041</v>
      </c>
      <c r="H1077" s="3" t="s">
        <v>932</v>
      </c>
      <c r="I1077" s="786">
        <v>149.04</v>
      </c>
      <c r="J1077" s="786">
        <v>250.65</v>
      </c>
      <c r="K1077" s="3" t="s">
        <v>1716</v>
      </c>
      <c r="L1077" s="761">
        <v>44991</v>
      </c>
      <c r="M1077" s="790" t="s">
        <v>1716</v>
      </c>
      <c r="N1077" s="761">
        <v>44992</v>
      </c>
      <c r="O1077" s="761" t="s">
        <v>62</v>
      </c>
      <c r="P1077" s="882">
        <v>1.87</v>
      </c>
      <c r="Q1077" s="3" t="s">
        <v>3408</v>
      </c>
      <c r="R1077" s="3" t="s">
        <v>1547</v>
      </c>
      <c r="S1077" s="3" t="s">
        <v>1547</v>
      </c>
      <c r="T1077" s="786">
        <v>320.3</v>
      </c>
      <c r="U1077" s="786">
        <v>263.89999999999998</v>
      </c>
      <c r="V1077" s="3" t="s">
        <v>1716</v>
      </c>
      <c r="W1077" s="761">
        <v>44991</v>
      </c>
      <c r="X1077" s="761" t="s">
        <v>1716</v>
      </c>
      <c r="Y1077" s="761">
        <v>44992</v>
      </c>
      <c r="Z1077" s="761" t="s">
        <v>62</v>
      </c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</row>
    <row r="1078" spans="1:39">
      <c r="B1078" s="747" t="s">
        <v>213</v>
      </c>
      <c r="C1078" s="868" t="s">
        <v>896</v>
      </c>
      <c r="D1078" s="789">
        <v>200101261</v>
      </c>
      <c r="E1078" s="1469" t="s">
        <v>3409</v>
      </c>
      <c r="F1078" s="749">
        <v>3</v>
      </c>
      <c r="G1078" s="3" t="s">
        <v>1041</v>
      </c>
      <c r="H1078" s="3" t="s">
        <v>932</v>
      </c>
      <c r="I1078" s="786">
        <v>147.88999999999999</v>
      </c>
      <c r="J1078" s="786">
        <v>259.3</v>
      </c>
      <c r="K1078" s="3" t="s">
        <v>1716</v>
      </c>
      <c r="L1078" s="761">
        <v>44991</v>
      </c>
      <c r="M1078" s="790" t="s">
        <v>1716</v>
      </c>
      <c r="N1078" s="761">
        <v>44992</v>
      </c>
      <c r="O1078" s="761" t="s">
        <v>62</v>
      </c>
      <c r="P1078" s="882">
        <v>2.14</v>
      </c>
      <c r="Q1078" s="3" t="s">
        <v>3410</v>
      </c>
      <c r="R1078" s="3" t="s">
        <v>1547</v>
      </c>
      <c r="S1078" s="3" t="s">
        <v>1547</v>
      </c>
      <c r="T1078" s="762">
        <v>320.8</v>
      </c>
      <c r="U1078" s="786">
        <v>272.8</v>
      </c>
      <c r="V1078" s="3" t="s">
        <v>1716</v>
      </c>
      <c r="W1078" s="761">
        <v>44991</v>
      </c>
      <c r="X1078" s="761" t="s">
        <v>1716</v>
      </c>
      <c r="Y1078" s="761">
        <v>44992</v>
      </c>
      <c r="Z1078" s="761" t="s">
        <v>62</v>
      </c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</row>
    <row r="1079" spans="1:39">
      <c r="B1079" s="747" t="s">
        <v>213</v>
      </c>
      <c r="C1079" s="868" t="s">
        <v>896</v>
      </c>
      <c r="D1079" s="789">
        <v>200101253</v>
      </c>
      <c r="E1079" s="1469" t="s">
        <v>1840</v>
      </c>
      <c r="F1079" s="749">
        <v>4</v>
      </c>
      <c r="G1079" s="3" t="s">
        <v>1041</v>
      </c>
      <c r="H1079" s="3" t="s">
        <v>1041</v>
      </c>
      <c r="I1079" s="786">
        <v>150.78</v>
      </c>
      <c r="J1079" s="786">
        <v>259.86</v>
      </c>
      <c r="K1079" s="3" t="s">
        <v>1716</v>
      </c>
      <c r="L1079" s="761">
        <v>44991</v>
      </c>
      <c r="M1079" s="790" t="s">
        <v>1716</v>
      </c>
      <c r="N1079" s="761">
        <v>44993</v>
      </c>
      <c r="O1079" s="761" t="s">
        <v>62</v>
      </c>
      <c r="P1079" s="882">
        <v>2.23</v>
      </c>
      <c r="Q1079" s="3" t="s">
        <v>3411</v>
      </c>
      <c r="R1079" s="3" t="s">
        <v>1547</v>
      </c>
      <c r="S1079" s="3" t="s">
        <v>1547</v>
      </c>
      <c r="T1079" s="786">
        <v>323.7</v>
      </c>
      <c r="U1079" s="786">
        <v>274.39999999999998</v>
      </c>
      <c r="V1079" s="3" t="s">
        <v>1716</v>
      </c>
      <c r="W1079" s="761">
        <v>44992</v>
      </c>
      <c r="X1079" s="761" t="s">
        <v>1716</v>
      </c>
      <c r="Y1079" s="761">
        <v>44993</v>
      </c>
      <c r="Z1079" s="761" t="s">
        <v>62</v>
      </c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</row>
    <row r="1080" spans="1:39">
      <c r="B1080" s="747"/>
      <c r="C1080" s="879" t="s">
        <v>900</v>
      </c>
      <c r="D1080" s="789" t="s">
        <v>875</v>
      </c>
      <c r="E1080" s="1469" t="s">
        <v>3405</v>
      </c>
      <c r="F1080" s="749"/>
      <c r="G1080" s="3" t="s">
        <v>1041</v>
      </c>
      <c r="H1080" s="3"/>
      <c r="I1080" s="786">
        <v>153.97999999999999</v>
      </c>
      <c r="J1080" s="786"/>
      <c r="K1080" s="3" t="s">
        <v>1716</v>
      </c>
      <c r="L1080" s="761">
        <v>44991</v>
      </c>
      <c r="M1080" s="790"/>
      <c r="N1080" s="761"/>
      <c r="O1080" s="761"/>
      <c r="P1080" s="882">
        <v>2.82</v>
      </c>
      <c r="Q1080" s="3"/>
      <c r="R1080" s="3"/>
      <c r="S1080" s="3"/>
      <c r="T1080" s="786"/>
      <c r="U1080" s="786"/>
      <c r="V1080" s="3"/>
      <c r="W1080" s="761"/>
      <c r="X1080" s="761"/>
      <c r="Y1080" s="761"/>
      <c r="Z1080" s="761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</row>
    <row r="1081" spans="1:39">
      <c r="B1081" s="747"/>
      <c r="C1081" s="879" t="s">
        <v>900</v>
      </c>
      <c r="D1081" s="789" t="s">
        <v>875</v>
      </c>
      <c r="E1081" s="1469" t="s">
        <v>3407</v>
      </c>
      <c r="F1081" s="749"/>
      <c r="G1081" s="3" t="s">
        <v>1041</v>
      </c>
      <c r="H1081" s="3"/>
      <c r="I1081" s="786">
        <v>154.34</v>
      </c>
      <c r="J1081" s="786"/>
      <c r="K1081" s="3" t="s">
        <v>1716</v>
      </c>
      <c r="L1081" s="761">
        <v>44991</v>
      </c>
      <c r="M1081" s="790"/>
      <c r="N1081" s="761"/>
      <c r="O1081" s="761"/>
      <c r="P1081" s="882">
        <v>2.54</v>
      </c>
      <c r="Q1081" s="3"/>
      <c r="R1081" s="3"/>
      <c r="S1081" s="3"/>
      <c r="T1081" s="786"/>
      <c r="U1081" s="786"/>
      <c r="V1081" s="3"/>
      <c r="W1081" s="761"/>
      <c r="X1081" s="761"/>
      <c r="Y1081" s="761"/>
      <c r="Z1081" s="761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</row>
    <row r="1082" spans="1:39">
      <c r="B1082" s="747"/>
      <c r="C1082" s="879" t="s">
        <v>900</v>
      </c>
      <c r="D1082" s="789" t="s">
        <v>875</v>
      </c>
      <c r="E1082" s="1469" t="s">
        <v>3409</v>
      </c>
      <c r="F1082" s="749"/>
      <c r="G1082" s="3" t="s">
        <v>1041</v>
      </c>
      <c r="H1082" s="3"/>
      <c r="I1082" s="762">
        <v>155.96</v>
      </c>
      <c r="J1082" s="786"/>
      <c r="K1082" s="3" t="s">
        <v>1716</v>
      </c>
      <c r="L1082" s="761">
        <v>44991</v>
      </c>
      <c r="M1082" s="790"/>
      <c r="N1082" s="761"/>
      <c r="O1082" s="761"/>
      <c r="P1082" s="3">
        <v>2.91</v>
      </c>
      <c r="Q1082" s="3"/>
      <c r="R1082" s="3"/>
      <c r="S1082" s="3"/>
      <c r="T1082" s="786"/>
      <c r="U1082" s="786"/>
      <c r="V1082" s="3"/>
      <c r="W1082" s="761"/>
      <c r="X1082" s="761"/>
      <c r="Y1082" s="761"/>
      <c r="Z1082" s="761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</row>
    <row r="1083" spans="1:39">
      <c r="B1083" s="747"/>
      <c r="C1083" s="879" t="s">
        <v>900</v>
      </c>
      <c r="D1083" s="789" t="s">
        <v>875</v>
      </c>
      <c r="E1083" s="1469" t="s">
        <v>1840</v>
      </c>
      <c r="F1083" s="749"/>
      <c r="G1083" s="3" t="s">
        <v>1041</v>
      </c>
      <c r="H1083" s="3"/>
      <c r="I1083" s="786">
        <v>158.21</v>
      </c>
      <c r="J1083" s="786"/>
      <c r="K1083" s="3" t="s">
        <v>1716</v>
      </c>
      <c r="L1083" s="761">
        <v>44992</v>
      </c>
      <c r="M1083" s="790"/>
      <c r="N1083" s="761"/>
      <c r="O1083" s="761"/>
      <c r="P1083" s="882">
        <v>2.92</v>
      </c>
      <c r="Q1083" s="3"/>
      <c r="R1083" s="3"/>
      <c r="S1083" s="3"/>
      <c r="T1083" s="786"/>
      <c r="U1083" s="786"/>
      <c r="V1083" s="3"/>
      <c r="W1083" s="761"/>
      <c r="X1083" s="761"/>
      <c r="Y1083" s="761"/>
      <c r="Z1083" s="761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</row>
    <row r="1084" spans="1:39" s="707" customFormat="1">
      <c r="A1084"/>
      <c r="B1084" s="805" t="s">
        <v>13</v>
      </c>
      <c r="C1084" s="9" t="s">
        <v>1758</v>
      </c>
      <c r="D1084" s="855"/>
      <c r="E1084" s="807"/>
      <c r="F1084" s="808"/>
      <c r="G1084" s="807"/>
      <c r="H1084" s="807"/>
      <c r="I1084" s="820"/>
      <c r="J1084" s="820"/>
      <c r="K1084" s="807"/>
      <c r="L1084" s="819"/>
      <c r="M1084" s="818"/>
      <c r="N1084" s="819"/>
      <c r="O1084" s="819"/>
      <c r="P1084" s="884"/>
      <c r="Q1084" s="807"/>
      <c r="R1084" s="807"/>
      <c r="S1084" s="807"/>
      <c r="T1084" s="820"/>
      <c r="U1084" s="820"/>
      <c r="V1084" s="807"/>
      <c r="W1084" s="819"/>
      <c r="X1084" s="819"/>
      <c r="Y1084" s="819"/>
      <c r="Z1084" s="819"/>
      <c r="AA1084" s="710"/>
      <c r="AB1084" s="710"/>
      <c r="AC1084" s="710"/>
      <c r="AD1084" s="710"/>
      <c r="AE1084" s="710"/>
      <c r="AF1084" s="710"/>
      <c r="AG1084" s="710"/>
      <c r="AH1084" s="710"/>
      <c r="AI1084" s="710"/>
      <c r="AJ1084" s="710"/>
      <c r="AK1084" s="710"/>
      <c r="AL1084" s="710"/>
      <c r="AM1084" s="710"/>
    </row>
    <row r="1085" spans="1:39">
      <c r="B1085" s="747">
        <v>5</v>
      </c>
      <c r="C1085" s="868" t="s">
        <v>896</v>
      </c>
      <c r="D1085" s="789">
        <v>200101822</v>
      </c>
      <c r="E1085" s="1469" t="s">
        <v>3412</v>
      </c>
      <c r="F1085" s="749">
        <v>1</v>
      </c>
      <c r="G1085" s="3" t="s">
        <v>60</v>
      </c>
      <c r="H1085" s="3" t="s">
        <v>128</v>
      </c>
      <c r="I1085" s="830">
        <v>148.72999999999999</v>
      </c>
      <c r="J1085" s="830">
        <v>261.76</v>
      </c>
      <c r="K1085" s="3" t="s">
        <v>2272</v>
      </c>
      <c r="L1085" s="761">
        <v>45043</v>
      </c>
      <c r="M1085" s="790" t="s">
        <v>2272</v>
      </c>
      <c r="N1085" s="761">
        <v>45044</v>
      </c>
      <c r="O1085" s="761" t="s">
        <v>62</v>
      </c>
      <c r="P1085" s="886">
        <v>2.2200000000000002</v>
      </c>
      <c r="Q1085" s="3" t="s">
        <v>3413</v>
      </c>
      <c r="R1085" s="3" t="s">
        <v>130</v>
      </c>
      <c r="S1085" s="3" t="s">
        <v>130</v>
      </c>
      <c r="T1085" s="830">
        <v>320</v>
      </c>
      <c r="U1085" s="830">
        <v>275.10000000000002</v>
      </c>
      <c r="V1085" s="3" t="s">
        <v>2272</v>
      </c>
      <c r="W1085" s="761">
        <v>45044</v>
      </c>
      <c r="X1085" s="761" t="s">
        <v>2272</v>
      </c>
      <c r="Y1085" s="761">
        <v>45044</v>
      </c>
      <c r="Z1085" s="761" t="s">
        <v>62</v>
      </c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</row>
    <row r="1086" spans="1:39">
      <c r="B1086" s="747">
        <v>5</v>
      </c>
      <c r="C1086" s="868" t="s">
        <v>896</v>
      </c>
      <c r="D1086" s="789">
        <v>200101823</v>
      </c>
      <c r="E1086" s="1469" t="s">
        <v>3414</v>
      </c>
      <c r="F1086" s="749">
        <v>2</v>
      </c>
      <c r="G1086" s="3" t="s">
        <v>60</v>
      </c>
      <c r="H1086" s="3" t="s">
        <v>128</v>
      </c>
      <c r="I1086" s="830">
        <v>149.86000000000001</v>
      </c>
      <c r="J1086" s="830">
        <v>263.29000000000002</v>
      </c>
      <c r="K1086" s="3" t="s">
        <v>2272</v>
      </c>
      <c r="L1086" s="761">
        <v>45043</v>
      </c>
      <c r="M1086" s="790" t="s">
        <v>2272</v>
      </c>
      <c r="N1086" s="761">
        <v>45044</v>
      </c>
      <c r="O1086" s="761" t="s">
        <v>62</v>
      </c>
      <c r="P1086" s="886">
        <v>2.19</v>
      </c>
      <c r="Q1086" s="3" t="s">
        <v>3415</v>
      </c>
      <c r="R1086" s="3" t="s">
        <v>130</v>
      </c>
      <c r="S1086" s="3" t="s">
        <v>130</v>
      </c>
      <c r="T1086" s="786">
        <v>321</v>
      </c>
      <c r="U1086" s="786">
        <v>276.7</v>
      </c>
      <c r="V1086" s="3" t="s">
        <v>2327</v>
      </c>
      <c r="W1086" s="761">
        <v>45048</v>
      </c>
      <c r="X1086" s="3" t="s">
        <v>2327</v>
      </c>
      <c r="Y1086" s="761">
        <v>45048</v>
      </c>
      <c r="Z1086" s="761" t="s">
        <v>62</v>
      </c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</row>
    <row r="1087" spans="1:39">
      <c r="B1087" s="747"/>
      <c r="C1087" s="879" t="s">
        <v>900</v>
      </c>
      <c r="D1087" s="789" t="s">
        <v>875</v>
      </c>
      <c r="E1087" s="1469" t="s">
        <v>3412</v>
      </c>
      <c r="F1087" s="749"/>
      <c r="G1087" s="3" t="s">
        <v>60</v>
      </c>
      <c r="H1087" s="3"/>
      <c r="I1087" s="830">
        <v>154.36000000000001</v>
      </c>
      <c r="J1087" s="786"/>
      <c r="K1087" s="3" t="s">
        <v>2272</v>
      </c>
      <c r="L1087" s="761">
        <v>45043</v>
      </c>
      <c r="M1087" s="790"/>
      <c r="N1087" s="761"/>
      <c r="O1087" s="761" t="s">
        <v>62</v>
      </c>
      <c r="P1087" s="886">
        <v>3.05</v>
      </c>
      <c r="Q1087" s="3"/>
      <c r="R1087" s="3"/>
      <c r="S1087" s="3"/>
      <c r="T1087" s="786"/>
      <c r="U1087" s="786"/>
      <c r="V1087" s="3"/>
      <c r="W1087" s="761"/>
      <c r="X1087" s="761"/>
      <c r="Y1087" s="761"/>
      <c r="Z1087" s="761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</row>
    <row r="1088" spans="1:39">
      <c r="B1088" s="747"/>
      <c r="C1088" s="879" t="s">
        <v>900</v>
      </c>
      <c r="D1088" s="789" t="s">
        <v>875</v>
      </c>
      <c r="E1088" s="1469" t="s">
        <v>3414</v>
      </c>
      <c r="F1088" s="749"/>
      <c r="G1088" s="3" t="s">
        <v>128</v>
      </c>
      <c r="H1088" s="3"/>
      <c r="I1088" s="786">
        <v>154.38999999999999</v>
      </c>
      <c r="J1088" s="786"/>
      <c r="K1088" s="3" t="s">
        <v>2327</v>
      </c>
      <c r="L1088" s="761">
        <v>45048</v>
      </c>
      <c r="M1088" s="790"/>
      <c r="N1088" s="761"/>
      <c r="O1088" s="761" t="s">
        <v>62</v>
      </c>
      <c r="P1088" s="882">
        <v>3.04</v>
      </c>
      <c r="Q1088" s="3"/>
      <c r="R1088" s="3"/>
      <c r="S1088" s="3"/>
      <c r="T1088" s="786"/>
      <c r="U1088" s="786"/>
      <c r="V1088" s="3"/>
      <c r="W1088" s="761"/>
      <c r="X1088" s="761"/>
      <c r="Y1088" s="761"/>
      <c r="Z1088" s="761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</row>
    <row r="1089" spans="1:39" s="707" customFormat="1">
      <c r="A1089"/>
      <c r="B1089" s="805" t="s">
        <v>13</v>
      </c>
      <c r="C1089" s="9" t="s">
        <v>3416</v>
      </c>
      <c r="D1089" s="855"/>
      <c r="E1089" s="807"/>
      <c r="F1089" s="808"/>
      <c r="G1089" s="807"/>
      <c r="H1089" s="12"/>
      <c r="I1089" s="820"/>
      <c r="J1089" s="820"/>
      <c r="K1089" s="807"/>
      <c r="L1089" s="819"/>
      <c r="M1089" s="818"/>
      <c r="N1089" s="819"/>
      <c r="O1089" s="819"/>
      <c r="P1089" s="884"/>
      <c r="Q1089" s="807"/>
      <c r="R1089" s="807"/>
      <c r="S1089" s="807"/>
      <c r="T1089" s="820"/>
      <c r="U1089" s="820"/>
      <c r="V1089" s="807"/>
      <c r="W1089" s="819"/>
      <c r="X1089" s="819"/>
      <c r="Y1089" s="819"/>
      <c r="Z1089" s="819"/>
      <c r="AA1089" s="710"/>
      <c r="AB1089" s="710"/>
      <c r="AC1089" s="710"/>
      <c r="AD1089" s="710"/>
      <c r="AE1089" s="710"/>
      <c r="AF1089" s="710"/>
      <c r="AG1089" s="710"/>
      <c r="AH1089" s="710"/>
      <c r="AI1089" s="710"/>
      <c r="AJ1089" s="710"/>
      <c r="AK1089" s="710"/>
      <c r="AL1089" s="710"/>
      <c r="AM1089" s="710"/>
    </row>
    <row r="1090" spans="1:39">
      <c r="B1090" s="747">
        <v>6</v>
      </c>
      <c r="C1090" s="868" t="s">
        <v>896</v>
      </c>
      <c r="D1090" s="789">
        <v>200102076</v>
      </c>
      <c r="E1090" s="1469" t="s">
        <v>3417</v>
      </c>
      <c r="F1090" s="749">
        <v>1</v>
      </c>
      <c r="G1090" s="3" t="s">
        <v>128</v>
      </c>
      <c r="H1090" s="3" t="s">
        <v>60</v>
      </c>
      <c r="I1090" s="786">
        <v>150.02000000000001</v>
      </c>
      <c r="J1090" s="786">
        <v>259.33</v>
      </c>
      <c r="K1090" s="3" t="s">
        <v>2411</v>
      </c>
      <c r="L1090" s="761">
        <v>45090</v>
      </c>
      <c r="M1090" s="3" t="s">
        <v>2411</v>
      </c>
      <c r="N1090" s="761">
        <v>45090</v>
      </c>
      <c r="O1090" s="761" t="s">
        <v>62</v>
      </c>
      <c r="P1090" s="882">
        <v>3.01</v>
      </c>
      <c r="Q1090" s="3" t="s">
        <v>3418</v>
      </c>
      <c r="R1090" s="3" t="s">
        <v>130</v>
      </c>
      <c r="S1090" s="3" t="s">
        <v>130</v>
      </c>
      <c r="T1090" s="786">
        <v>312.10000000000002</v>
      </c>
      <c r="U1090" s="786">
        <v>272.89999999999998</v>
      </c>
      <c r="V1090" s="3" t="s">
        <v>2411</v>
      </c>
      <c r="W1090" s="761">
        <v>45091</v>
      </c>
      <c r="X1090" s="3" t="s">
        <v>2411</v>
      </c>
      <c r="Y1090" s="761">
        <v>45091</v>
      </c>
      <c r="Z1090" s="761" t="s">
        <v>62</v>
      </c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</row>
    <row r="1091" spans="1:39">
      <c r="B1091" s="747">
        <v>6</v>
      </c>
      <c r="C1091" s="868" t="s">
        <v>896</v>
      </c>
      <c r="D1091" s="789">
        <v>200102077</v>
      </c>
      <c r="E1091" s="1469" t="s">
        <v>3419</v>
      </c>
      <c r="F1091" s="749">
        <v>2</v>
      </c>
      <c r="G1091" s="3" t="s">
        <v>128</v>
      </c>
      <c r="H1091" s="3" t="s">
        <v>60</v>
      </c>
      <c r="I1091" s="786">
        <v>151.12</v>
      </c>
      <c r="J1091" s="786">
        <v>262.41000000000003</v>
      </c>
      <c r="K1091" s="3" t="s">
        <v>2411</v>
      </c>
      <c r="L1091" s="761">
        <v>45090</v>
      </c>
      <c r="M1091" s="3" t="s">
        <v>2411</v>
      </c>
      <c r="N1091" s="761">
        <v>45090</v>
      </c>
      <c r="O1091" s="761" t="s">
        <v>62</v>
      </c>
      <c r="P1091" s="882">
        <v>2.96</v>
      </c>
      <c r="Q1091" s="3" t="s">
        <v>3420</v>
      </c>
      <c r="R1091" s="3" t="s">
        <v>130</v>
      </c>
      <c r="S1091" s="3" t="s">
        <v>130</v>
      </c>
      <c r="T1091" s="786">
        <v>321.2</v>
      </c>
      <c r="U1091" s="786">
        <v>276.10000000000002</v>
      </c>
      <c r="V1091" s="3" t="s">
        <v>2411</v>
      </c>
      <c r="W1091" s="761">
        <v>45091</v>
      </c>
      <c r="X1091" s="3" t="s">
        <v>2411</v>
      </c>
      <c r="Y1091" s="761">
        <v>45091</v>
      </c>
      <c r="Z1091" s="761" t="s">
        <v>62</v>
      </c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</row>
    <row r="1092" spans="1:39">
      <c r="B1092" s="747"/>
      <c r="C1092" s="879" t="s">
        <v>900</v>
      </c>
      <c r="D1092" s="789" t="s">
        <v>875</v>
      </c>
      <c r="E1092" s="1469" t="s">
        <v>3417</v>
      </c>
      <c r="F1092" s="749"/>
      <c r="G1092" s="3" t="s">
        <v>128</v>
      </c>
      <c r="H1092" s="3"/>
      <c r="I1092" s="786">
        <f>55.55+47.31+47.42</f>
        <v>150.28</v>
      </c>
      <c r="J1092" s="786"/>
      <c r="K1092" s="3" t="s">
        <v>2411</v>
      </c>
      <c r="L1092" s="761">
        <v>45090</v>
      </c>
      <c r="M1092" s="790"/>
      <c r="N1092" s="761"/>
      <c r="O1092" s="761" t="s">
        <v>62</v>
      </c>
      <c r="P1092" s="882">
        <v>3.01</v>
      </c>
      <c r="Q1092" s="3"/>
      <c r="R1092" s="3"/>
      <c r="S1092" s="3"/>
      <c r="T1092" s="786"/>
      <c r="U1092" s="786"/>
      <c r="V1092" s="3"/>
      <c r="W1092" s="761"/>
      <c r="X1092" s="761"/>
      <c r="Y1092" s="761"/>
      <c r="Z1092" s="761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</row>
    <row r="1093" spans="1:39">
      <c r="B1093" s="747"/>
      <c r="C1093" s="879" t="s">
        <v>900</v>
      </c>
      <c r="D1093" s="789" t="s">
        <v>875</v>
      </c>
      <c r="E1093" s="1469" t="s">
        <v>3419</v>
      </c>
      <c r="F1093" s="749"/>
      <c r="G1093" s="3" t="s">
        <v>128</v>
      </c>
      <c r="H1093" s="3"/>
      <c r="I1093" s="786">
        <v>152.65</v>
      </c>
      <c r="J1093" s="786"/>
      <c r="K1093" s="3" t="s">
        <v>2411</v>
      </c>
      <c r="L1093" s="761">
        <v>45090</v>
      </c>
      <c r="M1093" s="790"/>
      <c r="N1093" s="761"/>
      <c r="O1093" s="761" t="s">
        <v>62</v>
      </c>
      <c r="P1093" s="882">
        <v>2.96</v>
      </c>
      <c r="Q1093" s="3"/>
      <c r="R1093" s="3"/>
      <c r="S1093" s="3"/>
      <c r="T1093" s="786"/>
      <c r="U1093" s="786"/>
      <c r="V1093" s="3"/>
      <c r="W1093" s="761"/>
      <c r="X1093" s="761"/>
      <c r="Y1093" s="761"/>
      <c r="Z1093" s="761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</row>
    <row r="1094" spans="1:39" s="707" customFormat="1">
      <c r="A1094"/>
      <c r="B1094" s="805" t="s">
        <v>13</v>
      </c>
      <c r="C1094" s="9" t="s">
        <v>1764</v>
      </c>
      <c r="D1094" s="855"/>
      <c r="E1094" s="807"/>
      <c r="F1094" s="808"/>
      <c r="G1094" s="807"/>
      <c r="H1094" s="807"/>
      <c r="I1094" s="820"/>
      <c r="J1094" s="820"/>
      <c r="K1094" s="807"/>
      <c r="L1094" s="819"/>
      <c r="M1094" s="818"/>
      <c r="N1094" s="819"/>
      <c r="O1094" s="819"/>
      <c r="P1094" s="884"/>
      <c r="Q1094" s="807"/>
      <c r="R1094" s="807"/>
      <c r="S1094" s="807"/>
      <c r="T1094" s="820"/>
      <c r="U1094" s="820"/>
      <c r="V1094" s="807"/>
      <c r="W1094" s="819"/>
      <c r="X1094" s="819"/>
      <c r="Y1094" s="819"/>
      <c r="Z1094" s="819"/>
      <c r="AA1094" s="710"/>
      <c r="AB1094" s="710"/>
      <c r="AC1094" s="710"/>
      <c r="AD1094" s="710"/>
      <c r="AE1094" s="710"/>
      <c r="AF1094" s="710"/>
      <c r="AG1094" s="710"/>
      <c r="AH1094" s="710"/>
      <c r="AI1094" s="710"/>
      <c r="AJ1094" s="710"/>
      <c r="AK1094" s="710"/>
      <c r="AL1094" s="710"/>
      <c r="AM1094" s="710"/>
    </row>
    <row r="1095" spans="1:39">
      <c r="B1095" s="747">
        <v>7</v>
      </c>
      <c r="C1095" s="868" t="s">
        <v>896</v>
      </c>
      <c r="D1095" s="789">
        <v>200102260</v>
      </c>
      <c r="E1095" s="1469" t="s">
        <v>3421</v>
      </c>
      <c r="F1095" s="749">
        <v>1</v>
      </c>
      <c r="G1095" s="3" t="s">
        <v>128</v>
      </c>
      <c r="H1095" s="3" t="s">
        <v>128</v>
      </c>
      <c r="I1095" s="786">
        <v>150.6</v>
      </c>
      <c r="J1095" s="786">
        <f>127.7+132.47</f>
        <v>260.17</v>
      </c>
      <c r="K1095" s="3" t="s">
        <v>2411</v>
      </c>
      <c r="L1095" s="761">
        <v>45091</v>
      </c>
      <c r="M1095" s="790" t="s">
        <v>2411</v>
      </c>
      <c r="N1095" s="761">
        <v>45091</v>
      </c>
      <c r="O1095" s="761" t="s">
        <v>62</v>
      </c>
      <c r="P1095" s="882">
        <v>2.09</v>
      </c>
      <c r="Q1095" s="786" t="s">
        <v>3422</v>
      </c>
      <c r="R1095" s="3" t="s">
        <v>130</v>
      </c>
      <c r="S1095" s="3" t="s">
        <v>130</v>
      </c>
      <c r="T1095" s="786">
        <v>320.60000000000002</v>
      </c>
      <c r="U1095" s="786">
        <v>274.3</v>
      </c>
      <c r="V1095" s="3" t="s">
        <v>2411</v>
      </c>
      <c r="W1095" s="761">
        <v>45092</v>
      </c>
      <c r="X1095" s="761" t="s">
        <v>2411</v>
      </c>
      <c r="Y1095" s="761">
        <v>45092</v>
      </c>
      <c r="Z1095" s="761" t="s">
        <v>62</v>
      </c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</row>
    <row r="1096" spans="1:39">
      <c r="B1096" s="747"/>
      <c r="C1096" s="879" t="s">
        <v>900</v>
      </c>
      <c r="D1096" s="789" t="s">
        <v>875</v>
      </c>
      <c r="E1096" s="1469" t="s">
        <v>3421</v>
      </c>
      <c r="F1096" s="749"/>
      <c r="G1096" s="3" t="s">
        <v>128</v>
      </c>
      <c r="H1096" s="3"/>
      <c r="I1096" s="786">
        <v>153.29</v>
      </c>
      <c r="J1096" s="786"/>
      <c r="K1096" s="3"/>
      <c r="L1096" s="761"/>
      <c r="M1096" s="790"/>
      <c r="N1096" s="761"/>
      <c r="O1096" s="761" t="s">
        <v>62</v>
      </c>
      <c r="P1096" s="882">
        <v>3.01</v>
      </c>
      <c r="Q1096" s="3"/>
      <c r="R1096" s="3"/>
      <c r="S1096" s="3"/>
      <c r="T1096" s="786"/>
      <c r="U1096" s="786"/>
      <c r="V1096" s="3"/>
      <c r="W1096" s="761"/>
      <c r="X1096" s="761"/>
      <c r="Y1096" s="761"/>
      <c r="Z1096" s="761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</row>
    <row r="1097" spans="1:39" s="707" customFormat="1">
      <c r="A1097"/>
      <c r="B1097" s="805" t="s">
        <v>13</v>
      </c>
      <c r="C1097" s="9" t="s">
        <v>1761</v>
      </c>
      <c r="D1097" s="855"/>
      <c r="E1097" s="807"/>
      <c r="F1097" s="808"/>
      <c r="G1097" s="807"/>
      <c r="H1097" s="807"/>
      <c r="I1097" s="820"/>
      <c r="J1097" s="820"/>
      <c r="K1097" s="807"/>
      <c r="L1097" s="819"/>
      <c r="M1097" s="818"/>
      <c r="N1097" s="819"/>
      <c r="O1097" s="819"/>
      <c r="P1097" s="884"/>
      <c r="Q1097" s="807"/>
      <c r="R1097" s="807"/>
      <c r="S1097" s="807"/>
      <c r="T1097" s="820"/>
      <c r="U1097" s="820"/>
      <c r="V1097" s="807"/>
      <c r="W1097" s="819"/>
      <c r="X1097" s="819"/>
      <c r="Y1097" s="819"/>
      <c r="Z1097" s="819"/>
      <c r="AA1097" s="710"/>
      <c r="AB1097" s="710"/>
      <c r="AC1097" s="710"/>
      <c r="AD1097" s="710"/>
      <c r="AE1097" s="710"/>
      <c r="AF1097" s="710"/>
      <c r="AG1097" s="710"/>
      <c r="AH1097" s="710"/>
      <c r="AI1097" s="710"/>
      <c r="AJ1097" s="710"/>
      <c r="AK1097" s="710"/>
      <c r="AL1097" s="710"/>
      <c r="AM1097" s="710"/>
    </row>
    <row r="1098" spans="1:39">
      <c r="B1098" s="747">
        <v>8</v>
      </c>
      <c r="C1098" s="868" t="s">
        <v>896</v>
      </c>
      <c r="D1098" s="789">
        <v>200102651</v>
      </c>
      <c r="E1098" s="1469" t="s">
        <v>3423</v>
      </c>
      <c r="F1098" s="749">
        <v>1</v>
      </c>
      <c r="G1098" s="3" t="s">
        <v>128</v>
      </c>
      <c r="H1098" s="3" t="s">
        <v>128</v>
      </c>
      <c r="I1098" s="786">
        <v>149.88</v>
      </c>
      <c r="J1098" s="786">
        <f>128.36+134.19</f>
        <v>262.55</v>
      </c>
      <c r="K1098" s="3" t="s">
        <v>2556</v>
      </c>
      <c r="L1098" s="761">
        <v>45154</v>
      </c>
      <c r="M1098" s="790" t="s">
        <v>2556</v>
      </c>
      <c r="N1098" s="761">
        <v>45156</v>
      </c>
      <c r="O1098" s="761" t="s">
        <v>62</v>
      </c>
      <c r="P1098" s="882">
        <v>2.15</v>
      </c>
      <c r="Q1098" s="3" t="s">
        <v>3424</v>
      </c>
      <c r="R1098" s="3" t="s">
        <v>130</v>
      </c>
      <c r="S1098" s="3" t="s">
        <v>130</v>
      </c>
      <c r="T1098" s="786">
        <v>319.3</v>
      </c>
      <c r="U1098" s="786">
        <v>276.39999999999998</v>
      </c>
      <c r="V1098" s="3" t="s">
        <v>2556</v>
      </c>
      <c r="W1098" s="761">
        <v>45156</v>
      </c>
      <c r="X1098" s="3" t="s">
        <v>2556</v>
      </c>
      <c r="Y1098" s="761">
        <v>45156</v>
      </c>
      <c r="Z1098" s="761" t="s">
        <v>62</v>
      </c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</row>
    <row r="1099" spans="1:39">
      <c r="B1099" s="747">
        <v>8</v>
      </c>
      <c r="C1099" s="868" t="s">
        <v>896</v>
      </c>
      <c r="D1099" s="789">
        <v>200102652</v>
      </c>
      <c r="E1099" s="1469" t="s">
        <v>3425</v>
      </c>
      <c r="F1099" s="749">
        <v>2</v>
      </c>
      <c r="G1099" s="3" t="s">
        <v>128</v>
      </c>
      <c r="H1099" s="3" t="s">
        <v>128</v>
      </c>
      <c r="I1099" s="786">
        <v>150.09</v>
      </c>
      <c r="J1099" s="762">
        <v>262.70999999999998</v>
      </c>
      <c r="K1099" s="3" t="s">
        <v>2556</v>
      </c>
      <c r="L1099" s="761">
        <v>45154</v>
      </c>
      <c r="M1099" s="790" t="s">
        <v>2556</v>
      </c>
      <c r="N1099" s="761">
        <v>45156</v>
      </c>
      <c r="O1099" s="761" t="s">
        <v>62</v>
      </c>
      <c r="P1099" s="882">
        <v>1.99</v>
      </c>
      <c r="Q1099" s="3" t="s">
        <v>3426</v>
      </c>
      <c r="R1099" s="3" t="s">
        <v>130</v>
      </c>
      <c r="S1099" s="3" t="s">
        <v>130</v>
      </c>
      <c r="T1099" s="786">
        <v>322.60000000000002</v>
      </c>
      <c r="U1099" s="786">
        <v>276.5</v>
      </c>
      <c r="V1099" s="3" t="s">
        <v>2556</v>
      </c>
      <c r="W1099" s="761">
        <v>45156</v>
      </c>
      <c r="X1099" s="761" t="s">
        <v>2556</v>
      </c>
      <c r="Y1099" s="761">
        <v>45159</v>
      </c>
      <c r="Z1099" s="761" t="s">
        <v>62</v>
      </c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</row>
    <row r="1100" spans="1:39">
      <c r="B1100" s="747">
        <v>8</v>
      </c>
      <c r="C1100" s="868" t="s">
        <v>896</v>
      </c>
      <c r="D1100" s="789">
        <v>200102653</v>
      </c>
      <c r="E1100" s="1469" t="s">
        <v>3427</v>
      </c>
      <c r="F1100" s="749">
        <v>3</v>
      </c>
      <c r="G1100" s="3" t="s">
        <v>128</v>
      </c>
      <c r="H1100" s="3" t="s">
        <v>60</v>
      </c>
      <c r="I1100" s="786">
        <v>150.6</v>
      </c>
      <c r="J1100" s="786">
        <v>261.86</v>
      </c>
      <c r="K1100" s="3" t="s">
        <v>2556</v>
      </c>
      <c r="L1100" s="761">
        <v>45154</v>
      </c>
      <c r="M1100" s="790" t="s">
        <v>2556</v>
      </c>
      <c r="N1100" s="761">
        <v>45159</v>
      </c>
      <c r="O1100" s="761" t="s">
        <v>62</v>
      </c>
      <c r="P1100" s="882">
        <v>2</v>
      </c>
      <c r="Q1100" s="3" t="s">
        <v>3428</v>
      </c>
      <c r="R1100" s="3" t="s">
        <v>130</v>
      </c>
      <c r="S1100" s="3" t="s">
        <v>130</v>
      </c>
      <c r="T1100" s="786">
        <v>323</v>
      </c>
      <c r="U1100" s="786">
        <v>275.39999999999998</v>
      </c>
      <c r="V1100" s="3" t="s">
        <v>2556</v>
      </c>
      <c r="W1100" s="761">
        <v>45156</v>
      </c>
      <c r="X1100" s="761" t="s">
        <v>2556</v>
      </c>
      <c r="Y1100" s="761">
        <v>45159</v>
      </c>
      <c r="Z1100" s="761" t="s">
        <v>62</v>
      </c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</row>
    <row r="1101" spans="1:39">
      <c r="B1101" s="747"/>
      <c r="C1101" s="879" t="s">
        <v>900</v>
      </c>
      <c r="D1101" s="789"/>
      <c r="E1101" s="1469" t="s">
        <v>3423</v>
      </c>
      <c r="F1101" s="749"/>
      <c r="G1101" s="3" t="s">
        <v>128</v>
      </c>
      <c r="H1101" s="3"/>
      <c r="I1101" s="786">
        <v>153.02000000000001</v>
      </c>
      <c r="J1101" s="786"/>
      <c r="K1101" s="3" t="s">
        <v>2556</v>
      </c>
      <c r="L1101" s="761">
        <v>45154</v>
      </c>
      <c r="M1101" s="790"/>
      <c r="N1101" s="761"/>
      <c r="O1101" s="761"/>
      <c r="P1101" s="882">
        <v>2.84</v>
      </c>
      <c r="Q1101" s="3"/>
      <c r="R1101" s="3"/>
      <c r="S1101" s="3"/>
      <c r="T1101" s="786"/>
      <c r="U1101" s="786"/>
      <c r="V1101" s="3"/>
      <c r="W1101" s="761"/>
      <c r="X1101" s="761"/>
      <c r="Y1101" s="761"/>
      <c r="Z1101" s="761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</row>
    <row r="1102" spans="1:39">
      <c r="B1102" s="747"/>
      <c r="C1102" s="879" t="s">
        <v>900</v>
      </c>
      <c r="D1102" s="789"/>
      <c r="E1102" s="1469" t="s">
        <v>3425</v>
      </c>
      <c r="F1102" s="749"/>
      <c r="G1102" s="3" t="s">
        <v>128</v>
      </c>
      <c r="H1102" s="3"/>
      <c r="I1102" s="786">
        <v>155.85</v>
      </c>
      <c r="J1102" s="786"/>
      <c r="K1102" s="3" t="s">
        <v>2556</v>
      </c>
      <c r="L1102" s="761">
        <v>45154</v>
      </c>
      <c r="M1102" s="790"/>
      <c r="N1102" s="761"/>
      <c r="O1102" s="761"/>
      <c r="P1102" s="882">
        <v>2.86</v>
      </c>
      <c r="Q1102" s="3"/>
      <c r="R1102" s="3"/>
      <c r="S1102" s="3"/>
      <c r="T1102" s="786"/>
      <c r="U1102" s="786"/>
      <c r="V1102" s="3"/>
      <c r="W1102" s="761"/>
      <c r="X1102" s="761"/>
      <c r="Y1102" s="761"/>
      <c r="Z1102" s="761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</row>
    <row r="1103" spans="1:39">
      <c r="B1103" s="747"/>
      <c r="C1103" s="879" t="s">
        <v>900</v>
      </c>
      <c r="D1103" s="789"/>
      <c r="E1103" s="1469" t="s">
        <v>3427</v>
      </c>
      <c r="F1103" s="749"/>
      <c r="G1103" s="3" t="s">
        <v>128</v>
      </c>
      <c r="H1103" s="3"/>
      <c r="I1103" s="786">
        <v>155.5</v>
      </c>
      <c r="J1103" s="786"/>
      <c r="K1103" s="3" t="s">
        <v>2556</v>
      </c>
      <c r="L1103" s="761">
        <v>45154</v>
      </c>
      <c r="M1103" s="790"/>
      <c r="N1103" s="761"/>
      <c r="O1103" s="761"/>
      <c r="P1103" s="882">
        <v>2.96</v>
      </c>
      <c r="Q1103" s="3"/>
      <c r="R1103" s="3"/>
      <c r="S1103" s="3"/>
      <c r="T1103" s="786"/>
      <c r="U1103" s="786"/>
      <c r="V1103" s="3"/>
      <c r="W1103" s="761"/>
      <c r="X1103" s="761"/>
      <c r="Y1103" s="761"/>
      <c r="Z1103" s="761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</row>
    <row r="1104" spans="1:39" s="707" customFormat="1">
      <c r="A1104"/>
      <c r="B1104" s="805" t="s">
        <v>13</v>
      </c>
      <c r="C1104" s="9" t="s">
        <v>1760</v>
      </c>
      <c r="D1104" s="855"/>
      <c r="E1104" s="807"/>
      <c r="F1104" s="808"/>
      <c r="G1104" s="807"/>
      <c r="H1104" s="807"/>
      <c r="I1104" s="820"/>
      <c r="J1104" s="820"/>
      <c r="K1104" s="807"/>
      <c r="L1104" s="819"/>
      <c r="M1104" s="818"/>
      <c r="N1104" s="819"/>
      <c r="O1104" s="819"/>
      <c r="P1104" s="884"/>
      <c r="Q1104" s="807"/>
      <c r="R1104" s="807"/>
      <c r="S1104" s="807"/>
      <c r="T1104" s="820"/>
      <c r="U1104" s="820"/>
      <c r="V1104" s="807"/>
      <c r="W1104" s="819"/>
      <c r="X1104" s="819"/>
      <c r="Y1104" s="819"/>
      <c r="Z1104" s="819"/>
      <c r="AA1104" s="710"/>
      <c r="AB1104" s="710"/>
      <c r="AC1104" s="710"/>
      <c r="AD1104" s="710"/>
      <c r="AE1104" s="710"/>
      <c r="AF1104" s="710"/>
      <c r="AG1104" s="710"/>
      <c r="AH1104" s="710"/>
      <c r="AI1104" s="710"/>
      <c r="AJ1104" s="710"/>
      <c r="AK1104" s="710"/>
      <c r="AL1104" s="710"/>
      <c r="AM1104" s="710"/>
    </row>
    <row r="1105" spans="1:39">
      <c r="B1105" s="747">
        <v>9</v>
      </c>
      <c r="C1105" s="868" t="s">
        <v>3429</v>
      </c>
      <c r="D1105" s="789">
        <v>200103042</v>
      </c>
      <c r="E1105" s="1469" t="s">
        <v>3430</v>
      </c>
      <c r="F1105" s="749">
        <v>1</v>
      </c>
      <c r="G1105" s="3" t="s">
        <v>60</v>
      </c>
      <c r="H1105" s="3" t="s">
        <v>128</v>
      </c>
      <c r="I1105" s="786">
        <v>149.61000000000001</v>
      </c>
      <c r="J1105" s="786">
        <v>262.14</v>
      </c>
      <c r="K1105" s="3" t="s">
        <v>2661</v>
      </c>
      <c r="L1105" s="761">
        <v>45177</v>
      </c>
      <c r="M1105" s="3" t="s">
        <v>2661</v>
      </c>
      <c r="N1105" s="761">
        <v>45177</v>
      </c>
      <c r="O1105" s="761" t="s">
        <v>62</v>
      </c>
      <c r="P1105" s="882">
        <v>2.2200000000000002</v>
      </c>
      <c r="Q1105" s="3" t="s">
        <v>885</v>
      </c>
      <c r="R1105" s="3" t="s">
        <v>130</v>
      </c>
      <c r="S1105" s="3" t="s">
        <v>130</v>
      </c>
      <c r="T1105" s="786">
        <v>320.2</v>
      </c>
      <c r="U1105" s="762">
        <v>274.89999999999998</v>
      </c>
      <c r="V1105" s="3" t="s">
        <v>2661</v>
      </c>
      <c r="W1105" s="761">
        <v>45177</v>
      </c>
      <c r="X1105" s="3" t="s">
        <v>2661</v>
      </c>
      <c r="Y1105" s="761">
        <v>45177</v>
      </c>
      <c r="Z1105" s="761" t="s">
        <v>62</v>
      </c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</row>
    <row r="1106" spans="1:39">
      <c r="B1106" s="747">
        <v>9</v>
      </c>
      <c r="C1106" s="868" t="s">
        <v>3431</v>
      </c>
      <c r="D1106" s="789">
        <v>200103354</v>
      </c>
      <c r="E1106" s="1469" t="s">
        <v>3432</v>
      </c>
      <c r="F1106" s="749">
        <v>2</v>
      </c>
      <c r="G1106" s="3" t="s">
        <v>60</v>
      </c>
      <c r="H1106" s="3" t="s">
        <v>128</v>
      </c>
      <c r="I1106" s="786">
        <v>147.16</v>
      </c>
      <c r="J1106" s="786">
        <v>263.39999999999998</v>
      </c>
      <c r="K1106" s="3" t="s">
        <v>2661</v>
      </c>
      <c r="L1106" s="761">
        <v>45180</v>
      </c>
      <c r="M1106" s="3" t="s">
        <v>2661</v>
      </c>
      <c r="N1106" s="761">
        <v>45177</v>
      </c>
      <c r="O1106" s="761" t="s">
        <v>62</v>
      </c>
      <c r="P1106" s="882">
        <v>1.92</v>
      </c>
      <c r="Q1106" s="3" t="s">
        <v>3433</v>
      </c>
      <c r="R1106" s="3" t="s">
        <v>130</v>
      </c>
      <c r="S1106" s="3" t="s">
        <v>130</v>
      </c>
      <c r="T1106" s="786">
        <v>319.60000000000002</v>
      </c>
      <c r="U1106" s="762">
        <v>276.39999999999998</v>
      </c>
      <c r="V1106" s="3" t="s">
        <v>2661</v>
      </c>
      <c r="W1106" s="761">
        <v>45180</v>
      </c>
      <c r="X1106" s="3" t="s">
        <v>2661</v>
      </c>
      <c r="Y1106" s="761">
        <v>45177</v>
      </c>
      <c r="Z1106" s="761" t="s">
        <v>62</v>
      </c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</row>
    <row r="1107" spans="1:39">
      <c r="B1107" s="747">
        <v>9</v>
      </c>
      <c r="C1107" s="868" t="s">
        <v>3434</v>
      </c>
      <c r="D1107" s="789">
        <v>200103355</v>
      </c>
      <c r="E1107" s="1469" t="s">
        <v>3435</v>
      </c>
      <c r="F1107" s="749">
        <v>3</v>
      </c>
      <c r="G1107" s="3" t="s">
        <v>60</v>
      </c>
      <c r="H1107" s="3" t="s">
        <v>60</v>
      </c>
      <c r="I1107" s="786">
        <v>151</v>
      </c>
      <c r="J1107" s="786">
        <v>258.08</v>
      </c>
      <c r="K1107" s="3" t="s">
        <v>2661</v>
      </c>
      <c r="L1107" s="761">
        <v>45180</v>
      </c>
      <c r="M1107" s="3" t="s">
        <v>2661</v>
      </c>
      <c r="N1107" s="761">
        <v>45180</v>
      </c>
      <c r="O1107" s="761" t="s">
        <v>62</v>
      </c>
      <c r="P1107" s="882">
        <v>1.9</v>
      </c>
      <c r="Q1107" s="3" t="s">
        <v>3436</v>
      </c>
      <c r="R1107" s="3" t="s">
        <v>130</v>
      </c>
      <c r="S1107" s="3" t="s">
        <v>130</v>
      </c>
      <c r="T1107" s="786">
        <v>324.2</v>
      </c>
      <c r="U1107" s="762">
        <v>271.3</v>
      </c>
      <c r="V1107" s="3" t="s">
        <v>2661</v>
      </c>
      <c r="W1107" s="761">
        <v>45180</v>
      </c>
      <c r="X1107" s="3" t="s">
        <v>2661</v>
      </c>
      <c r="Y1107" s="761">
        <v>45180</v>
      </c>
      <c r="Z1107" s="761" t="s">
        <v>62</v>
      </c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</row>
    <row r="1108" spans="1:39">
      <c r="B1108" s="747"/>
      <c r="C1108" s="879" t="s">
        <v>3437</v>
      </c>
      <c r="D1108" s="789"/>
      <c r="E1108" s="1469" t="s">
        <v>3430</v>
      </c>
      <c r="F1108" s="749"/>
      <c r="G1108" s="3" t="s">
        <v>60</v>
      </c>
      <c r="H1108" s="3"/>
      <c r="I1108" s="786">
        <v>154.02000000000001</v>
      </c>
      <c r="J1108" s="786"/>
      <c r="K1108" s="3" t="s">
        <v>2661</v>
      </c>
      <c r="L1108" s="761">
        <v>45177</v>
      </c>
      <c r="M1108" s="790"/>
      <c r="N1108" s="761"/>
      <c r="O1108" s="761"/>
      <c r="P1108" s="882">
        <v>2.69</v>
      </c>
      <c r="Q1108" s="3"/>
      <c r="R1108" s="3"/>
      <c r="S1108" s="3"/>
      <c r="T1108" s="786"/>
      <c r="U1108" s="786"/>
      <c r="V1108" s="3"/>
      <c r="W1108" s="761"/>
      <c r="X1108" s="761"/>
      <c r="Y1108" s="761"/>
      <c r="Z1108" s="761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</row>
    <row r="1109" spans="1:39">
      <c r="B1109" s="747"/>
      <c r="C1109" s="879" t="s">
        <v>3438</v>
      </c>
      <c r="D1109" s="789"/>
      <c r="E1109" s="1469" t="s">
        <v>3432</v>
      </c>
      <c r="F1109" s="749"/>
      <c r="G1109" s="3" t="s">
        <v>60</v>
      </c>
      <c r="H1109" s="3"/>
      <c r="I1109" s="786">
        <v>155.54</v>
      </c>
      <c r="J1109" s="786"/>
      <c r="K1109" s="3" t="s">
        <v>2661</v>
      </c>
      <c r="L1109" s="761">
        <v>45177</v>
      </c>
      <c r="M1109" s="790"/>
      <c r="N1109" s="761"/>
      <c r="O1109" s="761"/>
      <c r="P1109" s="882">
        <v>3.02</v>
      </c>
      <c r="Q1109" s="3"/>
      <c r="R1109" s="3"/>
      <c r="S1109" s="3"/>
      <c r="T1109" s="786"/>
      <c r="U1109" s="786"/>
      <c r="V1109" s="3"/>
      <c r="W1109" s="761"/>
      <c r="X1109" s="761"/>
      <c r="Y1109" s="761"/>
      <c r="Z1109" s="761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</row>
    <row r="1110" spans="1:39">
      <c r="B1110" s="747"/>
      <c r="C1110" s="879" t="s">
        <v>3439</v>
      </c>
      <c r="D1110" s="789"/>
      <c r="E1110" s="1469" t="s">
        <v>3435</v>
      </c>
      <c r="F1110" s="749"/>
      <c r="G1110" s="3" t="s">
        <v>60</v>
      </c>
      <c r="H1110" s="3"/>
      <c r="I1110" s="786">
        <v>156.63999999999999</v>
      </c>
      <c r="J1110" s="786"/>
      <c r="K1110" s="791" t="s">
        <v>2661</v>
      </c>
      <c r="L1110" s="761">
        <v>45180</v>
      </c>
      <c r="M1110" s="790"/>
      <c r="N1110" s="761"/>
      <c r="O1110" s="761"/>
      <c r="P1110" s="882">
        <v>2.85</v>
      </c>
      <c r="Q1110" s="3"/>
      <c r="R1110" s="3"/>
      <c r="S1110" s="3"/>
      <c r="T1110" s="786"/>
      <c r="U1110" s="786"/>
      <c r="V1110" s="3"/>
      <c r="W1110" s="761"/>
      <c r="X1110" s="761"/>
      <c r="Y1110" s="761"/>
      <c r="Z1110" s="761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</row>
    <row r="1111" spans="1:39" s="707" customFormat="1">
      <c r="A1111"/>
      <c r="B1111" s="805" t="s">
        <v>13</v>
      </c>
      <c r="C1111" s="9" t="s">
        <v>1899</v>
      </c>
      <c r="D1111" s="855"/>
      <c r="E1111" s="807"/>
      <c r="F1111" s="808"/>
      <c r="G1111" s="807"/>
      <c r="H1111" s="807"/>
      <c r="I1111" s="820"/>
      <c r="J1111" s="820"/>
      <c r="K1111" s="807"/>
      <c r="L1111" s="819"/>
      <c r="M1111" s="818"/>
      <c r="N1111" s="819"/>
      <c r="O1111" s="819"/>
      <c r="P1111" s="884"/>
      <c r="Q1111" s="807"/>
      <c r="R1111" s="807"/>
      <c r="S1111" s="807"/>
      <c r="T1111" s="820"/>
      <c r="U1111" s="820"/>
      <c r="V1111" s="807"/>
      <c r="W1111" s="819"/>
      <c r="X1111" s="819"/>
      <c r="Y1111" s="819"/>
      <c r="Z1111" s="819"/>
      <c r="AA1111" s="710"/>
      <c r="AB1111" s="710"/>
      <c r="AC1111" s="710"/>
      <c r="AD1111" s="710"/>
      <c r="AE1111" s="710"/>
      <c r="AF1111" s="710"/>
      <c r="AG1111" s="710"/>
      <c r="AH1111" s="710"/>
      <c r="AI1111" s="710"/>
      <c r="AJ1111" s="710"/>
      <c r="AK1111" s="710"/>
      <c r="AL1111" s="710"/>
      <c r="AM1111" s="710"/>
    </row>
    <row r="1112" spans="1:39">
      <c r="B1112" s="747">
        <v>11</v>
      </c>
      <c r="C1112" s="868" t="s">
        <v>896</v>
      </c>
      <c r="D1112" s="789">
        <v>200103655</v>
      </c>
      <c r="E1112" s="3">
        <v>100723</v>
      </c>
      <c r="F1112" s="749">
        <v>1</v>
      </c>
      <c r="G1112" s="3" t="s">
        <v>60</v>
      </c>
      <c r="H1112" s="3" t="s">
        <v>60</v>
      </c>
      <c r="I1112" s="786">
        <v>148.94</v>
      </c>
      <c r="J1112" s="3">
        <v>259.95</v>
      </c>
      <c r="K1112" s="3" t="s">
        <v>2716</v>
      </c>
      <c r="L1112" s="761">
        <v>45215</v>
      </c>
      <c r="M1112" s="3" t="s">
        <v>2716</v>
      </c>
      <c r="N1112" s="761">
        <v>45215</v>
      </c>
      <c r="O1112" s="761" t="s">
        <v>62</v>
      </c>
      <c r="P1112" s="3">
        <v>2.1</v>
      </c>
      <c r="Q1112" s="784" t="s">
        <v>3440</v>
      </c>
      <c r="R1112" s="3" t="s">
        <v>130</v>
      </c>
      <c r="S1112" s="3" t="s">
        <v>130</v>
      </c>
      <c r="T1112" s="3">
        <v>320.7</v>
      </c>
      <c r="U1112" s="786">
        <v>273.10000000000002</v>
      </c>
      <c r="V1112" s="3" t="s">
        <v>2698</v>
      </c>
      <c r="W1112" s="761">
        <v>45216</v>
      </c>
      <c r="X1112" s="761" t="s">
        <v>2698</v>
      </c>
      <c r="Y1112" s="761">
        <v>45217</v>
      </c>
      <c r="Z1112" s="761" t="s">
        <v>62</v>
      </c>
      <c r="AA1112" s="882">
        <v>3.19</v>
      </c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</row>
    <row r="1113" spans="1:39">
      <c r="B1113" s="747"/>
      <c r="C1113" s="879" t="s">
        <v>900</v>
      </c>
      <c r="D1113" s="789"/>
      <c r="E1113" s="3">
        <v>100723</v>
      </c>
      <c r="F1113" s="749"/>
      <c r="G1113" s="3" t="s">
        <v>60</v>
      </c>
      <c r="H1113" s="3"/>
      <c r="I1113" s="786">
        <v>155.25</v>
      </c>
      <c r="J1113" s="786"/>
      <c r="K1113" s="3" t="s">
        <v>2716</v>
      </c>
      <c r="L1113" s="761">
        <v>45215</v>
      </c>
      <c r="M1113" s="790"/>
      <c r="N1113" s="761"/>
      <c r="O1113" s="761"/>
      <c r="P1113" s="882">
        <v>2.78</v>
      </c>
      <c r="Q1113" s="3"/>
      <c r="R1113" s="3"/>
      <c r="S1113" s="3"/>
      <c r="T1113" s="786"/>
      <c r="U1113" s="786"/>
      <c r="V1113" s="3"/>
      <c r="W1113" s="761"/>
      <c r="X1113" s="761"/>
      <c r="Y1113" s="761"/>
      <c r="Z1113" s="761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</row>
    <row r="1114" spans="1:39" s="707" customFormat="1">
      <c r="A1114"/>
      <c r="B1114" s="805" t="s">
        <v>13</v>
      </c>
      <c r="C1114" s="9" t="s">
        <v>1756</v>
      </c>
      <c r="D1114" s="855"/>
      <c r="E1114" s="807"/>
      <c r="F1114" s="808"/>
      <c r="G1114" s="807"/>
      <c r="H1114" s="807"/>
      <c r="I1114" s="820"/>
      <c r="J1114" s="820"/>
      <c r="K1114" s="807"/>
      <c r="L1114" s="819"/>
      <c r="M1114" s="818"/>
      <c r="N1114" s="819"/>
      <c r="O1114" s="819"/>
      <c r="P1114" s="884"/>
      <c r="Q1114" s="807"/>
      <c r="R1114" s="807"/>
      <c r="S1114" s="807"/>
      <c r="T1114" s="820"/>
      <c r="U1114" s="820"/>
      <c r="V1114" s="807"/>
      <c r="W1114" s="819"/>
      <c r="X1114" s="819"/>
      <c r="Y1114" s="819"/>
      <c r="Z1114" s="819"/>
      <c r="AA1114" s="710"/>
      <c r="AB1114" s="710"/>
      <c r="AC1114" s="710"/>
      <c r="AD1114" s="710"/>
      <c r="AE1114" s="710"/>
      <c r="AF1114" s="710"/>
      <c r="AG1114" s="710"/>
      <c r="AH1114" s="710"/>
      <c r="AI1114" s="710"/>
      <c r="AJ1114" s="710"/>
      <c r="AK1114" s="710"/>
      <c r="AL1114" s="710"/>
      <c r="AM1114" s="710"/>
    </row>
    <row r="1115" spans="1:39">
      <c r="B1115" s="747">
        <v>11</v>
      </c>
      <c r="C1115" s="868" t="s">
        <v>896</v>
      </c>
      <c r="D1115" s="789">
        <v>200103862</v>
      </c>
      <c r="E1115" s="3">
        <v>110153</v>
      </c>
      <c r="F1115" s="749">
        <v>2</v>
      </c>
      <c r="G1115" s="3" t="s">
        <v>60</v>
      </c>
      <c r="H1115" s="3" t="s">
        <v>60</v>
      </c>
      <c r="I1115" s="786">
        <v>150.38</v>
      </c>
      <c r="J1115" s="786">
        <v>261.38</v>
      </c>
      <c r="K1115" s="3" t="s">
        <v>2716</v>
      </c>
      <c r="L1115" s="761">
        <v>45215</v>
      </c>
      <c r="M1115" s="3" t="s">
        <v>2716</v>
      </c>
      <c r="N1115" s="761">
        <v>45215</v>
      </c>
      <c r="O1115" s="761" t="s">
        <v>62</v>
      </c>
      <c r="P1115" s="3">
        <v>2.0499999999999998</v>
      </c>
      <c r="Q1115" s="784" t="s">
        <v>3441</v>
      </c>
      <c r="R1115" s="3" t="s">
        <v>130</v>
      </c>
      <c r="S1115" s="3" t="s">
        <v>130</v>
      </c>
      <c r="T1115" s="786">
        <v>322.3</v>
      </c>
      <c r="U1115" s="786">
        <v>274.60000000000002</v>
      </c>
      <c r="V1115" s="3" t="s">
        <v>2698</v>
      </c>
      <c r="W1115" s="761">
        <v>45216</v>
      </c>
      <c r="X1115" s="761" t="s">
        <v>2698</v>
      </c>
      <c r="Y1115" s="761">
        <v>45217</v>
      </c>
      <c r="Z1115" s="761" t="s">
        <v>62</v>
      </c>
      <c r="AA1115" s="882">
        <v>2.84</v>
      </c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</row>
    <row r="1116" spans="1:39">
      <c r="B1116" s="747"/>
      <c r="C1116" s="879" t="s">
        <v>900</v>
      </c>
      <c r="D1116" s="789"/>
      <c r="E1116" s="3">
        <v>110153</v>
      </c>
      <c r="F1116" s="749"/>
      <c r="G1116" s="3" t="s">
        <v>60</v>
      </c>
      <c r="H1116" s="3"/>
      <c r="I1116" s="786">
        <v>154.9</v>
      </c>
      <c r="J1116" s="786"/>
      <c r="K1116" s="3" t="s">
        <v>2716</v>
      </c>
      <c r="L1116" s="761">
        <v>45215</v>
      </c>
      <c r="M1116" s="790"/>
      <c r="N1116" s="761"/>
      <c r="O1116" s="761" t="s">
        <v>62</v>
      </c>
      <c r="P1116" s="882">
        <v>2.66</v>
      </c>
      <c r="Q1116" s="3" t="s">
        <v>3442</v>
      </c>
      <c r="R1116" s="3"/>
      <c r="S1116" s="3"/>
      <c r="T1116" s="786"/>
      <c r="U1116" s="786"/>
      <c r="V1116" s="3"/>
      <c r="W1116" s="761"/>
      <c r="X1116" s="761"/>
      <c r="Y1116" s="761"/>
      <c r="Z1116" s="761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</row>
    <row r="1117" spans="1:39" s="707" customFormat="1">
      <c r="A1117"/>
      <c r="B1117" s="805" t="s">
        <v>13</v>
      </c>
      <c r="C1117" s="9" t="s">
        <v>1710</v>
      </c>
      <c r="D1117" s="855"/>
      <c r="E1117" s="807"/>
      <c r="F1117" s="808"/>
      <c r="G1117" s="807"/>
      <c r="H1117" s="807"/>
      <c r="I1117" s="820"/>
      <c r="J1117" s="820"/>
      <c r="K1117" s="807"/>
      <c r="L1117" s="819"/>
      <c r="M1117" s="818"/>
      <c r="N1117" s="819"/>
      <c r="O1117" s="819"/>
      <c r="P1117" s="884"/>
      <c r="Q1117" s="807"/>
      <c r="R1117" s="807"/>
      <c r="S1117" s="807"/>
      <c r="T1117" s="820"/>
      <c r="U1117" s="820"/>
      <c r="V1117" s="807"/>
      <c r="W1117" s="819"/>
      <c r="X1117" s="819"/>
      <c r="Y1117" s="819"/>
      <c r="Z1117" s="819"/>
      <c r="AA1117" s="710"/>
      <c r="AB1117" s="710"/>
      <c r="AC1117" s="710"/>
      <c r="AD1117" s="710"/>
      <c r="AE1117" s="710"/>
      <c r="AF1117" s="710"/>
      <c r="AG1117" s="710"/>
      <c r="AH1117" s="710"/>
      <c r="AI1117" s="710"/>
      <c r="AJ1117" s="710"/>
      <c r="AK1117" s="710"/>
      <c r="AL1117" s="710"/>
      <c r="AM1117" s="710"/>
    </row>
    <row r="1118" spans="1:39">
      <c r="B1118" s="747">
        <v>12</v>
      </c>
      <c r="C1118" s="868" t="s">
        <v>896</v>
      </c>
      <c r="D1118" s="789">
        <v>200104206</v>
      </c>
      <c r="E1118" s="3">
        <v>120143</v>
      </c>
      <c r="F1118" s="749">
        <v>1</v>
      </c>
      <c r="G1118" s="3" t="s">
        <v>60</v>
      </c>
      <c r="H1118" s="3" t="s">
        <v>60</v>
      </c>
      <c r="I1118" s="3">
        <v>148.47999999999999</v>
      </c>
      <c r="J1118" s="762">
        <v>259.81</v>
      </c>
      <c r="K1118" s="3" t="s">
        <v>2067</v>
      </c>
      <c r="L1118" s="761">
        <v>45274</v>
      </c>
      <c r="M1118" s="789" t="s">
        <v>1710</v>
      </c>
      <c r="N1118" s="761">
        <v>45275</v>
      </c>
      <c r="O1118" s="761" t="s">
        <v>62</v>
      </c>
      <c r="P1118" s="3">
        <v>1.87</v>
      </c>
      <c r="Q1118" s="3" t="s">
        <v>3442</v>
      </c>
      <c r="R1118" s="3" t="s">
        <v>130</v>
      </c>
      <c r="S1118" s="3" t="s">
        <v>130</v>
      </c>
      <c r="T1118" s="762">
        <v>317.3</v>
      </c>
      <c r="U1118" s="762">
        <v>273.10000000000002</v>
      </c>
      <c r="V1118" s="3" t="s">
        <v>2067</v>
      </c>
      <c r="W1118" s="761">
        <v>45278</v>
      </c>
      <c r="X1118" s="3" t="s">
        <v>2067</v>
      </c>
      <c r="Y1118" s="761">
        <v>45278</v>
      </c>
      <c r="Z1118" s="761" t="s">
        <v>62</v>
      </c>
      <c r="AA1118" s="882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</row>
    <row r="1119" spans="1:39">
      <c r="B1119" s="747">
        <v>12</v>
      </c>
      <c r="C1119" s="868" t="s">
        <v>896</v>
      </c>
      <c r="D1119" s="789">
        <v>200104207</v>
      </c>
      <c r="E1119" s="3">
        <v>120153</v>
      </c>
      <c r="F1119" s="749">
        <v>2</v>
      </c>
      <c r="G1119" s="3" t="s">
        <v>60</v>
      </c>
      <c r="H1119" s="3" t="s">
        <v>60</v>
      </c>
      <c r="I1119" s="3">
        <v>150.19</v>
      </c>
      <c r="J1119" s="889">
        <v>264.45</v>
      </c>
      <c r="K1119" s="3" t="s">
        <v>2067</v>
      </c>
      <c r="L1119" s="761">
        <v>45274</v>
      </c>
      <c r="M1119" s="789" t="s">
        <v>1710</v>
      </c>
      <c r="N1119" s="761">
        <v>45275</v>
      </c>
      <c r="O1119" s="761" t="s">
        <v>62</v>
      </c>
      <c r="P1119" s="3">
        <v>2.16</v>
      </c>
      <c r="Q1119" s="3" t="s">
        <v>3443</v>
      </c>
      <c r="R1119" s="3" t="s">
        <v>130</v>
      </c>
      <c r="S1119" s="3" t="s">
        <v>130</v>
      </c>
      <c r="T1119" s="762">
        <v>320.5</v>
      </c>
      <c r="U1119" s="762">
        <v>277.7</v>
      </c>
      <c r="V1119" s="3" t="s">
        <v>2067</v>
      </c>
      <c r="W1119" s="761">
        <v>45278</v>
      </c>
      <c r="X1119" s="3" t="s">
        <v>2067</v>
      </c>
      <c r="Y1119" s="761">
        <v>45278</v>
      </c>
      <c r="Z1119" s="761" t="s">
        <v>62</v>
      </c>
      <c r="AA1119" s="882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</row>
    <row r="1120" spans="1:39">
      <c r="B1120" s="747"/>
      <c r="C1120" s="879" t="s">
        <v>900</v>
      </c>
      <c r="D1120" s="789"/>
      <c r="E1120" s="3"/>
      <c r="F1120" s="749"/>
      <c r="G1120" s="3" t="s">
        <v>60</v>
      </c>
      <c r="H1120" s="3"/>
      <c r="I1120" s="762">
        <v>152.37</v>
      </c>
      <c r="J1120" s="889"/>
      <c r="K1120" s="3" t="s">
        <v>2067</v>
      </c>
      <c r="L1120" s="761">
        <v>45274</v>
      </c>
      <c r="M1120" s="789" t="s">
        <v>1710</v>
      </c>
      <c r="N1120" s="761">
        <v>45275</v>
      </c>
      <c r="O1120" s="761" t="s">
        <v>62</v>
      </c>
      <c r="P1120" s="764">
        <v>2.98</v>
      </c>
      <c r="Q1120" s="4"/>
      <c r="R1120" s="3"/>
      <c r="S1120" s="3"/>
      <c r="T1120" s="786"/>
      <c r="U1120" s="786"/>
      <c r="V1120" s="3"/>
      <c r="W1120" s="761"/>
      <c r="X1120" s="761"/>
      <c r="Y1120" s="761"/>
      <c r="Z1120" s="761"/>
      <c r="AA1120" s="882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</row>
    <row r="1121" spans="1:39">
      <c r="B1121" s="747"/>
      <c r="C1121" s="879" t="s">
        <v>900</v>
      </c>
      <c r="D1121" s="789"/>
      <c r="E1121" s="3"/>
      <c r="F1121" s="749"/>
      <c r="G1121" s="3" t="s">
        <v>60</v>
      </c>
      <c r="H1121" s="3"/>
      <c r="I1121" s="762">
        <v>153.05000000000001</v>
      </c>
      <c r="J1121" s="889"/>
      <c r="K1121" s="3" t="s">
        <v>2067</v>
      </c>
      <c r="L1121" s="761">
        <v>45274</v>
      </c>
      <c r="M1121" s="789" t="s">
        <v>1710</v>
      </c>
      <c r="N1121" s="761">
        <v>45275</v>
      </c>
      <c r="O1121" s="761" t="s">
        <v>62</v>
      </c>
      <c r="P1121" s="764">
        <v>2.9</v>
      </c>
      <c r="Q1121" s="4"/>
      <c r="R1121" s="3"/>
      <c r="S1121" s="3"/>
      <c r="T1121" s="786"/>
      <c r="U1121" s="786"/>
      <c r="V1121" s="3"/>
      <c r="W1121" s="761"/>
      <c r="X1121" s="761" t="s">
        <v>1622</v>
      </c>
      <c r="Y1121" s="761"/>
      <c r="Z1121" s="761"/>
      <c r="AA1121" s="882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</row>
    <row r="1122" spans="1:39" s="707" customFormat="1" ht="19.05" customHeight="1">
      <c r="A1122"/>
      <c r="B1122" s="805" t="s">
        <v>13</v>
      </c>
      <c r="C1122" s="888" t="s">
        <v>3313</v>
      </c>
      <c r="D1122" s="855"/>
      <c r="E1122" s="874"/>
      <c r="F1122" s="808"/>
      <c r="G1122" s="807"/>
      <c r="H1122" s="807"/>
      <c r="I1122" s="807"/>
      <c r="J1122" s="807"/>
      <c r="K1122" s="807"/>
      <c r="L1122" s="819"/>
      <c r="M1122" s="818"/>
      <c r="N1122" s="819"/>
      <c r="O1122" s="819"/>
      <c r="P1122" s="820"/>
      <c r="Q1122" s="807"/>
      <c r="R1122" s="807"/>
      <c r="S1122" s="807"/>
      <c r="T1122" s="807"/>
      <c r="U1122" s="807"/>
      <c r="V1122" s="807"/>
      <c r="W1122" s="819"/>
      <c r="X1122" s="819"/>
      <c r="Y1122" s="819"/>
      <c r="Z1122" s="819"/>
      <c r="AA1122" s="710"/>
      <c r="AB1122" s="710"/>
      <c r="AC1122" s="710"/>
      <c r="AD1122" s="710"/>
      <c r="AE1122" s="710"/>
      <c r="AF1122" s="710"/>
      <c r="AG1122" s="710"/>
      <c r="AH1122" s="710"/>
      <c r="AI1122" s="710"/>
      <c r="AJ1122" s="710"/>
      <c r="AK1122" s="710"/>
      <c r="AL1122" s="710"/>
      <c r="AM1122" s="710"/>
    </row>
    <row r="1123" spans="1:39">
      <c r="B1123" s="747">
        <v>1</v>
      </c>
      <c r="C1123" s="868" t="s">
        <v>896</v>
      </c>
      <c r="D1123" s="789">
        <v>200104493</v>
      </c>
      <c r="E1123" s="1469" t="s">
        <v>867</v>
      </c>
      <c r="F1123" s="749">
        <v>1</v>
      </c>
      <c r="G1123" s="3" t="s">
        <v>60</v>
      </c>
      <c r="H1123" s="3" t="s">
        <v>60</v>
      </c>
      <c r="I1123" s="762">
        <v>147.41</v>
      </c>
      <c r="J1123" s="889">
        <v>260.02999999999997</v>
      </c>
      <c r="K1123" s="3" t="s">
        <v>1710</v>
      </c>
      <c r="L1123" s="890">
        <v>45278</v>
      </c>
      <c r="M1123" s="891" t="s">
        <v>1710</v>
      </c>
      <c r="N1123" s="890">
        <v>45275</v>
      </c>
      <c r="O1123" s="761" t="s">
        <v>62</v>
      </c>
      <c r="P1123" s="764">
        <v>2.0699999999999998</v>
      </c>
      <c r="Q1123" s="3" t="s">
        <v>868</v>
      </c>
      <c r="R1123" s="3" t="s">
        <v>130</v>
      </c>
      <c r="S1123" s="3" t="s">
        <v>130</v>
      </c>
      <c r="T1123" s="786">
        <v>317.5</v>
      </c>
      <c r="U1123" s="762">
        <v>273.39999999999998</v>
      </c>
      <c r="V1123" s="3" t="s">
        <v>2067</v>
      </c>
      <c r="W1123" s="892">
        <v>45278</v>
      </c>
      <c r="X1123" s="892" t="s">
        <v>2067</v>
      </c>
      <c r="Y1123" s="892">
        <v>45279</v>
      </c>
      <c r="Z1123" s="761" t="s">
        <v>62</v>
      </c>
      <c r="AA1123" s="882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</row>
    <row r="1124" spans="1:39">
      <c r="B1124" s="747">
        <v>1</v>
      </c>
      <c r="C1124" s="868" t="s">
        <v>896</v>
      </c>
      <c r="D1124" s="789">
        <v>200104494</v>
      </c>
      <c r="E1124" s="1469" t="s">
        <v>870</v>
      </c>
      <c r="F1124" s="749">
        <v>2</v>
      </c>
      <c r="G1124" s="3" t="s">
        <v>60</v>
      </c>
      <c r="H1124" s="3" t="s">
        <v>60</v>
      </c>
      <c r="I1124" s="762">
        <v>148.75</v>
      </c>
      <c r="J1124" s="889">
        <v>264.69</v>
      </c>
      <c r="K1124" s="3" t="s">
        <v>1710</v>
      </c>
      <c r="L1124" s="890">
        <v>45279</v>
      </c>
      <c r="M1124" s="891" t="s">
        <v>1710</v>
      </c>
      <c r="N1124" s="890">
        <v>45275</v>
      </c>
      <c r="O1124" s="761" t="s">
        <v>62</v>
      </c>
      <c r="P1124" s="764">
        <v>2.15</v>
      </c>
      <c r="Q1124" s="3" t="s">
        <v>871</v>
      </c>
      <c r="R1124" s="3" t="s">
        <v>130</v>
      </c>
      <c r="S1124" s="3" t="s">
        <v>130</v>
      </c>
      <c r="T1124" s="786">
        <v>320.10000000000002</v>
      </c>
      <c r="U1124" s="3">
        <v>278.10000000000002</v>
      </c>
      <c r="V1124" s="3" t="s">
        <v>2067</v>
      </c>
      <c r="W1124" s="892">
        <v>45278</v>
      </c>
      <c r="X1124" s="892" t="s">
        <v>2067</v>
      </c>
      <c r="Y1124" s="892">
        <v>45279</v>
      </c>
      <c r="Z1124" s="761" t="s">
        <v>62</v>
      </c>
      <c r="AA1124" s="882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</row>
    <row r="1125" spans="1:39">
      <c r="B1125" s="747">
        <v>1</v>
      </c>
      <c r="C1125" s="868" t="s">
        <v>896</v>
      </c>
      <c r="D1125" s="789">
        <v>200104495</v>
      </c>
      <c r="E1125" s="1469" t="s">
        <v>872</v>
      </c>
      <c r="F1125" s="749">
        <v>3</v>
      </c>
      <c r="G1125" s="3" t="s">
        <v>60</v>
      </c>
      <c r="H1125" s="3" t="s">
        <v>60</v>
      </c>
      <c r="I1125" s="762">
        <v>149.05000000000001</v>
      </c>
      <c r="J1125" s="762">
        <v>259.39999999999998</v>
      </c>
      <c r="K1125" s="3" t="s">
        <v>1710</v>
      </c>
      <c r="L1125" s="890">
        <v>45280</v>
      </c>
      <c r="M1125" s="891" t="s">
        <v>1710</v>
      </c>
      <c r="N1125" s="890">
        <v>45281</v>
      </c>
      <c r="O1125" s="761" t="s">
        <v>62</v>
      </c>
      <c r="P1125" s="764">
        <v>1.87</v>
      </c>
      <c r="Q1125" s="3" t="s">
        <v>873</v>
      </c>
      <c r="R1125" s="3" t="s">
        <v>130</v>
      </c>
      <c r="S1125" s="3" t="s">
        <v>130</v>
      </c>
      <c r="T1125" s="762">
        <v>319.8</v>
      </c>
      <c r="U1125" s="762">
        <v>272.8</v>
      </c>
      <c r="V1125" s="3" t="s">
        <v>2067</v>
      </c>
      <c r="W1125" s="892">
        <v>45281</v>
      </c>
      <c r="X1125" s="892" t="s">
        <v>2067</v>
      </c>
      <c r="Y1125" s="892">
        <v>45281</v>
      </c>
      <c r="Z1125" s="761" t="s">
        <v>62</v>
      </c>
      <c r="AA1125" s="882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</row>
    <row r="1126" spans="1:39">
      <c r="B1126" s="747"/>
      <c r="C1126" s="879" t="s">
        <v>900</v>
      </c>
      <c r="D1126" s="789"/>
      <c r="E1126" s="1469" t="s">
        <v>867</v>
      </c>
      <c r="F1126" s="749"/>
      <c r="G1126" s="3" t="s">
        <v>60</v>
      </c>
      <c r="H1126" s="3"/>
      <c r="I1126" s="762">
        <v>153.38</v>
      </c>
      <c r="J1126" s="786"/>
      <c r="K1126" s="3" t="s">
        <v>1710</v>
      </c>
      <c r="L1126" s="890">
        <v>45279</v>
      </c>
      <c r="M1126" s="891"/>
      <c r="N1126" s="890"/>
      <c r="O1126" s="761"/>
      <c r="P1126" s="764">
        <v>2.96</v>
      </c>
      <c r="Q1126" s="784"/>
      <c r="R1126" s="3"/>
      <c r="S1126" s="3"/>
      <c r="T1126" s="786"/>
      <c r="U1126" s="786"/>
      <c r="V1126" s="3"/>
      <c r="W1126" s="761"/>
      <c r="X1126" s="761"/>
      <c r="Y1126" s="761"/>
      <c r="Z1126" s="761"/>
      <c r="AA1126" s="882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</row>
    <row r="1127" spans="1:39">
      <c r="B1127" s="747"/>
      <c r="C1127" s="879" t="s">
        <v>900</v>
      </c>
      <c r="D1127" s="789"/>
      <c r="E1127" s="1469" t="s">
        <v>870</v>
      </c>
      <c r="F1127" s="749"/>
      <c r="G1127" s="3" t="s">
        <v>60</v>
      </c>
      <c r="H1127" s="3"/>
      <c r="I1127" s="762">
        <v>154.47999999999999</v>
      </c>
      <c r="J1127" s="786"/>
      <c r="K1127" s="3" t="s">
        <v>1710</v>
      </c>
      <c r="L1127" s="890">
        <v>45279</v>
      </c>
      <c r="M1127" s="891"/>
      <c r="N1127" s="890"/>
      <c r="O1127" s="761"/>
      <c r="P1127" s="764">
        <v>2.89</v>
      </c>
      <c r="Q1127" s="784"/>
      <c r="R1127" s="3"/>
      <c r="S1127" s="3"/>
      <c r="T1127" s="786"/>
      <c r="U1127" s="786"/>
      <c r="V1127" s="3"/>
      <c r="W1127" s="761"/>
      <c r="X1127" s="761"/>
      <c r="Y1127" s="761"/>
      <c r="Z1127" s="761"/>
      <c r="AA1127" s="882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</row>
    <row r="1128" spans="1:39" ht="16.05" customHeight="1">
      <c r="B1128" s="747"/>
      <c r="C1128" s="879" t="s">
        <v>900</v>
      </c>
      <c r="D1128" s="789"/>
      <c r="E1128" s="1469" t="s">
        <v>872</v>
      </c>
      <c r="F1128" s="749"/>
      <c r="G1128" s="3" t="s">
        <v>60</v>
      </c>
      <c r="H1128" s="3"/>
      <c r="I1128" s="762">
        <v>153.47</v>
      </c>
      <c r="J1128" s="786"/>
      <c r="K1128" s="3" t="s">
        <v>1710</v>
      </c>
      <c r="L1128" s="890">
        <v>45280</v>
      </c>
      <c r="M1128" s="891"/>
      <c r="N1128" s="890"/>
      <c r="O1128" s="761"/>
      <c r="P1128" s="764">
        <v>2.64</v>
      </c>
      <c r="Q1128" s="784"/>
      <c r="R1128" s="3"/>
      <c r="S1128" s="3"/>
      <c r="T1128" s="786"/>
      <c r="U1128" s="786"/>
      <c r="V1128" s="3"/>
      <c r="W1128" s="761"/>
      <c r="X1128" s="761"/>
      <c r="Y1128" s="761"/>
      <c r="Z1128" s="761"/>
      <c r="AA1128" s="882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</row>
    <row r="1129" spans="1:39" s="707" customFormat="1" ht="21" customHeight="1">
      <c r="A1129"/>
      <c r="B1129" s="805" t="s">
        <v>13</v>
      </c>
      <c r="C1129" s="888" t="s">
        <v>3315</v>
      </c>
      <c r="D1129" s="855"/>
      <c r="E1129" s="874"/>
      <c r="F1129" s="808"/>
      <c r="G1129" s="807"/>
      <c r="H1129" s="807"/>
      <c r="I1129" s="807"/>
      <c r="J1129" s="807"/>
      <c r="K1129" s="807"/>
      <c r="L1129" s="819"/>
      <c r="M1129" s="818"/>
      <c r="N1129" s="819"/>
      <c r="O1129" s="819"/>
      <c r="P1129" s="820"/>
      <c r="Q1129" s="807"/>
      <c r="R1129" s="807"/>
      <c r="S1129" s="807"/>
      <c r="T1129" s="807"/>
      <c r="U1129" s="807"/>
      <c r="V1129" s="807"/>
      <c r="W1129" s="819"/>
      <c r="X1129" s="819"/>
      <c r="Y1129" s="819"/>
      <c r="Z1129" s="819"/>
      <c r="AA1129" s="710"/>
      <c r="AB1129" s="710"/>
      <c r="AC1129" s="710"/>
      <c r="AD1129" s="710"/>
      <c r="AE1129" s="710"/>
      <c r="AF1129" s="710"/>
      <c r="AG1129" s="710"/>
      <c r="AH1129" s="710"/>
      <c r="AI1129" s="710"/>
      <c r="AJ1129" s="710"/>
      <c r="AK1129" s="710"/>
      <c r="AL1129" s="710"/>
      <c r="AM1129" s="710"/>
    </row>
    <row r="1130" spans="1:39" ht="16.05" customHeight="1">
      <c r="B1130" s="747">
        <v>2</v>
      </c>
      <c r="C1130" s="868" t="s">
        <v>896</v>
      </c>
      <c r="D1130" s="789">
        <v>200104659</v>
      </c>
      <c r="E1130" s="1469" t="s">
        <v>876</v>
      </c>
      <c r="F1130" s="749">
        <v>1</v>
      </c>
      <c r="G1130" s="3" t="s">
        <v>60</v>
      </c>
      <c r="H1130" s="3" t="s">
        <v>128</v>
      </c>
      <c r="I1130" s="3">
        <v>147.54</v>
      </c>
      <c r="J1130" s="762">
        <v>258.44</v>
      </c>
      <c r="K1130" s="3" t="s">
        <v>2125</v>
      </c>
      <c r="L1130" s="761">
        <v>45335</v>
      </c>
      <c r="M1130" s="789" t="s">
        <v>2125</v>
      </c>
      <c r="N1130" s="761">
        <v>45335</v>
      </c>
      <c r="O1130" s="761" t="s">
        <v>62</v>
      </c>
      <c r="P1130" s="3">
        <v>1.99</v>
      </c>
      <c r="Q1130" s="3" t="s">
        <v>3444</v>
      </c>
      <c r="R1130" s="3" t="s">
        <v>130</v>
      </c>
      <c r="S1130" s="3" t="s">
        <v>130</v>
      </c>
      <c r="T1130" s="762">
        <v>317.2</v>
      </c>
      <c r="U1130" s="762">
        <v>273.5</v>
      </c>
      <c r="V1130" s="3" t="s">
        <v>2125</v>
      </c>
      <c r="W1130" s="892">
        <v>45335</v>
      </c>
      <c r="X1130" s="892" t="s">
        <v>2125</v>
      </c>
      <c r="Y1130" s="892">
        <v>45335</v>
      </c>
      <c r="Z1130" s="761" t="s">
        <v>62</v>
      </c>
      <c r="AA1130" s="882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</row>
    <row r="1131" spans="1:39" ht="16.05" customHeight="1">
      <c r="B1131" s="747">
        <v>2</v>
      </c>
      <c r="C1131" s="868" t="s">
        <v>896</v>
      </c>
      <c r="D1131" s="789">
        <v>200105020</v>
      </c>
      <c r="E1131" s="1469" t="s">
        <v>877</v>
      </c>
      <c r="F1131" s="749">
        <v>2</v>
      </c>
      <c r="G1131" s="3" t="s">
        <v>60</v>
      </c>
      <c r="H1131" s="3" t="s">
        <v>128</v>
      </c>
      <c r="I1131" s="3">
        <v>147.78</v>
      </c>
      <c r="J1131" s="762">
        <v>261.97000000000003</v>
      </c>
      <c r="K1131" s="3" t="s">
        <v>2125</v>
      </c>
      <c r="L1131" s="761">
        <v>45335</v>
      </c>
      <c r="M1131" s="789" t="s">
        <v>2125</v>
      </c>
      <c r="N1131" s="761">
        <v>45335</v>
      </c>
      <c r="O1131" s="761" t="s">
        <v>62</v>
      </c>
      <c r="P1131" s="762">
        <v>2.1</v>
      </c>
      <c r="Q1131" s="3" t="s">
        <v>3445</v>
      </c>
      <c r="R1131" s="3" t="s">
        <v>130</v>
      </c>
      <c r="S1131" s="3" t="s">
        <v>130</v>
      </c>
      <c r="T1131" s="762">
        <v>318.3</v>
      </c>
      <c r="U1131" s="762">
        <v>276.39999999999998</v>
      </c>
      <c r="V1131" s="3" t="s">
        <v>2125</v>
      </c>
      <c r="W1131" s="892">
        <v>45335</v>
      </c>
      <c r="X1131" s="892" t="s">
        <v>2125</v>
      </c>
      <c r="Y1131" s="892">
        <v>45335</v>
      </c>
      <c r="Z1131" s="761" t="s">
        <v>62</v>
      </c>
      <c r="AA1131" s="882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</row>
    <row r="1132" spans="1:39" ht="16.05" customHeight="1">
      <c r="B1132" s="747"/>
      <c r="C1132" s="879" t="s">
        <v>900</v>
      </c>
      <c r="D1132" s="789"/>
      <c r="E1132" s="3"/>
      <c r="F1132" s="749"/>
      <c r="G1132" s="3" t="s">
        <v>60</v>
      </c>
      <c r="H1132" s="3"/>
      <c r="I1132" s="762">
        <v>153.69999999999999</v>
      </c>
      <c r="J1132" s="786"/>
      <c r="K1132" s="3" t="s">
        <v>2125</v>
      </c>
      <c r="L1132" s="761">
        <v>45335</v>
      </c>
      <c r="M1132" s="789"/>
      <c r="N1132" s="761"/>
      <c r="O1132" s="761"/>
      <c r="P1132" s="764">
        <v>3</v>
      </c>
      <c r="Q1132" s="3"/>
      <c r="R1132" s="3"/>
      <c r="S1132" s="3"/>
      <c r="T1132" s="786"/>
      <c r="U1132" s="786"/>
      <c r="V1132" s="3"/>
      <c r="W1132" s="761"/>
      <c r="X1132" s="761"/>
      <c r="Y1132" s="761"/>
      <c r="Z1132" s="761"/>
      <c r="AA1132" s="882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</row>
    <row r="1133" spans="1:39" ht="16.05" customHeight="1">
      <c r="B1133" s="747"/>
      <c r="C1133" s="879" t="s">
        <v>900</v>
      </c>
      <c r="D1133" s="789"/>
      <c r="E1133" s="3"/>
      <c r="F1133" s="749"/>
      <c r="G1133" s="3" t="s">
        <v>60</v>
      </c>
      <c r="H1133" s="3"/>
      <c r="I1133" s="762">
        <v>153.76</v>
      </c>
      <c r="J1133" s="786"/>
      <c r="K1133" s="3" t="s">
        <v>2125</v>
      </c>
      <c r="L1133" s="761">
        <v>45335</v>
      </c>
      <c r="M1133" s="789"/>
      <c r="N1133" s="761"/>
      <c r="O1133" s="761"/>
      <c r="P1133" s="764">
        <v>2.87</v>
      </c>
      <c r="Q1133" s="784"/>
      <c r="R1133" s="3"/>
      <c r="S1133" s="3"/>
      <c r="T1133" s="786"/>
      <c r="U1133" s="786"/>
      <c r="V1133" s="3"/>
      <c r="W1133" s="761"/>
      <c r="X1133" s="761"/>
      <c r="Y1133" s="761"/>
      <c r="Z1133" s="761"/>
      <c r="AA1133" s="882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</row>
    <row r="1134" spans="1:39" s="707" customFormat="1" ht="21" customHeight="1">
      <c r="A1134"/>
      <c r="B1134" s="805" t="s">
        <v>13</v>
      </c>
      <c r="C1134" s="9" t="s">
        <v>3446</v>
      </c>
      <c r="D1134" s="855"/>
      <c r="E1134" s="874"/>
      <c r="F1134" s="808"/>
      <c r="G1134" s="807"/>
      <c r="H1134" s="807"/>
      <c r="I1134" s="807"/>
      <c r="J1134" s="807"/>
      <c r="K1134" s="807"/>
      <c r="L1134" s="819"/>
      <c r="M1134" s="818"/>
      <c r="N1134" s="819"/>
      <c r="O1134" s="819"/>
      <c r="P1134" s="820"/>
      <c r="Q1134" s="807"/>
      <c r="R1134" s="807"/>
      <c r="S1134" s="807"/>
      <c r="T1134" s="807"/>
      <c r="U1134" s="807"/>
      <c r="V1134" s="807"/>
      <c r="W1134" s="819"/>
      <c r="X1134" s="819"/>
      <c r="Y1134" s="819"/>
      <c r="Z1134" s="819"/>
      <c r="AA1134" s="710"/>
      <c r="AB1134" s="710"/>
      <c r="AC1134" s="710"/>
      <c r="AD1134" s="710"/>
      <c r="AE1134" s="710"/>
      <c r="AF1134" s="710"/>
      <c r="AG1134" s="710"/>
      <c r="AH1134" s="710"/>
      <c r="AI1134" s="710"/>
      <c r="AJ1134" s="710"/>
      <c r="AK1134" s="710"/>
      <c r="AL1134" s="710"/>
      <c r="AM1134" s="710"/>
    </row>
    <row r="1135" spans="1:39" ht="16.05" customHeight="1">
      <c r="B1135" s="747">
        <v>3</v>
      </c>
      <c r="C1135" s="868" t="s">
        <v>896</v>
      </c>
      <c r="D1135" s="789">
        <v>200105021</v>
      </c>
      <c r="E1135" s="1469" t="s">
        <v>878</v>
      </c>
      <c r="F1135" s="749">
        <v>1</v>
      </c>
      <c r="G1135" s="3" t="s">
        <v>128</v>
      </c>
      <c r="H1135" s="3" t="s">
        <v>60</v>
      </c>
      <c r="I1135" s="786">
        <v>147.68</v>
      </c>
      <c r="J1135" s="786">
        <v>260.10000000000002</v>
      </c>
      <c r="K1135" s="3" t="s">
        <v>1716</v>
      </c>
      <c r="L1135" s="890">
        <v>45359</v>
      </c>
      <c r="M1135" s="890" t="s">
        <v>1716</v>
      </c>
      <c r="N1135" s="890">
        <v>45359</v>
      </c>
      <c r="O1135" s="761" t="s">
        <v>62</v>
      </c>
      <c r="P1135" s="786">
        <v>2.17</v>
      </c>
      <c r="Q1135" s="3" t="s">
        <v>879</v>
      </c>
      <c r="R1135" s="3" t="s">
        <v>130</v>
      </c>
      <c r="S1135" s="3" t="s">
        <v>130</v>
      </c>
      <c r="T1135" s="762">
        <v>317.5</v>
      </c>
      <c r="U1135" s="762">
        <v>273.89999999999998</v>
      </c>
      <c r="V1135" s="3" t="s">
        <v>1716</v>
      </c>
      <c r="W1135" s="892">
        <v>45363</v>
      </c>
      <c r="X1135" s="892" t="s">
        <v>1716</v>
      </c>
      <c r="Y1135" s="892">
        <v>45359</v>
      </c>
      <c r="Z1135" s="761" t="s">
        <v>62</v>
      </c>
      <c r="AA1135" s="882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</row>
    <row r="1136" spans="1:39" ht="16.05" customHeight="1">
      <c r="B1136" s="747">
        <v>3</v>
      </c>
      <c r="C1136" s="868" t="s">
        <v>896</v>
      </c>
      <c r="D1136" s="789">
        <v>200105035</v>
      </c>
      <c r="E1136" s="1469" t="s">
        <v>880</v>
      </c>
      <c r="F1136" s="749">
        <v>2</v>
      </c>
      <c r="G1136" s="3" t="s">
        <v>128</v>
      </c>
      <c r="H1136" s="3" t="s">
        <v>60</v>
      </c>
      <c r="I1136" s="786">
        <v>148.22999999999999</v>
      </c>
      <c r="J1136" s="786">
        <v>259.39</v>
      </c>
      <c r="K1136" s="3" t="s">
        <v>1716</v>
      </c>
      <c r="L1136" s="890">
        <v>45359</v>
      </c>
      <c r="M1136" s="890" t="s">
        <v>1716</v>
      </c>
      <c r="N1136" s="890">
        <v>45359</v>
      </c>
      <c r="O1136" s="761" t="s">
        <v>62</v>
      </c>
      <c r="P1136" s="786">
        <v>3.04</v>
      </c>
      <c r="Q1136" s="3" t="s">
        <v>881</v>
      </c>
      <c r="R1136" s="3" t="s">
        <v>130</v>
      </c>
      <c r="S1136" s="3" t="s">
        <v>130</v>
      </c>
      <c r="T1136" s="762">
        <v>317.8</v>
      </c>
      <c r="U1136" s="762">
        <v>273.2</v>
      </c>
      <c r="V1136" s="3" t="s">
        <v>1716</v>
      </c>
      <c r="W1136" s="892">
        <v>45363</v>
      </c>
      <c r="X1136" s="892" t="s">
        <v>1716</v>
      </c>
      <c r="Y1136" s="892">
        <v>45359</v>
      </c>
      <c r="Z1136" s="761" t="s">
        <v>62</v>
      </c>
      <c r="AA1136" s="882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</row>
    <row r="1137" spans="1:39" ht="16.05" customHeight="1">
      <c r="B1137" s="747">
        <v>3</v>
      </c>
      <c r="C1137" s="868" t="s">
        <v>896</v>
      </c>
      <c r="D1137" s="789">
        <v>200105172</v>
      </c>
      <c r="E1137" s="1469" t="s">
        <v>882</v>
      </c>
      <c r="F1137" s="749">
        <v>3</v>
      </c>
      <c r="G1137" s="3" t="s">
        <v>128</v>
      </c>
      <c r="H1137" s="3" t="s">
        <v>60</v>
      </c>
      <c r="I1137" s="786">
        <v>148.72</v>
      </c>
      <c r="J1137" s="786">
        <v>262.85000000000002</v>
      </c>
      <c r="K1137" s="3" t="s">
        <v>1716</v>
      </c>
      <c r="L1137" s="890">
        <v>45359</v>
      </c>
      <c r="M1137" s="890" t="s">
        <v>1716</v>
      </c>
      <c r="N1137" s="890">
        <v>45359</v>
      </c>
      <c r="O1137" s="761" t="s">
        <v>62</v>
      </c>
      <c r="P1137" s="786">
        <v>1.92</v>
      </c>
      <c r="Q1137" s="3" t="s">
        <v>883</v>
      </c>
      <c r="R1137" s="3" t="s">
        <v>130</v>
      </c>
      <c r="S1137" s="3" t="s">
        <v>130</v>
      </c>
      <c r="T1137" s="762">
        <v>320.89999999999998</v>
      </c>
      <c r="U1137" s="762">
        <v>276.60000000000002</v>
      </c>
      <c r="V1137" s="3" t="s">
        <v>1716</v>
      </c>
      <c r="W1137" s="892">
        <v>45363</v>
      </c>
      <c r="X1137" s="892" t="s">
        <v>1716</v>
      </c>
      <c r="Y1137" s="892">
        <v>45359</v>
      </c>
      <c r="Z1137" s="761" t="s">
        <v>62</v>
      </c>
      <c r="AA1137" s="882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</row>
    <row r="1138" spans="1:39" ht="16.05" customHeight="1">
      <c r="B1138" s="747">
        <v>3</v>
      </c>
      <c r="C1138" s="868" t="s">
        <v>896</v>
      </c>
      <c r="D1138" s="789">
        <v>200105252</v>
      </c>
      <c r="E1138" s="1469" t="s">
        <v>884</v>
      </c>
      <c r="F1138" s="749">
        <v>4</v>
      </c>
      <c r="G1138" s="3" t="s">
        <v>128</v>
      </c>
      <c r="H1138" s="3" t="s">
        <v>60</v>
      </c>
      <c r="I1138" s="786">
        <v>151.05000000000001</v>
      </c>
      <c r="J1138" s="762">
        <v>260.89999999999998</v>
      </c>
      <c r="K1138" s="3" t="s">
        <v>1716</v>
      </c>
      <c r="L1138" s="890">
        <v>45359</v>
      </c>
      <c r="M1138" s="891" t="s">
        <v>1716</v>
      </c>
      <c r="N1138" s="890">
        <v>45364</v>
      </c>
      <c r="O1138" s="761" t="s">
        <v>62</v>
      </c>
      <c r="P1138" s="786">
        <v>2.17</v>
      </c>
      <c r="Q1138" s="3" t="s">
        <v>885</v>
      </c>
      <c r="R1138" s="3" t="s">
        <v>130</v>
      </c>
      <c r="S1138" s="3" t="s">
        <v>130</v>
      </c>
      <c r="T1138" s="762">
        <v>323.10000000000002</v>
      </c>
      <c r="U1138" s="762">
        <v>274.56</v>
      </c>
      <c r="V1138" s="3" t="s">
        <v>1716</v>
      </c>
      <c r="W1138" s="892">
        <v>45363</v>
      </c>
      <c r="X1138" s="892" t="s">
        <v>1716</v>
      </c>
      <c r="Y1138" s="892">
        <v>45364</v>
      </c>
      <c r="Z1138" s="761" t="s">
        <v>62</v>
      </c>
      <c r="AA1138" s="882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</row>
    <row r="1139" spans="1:39" ht="16.05" customHeight="1">
      <c r="B1139" s="747"/>
      <c r="C1139" s="879" t="s">
        <v>900</v>
      </c>
      <c r="D1139" s="789"/>
      <c r="E1139" s="1469" t="s">
        <v>878</v>
      </c>
      <c r="F1139" s="749"/>
      <c r="G1139" s="3" t="s">
        <v>60</v>
      </c>
      <c r="H1139" s="3"/>
      <c r="I1139" s="786">
        <v>153.30000000000001</v>
      </c>
      <c r="J1139" s="786"/>
      <c r="K1139" s="3" t="s">
        <v>1716</v>
      </c>
      <c r="L1139" s="890">
        <v>45363</v>
      </c>
      <c r="M1139" s="891"/>
      <c r="N1139" s="890"/>
      <c r="O1139" s="761" t="s">
        <v>62</v>
      </c>
      <c r="P1139" s="786">
        <v>3.03</v>
      </c>
      <c r="Q1139" s="784"/>
      <c r="R1139" s="3"/>
      <c r="S1139" s="3"/>
      <c r="T1139" s="786"/>
      <c r="U1139" s="786"/>
      <c r="V1139" s="3"/>
      <c r="W1139" s="761"/>
      <c r="X1139" s="761"/>
      <c r="Y1139" s="761"/>
      <c r="Z1139" s="761"/>
      <c r="AA1139" s="882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</row>
    <row r="1140" spans="1:39" ht="16.05" customHeight="1">
      <c r="B1140" s="747"/>
      <c r="C1140" s="879" t="s">
        <v>900</v>
      </c>
      <c r="D1140" s="789"/>
      <c r="E1140" s="1469" t="s">
        <v>880</v>
      </c>
      <c r="F1140" s="749"/>
      <c r="G1140" s="3" t="s">
        <v>60</v>
      </c>
      <c r="H1140" s="3"/>
      <c r="I1140" s="762">
        <v>152.58000000000001</v>
      </c>
      <c r="J1140" s="786"/>
      <c r="K1140" s="3" t="s">
        <v>1716</v>
      </c>
      <c r="L1140" s="890">
        <v>45363</v>
      </c>
      <c r="M1140" s="891"/>
      <c r="N1140" s="890"/>
      <c r="O1140" s="761" t="s">
        <v>62</v>
      </c>
      <c r="P1140" s="762">
        <v>2.84</v>
      </c>
      <c r="Q1140" s="784"/>
      <c r="R1140" s="3"/>
      <c r="S1140" s="3"/>
      <c r="T1140" s="786"/>
      <c r="U1140" s="786"/>
      <c r="V1140" s="3"/>
      <c r="W1140" s="761"/>
      <c r="X1140" s="761"/>
      <c r="Y1140" s="761"/>
      <c r="Z1140" s="761"/>
      <c r="AA1140" s="882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</row>
    <row r="1141" spans="1:39" ht="16.05" customHeight="1">
      <c r="B1141" s="747"/>
      <c r="C1141" s="879" t="s">
        <v>900</v>
      </c>
      <c r="D1141" s="789"/>
      <c r="E1141" s="1469" t="s">
        <v>882</v>
      </c>
      <c r="F1141" s="749"/>
      <c r="G1141" s="3" t="s">
        <v>60</v>
      </c>
      <c r="H1141" s="3"/>
      <c r="I1141" s="762">
        <v>155.19</v>
      </c>
      <c r="J1141" s="786"/>
      <c r="K1141" s="3" t="s">
        <v>1716</v>
      </c>
      <c r="L1141" s="890">
        <v>45363</v>
      </c>
      <c r="M1141" s="891"/>
      <c r="N1141" s="890"/>
      <c r="O1141" s="761" t="s">
        <v>62</v>
      </c>
      <c r="P1141" s="762">
        <v>2.74</v>
      </c>
      <c r="Q1141" s="784"/>
      <c r="R1141" s="3"/>
      <c r="S1141" s="3"/>
      <c r="T1141" s="786"/>
      <c r="U1141" s="786"/>
      <c r="V1141" s="3"/>
      <c r="W1141" s="761"/>
      <c r="X1141" s="761"/>
      <c r="Y1141" s="761"/>
      <c r="Z1141" s="761"/>
      <c r="AA1141" s="882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</row>
    <row r="1142" spans="1:39" ht="16.05" customHeight="1">
      <c r="B1142" s="747"/>
      <c r="C1142" s="879" t="s">
        <v>900</v>
      </c>
      <c r="D1142" s="789"/>
      <c r="E1142" s="1469" t="s">
        <v>884</v>
      </c>
      <c r="F1142" s="749"/>
      <c r="G1142" s="3" t="s">
        <v>60</v>
      </c>
      <c r="H1142" s="3"/>
      <c r="I1142" s="762">
        <v>155.1</v>
      </c>
      <c r="J1142" s="786"/>
      <c r="K1142" s="3" t="s">
        <v>1716</v>
      </c>
      <c r="L1142" s="890">
        <v>45363</v>
      </c>
      <c r="M1142" s="891"/>
      <c r="N1142" s="890"/>
      <c r="O1142" s="761" t="s">
        <v>62</v>
      </c>
      <c r="P1142" s="762">
        <v>2.89</v>
      </c>
      <c r="Q1142" s="784"/>
      <c r="R1142" s="3"/>
      <c r="S1142" s="3"/>
      <c r="T1142" s="786"/>
      <c r="U1142" s="786"/>
      <c r="V1142" s="3"/>
      <c r="W1142" s="761"/>
      <c r="X1142" s="761"/>
      <c r="Y1142" s="761"/>
      <c r="Z1142" s="761"/>
      <c r="AA1142" s="882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</row>
    <row r="1143" spans="1:39" s="707" customFormat="1" ht="21" customHeight="1">
      <c r="A1143"/>
      <c r="B1143" s="805" t="s">
        <v>13</v>
      </c>
      <c r="C1143" s="9" t="s">
        <v>3447</v>
      </c>
      <c r="D1143" s="855"/>
      <c r="E1143" s="874"/>
      <c r="F1143" s="808"/>
      <c r="G1143" s="807"/>
      <c r="H1143" s="807"/>
      <c r="I1143" s="807"/>
      <c r="J1143" s="807"/>
      <c r="K1143" s="807"/>
      <c r="L1143" s="819"/>
      <c r="M1143" s="818"/>
      <c r="N1143" s="819"/>
      <c r="O1143" s="819"/>
      <c r="P1143" s="820"/>
      <c r="Q1143" s="807"/>
      <c r="R1143" s="807"/>
      <c r="S1143" s="807"/>
      <c r="T1143" s="807"/>
      <c r="U1143" s="807"/>
      <c r="V1143" s="807"/>
      <c r="W1143" s="819"/>
      <c r="X1143" s="819"/>
      <c r="Y1143" s="819"/>
      <c r="Z1143" s="819"/>
      <c r="AA1143" s="710"/>
      <c r="AB1143" s="710"/>
      <c r="AC1143" s="710"/>
      <c r="AD1143" s="710"/>
      <c r="AE1143" s="710"/>
      <c r="AF1143" s="710"/>
      <c r="AG1143" s="710"/>
      <c r="AH1143" s="710"/>
      <c r="AI1143" s="710"/>
      <c r="AJ1143" s="710"/>
      <c r="AK1143" s="710"/>
      <c r="AL1143" s="710"/>
      <c r="AM1143" s="710"/>
    </row>
    <row r="1144" spans="1:39" ht="16.05" customHeight="1">
      <c r="B1144" s="747" t="s">
        <v>57</v>
      </c>
      <c r="C1144" s="868" t="s">
        <v>896</v>
      </c>
      <c r="D1144" s="789">
        <v>200105537</v>
      </c>
      <c r="E1144" s="1469" t="s">
        <v>886</v>
      </c>
      <c r="F1144" s="749">
        <v>1</v>
      </c>
      <c r="G1144" s="3" t="s">
        <v>128</v>
      </c>
      <c r="H1144" s="3" t="s">
        <v>60</v>
      </c>
      <c r="I1144" s="786">
        <v>147.11000000000001</v>
      </c>
      <c r="J1144" s="786">
        <v>259.19</v>
      </c>
      <c r="K1144" s="3" t="s">
        <v>2327</v>
      </c>
      <c r="L1144" s="890">
        <v>45428</v>
      </c>
      <c r="M1144" s="891" t="s">
        <v>2327</v>
      </c>
      <c r="N1144" s="890">
        <v>45427</v>
      </c>
      <c r="O1144" s="761" t="s">
        <v>62</v>
      </c>
      <c r="P1144" s="882">
        <v>2.15</v>
      </c>
      <c r="Q1144" s="3" t="s">
        <v>887</v>
      </c>
      <c r="R1144" s="3" t="s">
        <v>130</v>
      </c>
      <c r="S1144" s="3" t="s">
        <v>130</v>
      </c>
      <c r="T1144" s="786">
        <v>318.7</v>
      </c>
      <c r="U1144" s="786">
        <v>273.10000000000002</v>
      </c>
      <c r="V1144" s="3" t="s">
        <v>2327</v>
      </c>
      <c r="W1144" s="761">
        <v>45429</v>
      </c>
      <c r="X1144" s="761" t="s">
        <v>2327</v>
      </c>
      <c r="Y1144" s="761">
        <v>45428</v>
      </c>
      <c r="Z1144" s="761" t="s">
        <v>62</v>
      </c>
      <c r="AA1144" s="882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</row>
    <row r="1145" spans="1:39" ht="16.05" customHeight="1">
      <c r="B1145" s="747"/>
      <c r="C1145" s="879" t="s">
        <v>900</v>
      </c>
      <c r="D1145" s="789"/>
      <c r="E1145" s="1469" t="s">
        <v>886</v>
      </c>
      <c r="F1145" s="749"/>
      <c r="G1145" s="3" t="s">
        <v>128</v>
      </c>
      <c r="H1145" s="3"/>
      <c r="I1145" s="786">
        <v>154.38</v>
      </c>
      <c r="J1145" s="786"/>
      <c r="K1145" s="3" t="s">
        <v>2327</v>
      </c>
      <c r="L1145" s="890">
        <v>45428</v>
      </c>
      <c r="M1145" s="891"/>
      <c r="N1145" s="890"/>
      <c r="O1145" s="761" t="s">
        <v>62</v>
      </c>
      <c r="P1145" s="882">
        <v>3</v>
      </c>
      <c r="Q1145" s="784"/>
      <c r="R1145" s="3"/>
      <c r="S1145" s="3"/>
      <c r="T1145" s="786"/>
      <c r="U1145" s="786"/>
      <c r="V1145" s="3"/>
      <c r="W1145" s="761"/>
      <c r="X1145" s="761"/>
      <c r="Y1145" s="761"/>
      <c r="Z1145" s="761"/>
      <c r="AA1145" s="882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</row>
    <row r="1146" spans="1:39" s="707" customFormat="1" ht="21" customHeight="1">
      <c r="A1146"/>
      <c r="B1146" s="805" t="s">
        <v>13</v>
      </c>
      <c r="C1146" s="9" t="s">
        <v>3448</v>
      </c>
      <c r="D1146" s="855"/>
      <c r="E1146" s="874"/>
      <c r="F1146" s="808"/>
      <c r="G1146" s="807"/>
      <c r="H1146" s="807"/>
      <c r="I1146" s="807"/>
      <c r="J1146" s="807"/>
      <c r="K1146" s="807"/>
      <c r="L1146" s="819"/>
      <c r="M1146" s="818"/>
      <c r="N1146" s="819"/>
      <c r="O1146" s="819"/>
      <c r="P1146" s="820"/>
      <c r="Q1146" s="807"/>
      <c r="R1146" s="807"/>
      <c r="S1146" s="807"/>
      <c r="T1146" s="807"/>
      <c r="U1146" s="807"/>
      <c r="V1146" s="807"/>
      <c r="W1146" s="819"/>
      <c r="X1146" s="819"/>
      <c r="Y1146" s="819"/>
      <c r="Z1146" s="819"/>
      <c r="AA1146" s="710"/>
      <c r="AB1146" s="710"/>
      <c r="AC1146" s="710"/>
      <c r="AD1146" s="710"/>
      <c r="AE1146" s="710"/>
      <c r="AF1146" s="710"/>
      <c r="AG1146" s="710"/>
      <c r="AH1146" s="710"/>
      <c r="AI1146" s="710"/>
      <c r="AJ1146" s="710"/>
      <c r="AK1146" s="710"/>
      <c r="AL1146" s="710"/>
      <c r="AM1146" s="710"/>
    </row>
    <row r="1147" spans="1:39" ht="16.05" customHeight="1">
      <c r="B1147" s="747" t="s">
        <v>57</v>
      </c>
      <c r="C1147" s="868" t="s">
        <v>896</v>
      </c>
      <c r="D1147" s="789">
        <v>200105944</v>
      </c>
      <c r="E1147" s="1469" t="s">
        <v>888</v>
      </c>
      <c r="F1147" s="749">
        <v>2</v>
      </c>
      <c r="G1147" s="3" t="s">
        <v>128</v>
      </c>
      <c r="H1147" s="3" t="s">
        <v>60</v>
      </c>
      <c r="I1147" s="786">
        <v>151.15</v>
      </c>
      <c r="J1147" s="786">
        <v>261.22000000000003</v>
      </c>
      <c r="K1147" s="3" t="s">
        <v>2327</v>
      </c>
      <c r="L1147" s="890">
        <v>45428</v>
      </c>
      <c r="M1147" s="890" t="s">
        <v>2327</v>
      </c>
      <c r="N1147" s="890">
        <v>45428</v>
      </c>
      <c r="O1147" s="761" t="s">
        <v>62</v>
      </c>
      <c r="P1147" s="882">
        <v>1.96</v>
      </c>
      <c r="Q1147" s="3" t="s">
        <v>889</v>
      </c>
      <c r="R1147" s="3" t="s">
        <v>130</v>
      </c>
      <c r="S1147" s="3" t="s">
        <v>130</v>
      </c>
      <c r="T1147" s="786">
        <v>322.60000000000002</v>
      </c>
      <c r="U1147" s="786">
        <v>274.60000000000002</v>
      </c>
      <c r="V1147" s="3" t="s">
        <v>2327</v>
      </c>
      <c r="W1147" s="892">
        <v>45429</v>
      </c>
      <c r="X1147" s="892" t="s">
        <v>2327</v>
      </c>
      <c r="Y1147" s="892">
        <v>45428</v>
      </c>
      <c r="Z1147" s="761" t="s">
        <v>62</v>
      </c>
      <c r="AA1147" s="882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</row>
    <row r="1148" spans="1:39" ht="16.05" customHeight="1">
      <c r="B1148" s="747" t="s">
        <v>57</v>
      </c>
      <c r="C1148" s="868" t="s">
        <v>896</v>
      </c>
      <c r="D1148" s="789">
        <v>200105539</v>
      </c>
      <c r="E1148" s="1469" t="s">
        <v>890</v>
      </c>
      <c r="F1148" s="749">
        <v>3</v>
      </c>
      <c r="G1148" s="3" t="s">
        <v>128</v>
      </c>
      <c r="H1148" s="3" t="s">
        <v>60</v>
      </c>
      <c r="I1148" s="786">
        <v>148.01</v>
      </c>
      <c r="J1148" s="786">
        <v>263.13</v>
      </c>
      <c r="K1148" s="3" t="s">
        <v>2327</v>
      </c>
      <c r="L1148" s="890">
        <v>45428</v>
      </c>
      <c r="M1148" s="890" t="s">
        <v>2327</v>
      </c>
      <c r="N1148" s="890">
        <v>45428</v>
      </c>
      <c r="O1148" s="761" t="s">
        <v>62</v>
      </c>
      <c r="P1148" s="882">
        <v>2.11</v>
      </c>
      <c r="Q1148" s="3" t="s">
        <v>891</v>
      </c>
      <c r="R1148" s="3" t="s">
        <v>130</v>
      </c>
      <c r="S1148" s="3" t="s">
        <v>130</v>
      </c>
      <c r="T1148" s="786">
        <v>319</v>
      </c>
      <c r="U1148" s="786">
        <v>276.89999999999998</v>
      </c>
      <c r="V1148" s="3" t="s">
        <v>2327</v>
      </c>
      <c r="W1148" s="892">
        <v>45429</v>
      </c>
      <c r="X1148" s="892" t="s">
        <v>2327</v>
      </c>
      <c r="Y1148" s="892">
        <v>45428</v>
      </c>
      <c r="Z1148" s="761" t="s">
        <v>62</v>
      </c>
      <c r="AA1148" s="882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</row>
    <row r="1149" spans="1:39" ht="16.05" customHeight="1">
      <c r="B1149" s="747"/>
      <c r="C1149" s="879" t="s">
        <v>900</v>
      </c>
      <c r="D1149" s="789"/>
      <c r="E1149" s="1469" t="s">
        <v>3449</v>
      </c>
      <c r="F1149" s="749"/>
      <c r="G1149" s="3" t="s">
        <v>128</v>
      </c>
      <c r="H1149" s="3"/>
      <c r="I1149" s="786">
        <v>154.5</v>
      </c>
      <c r="J1149" s="786"/>
      <c r="K1149" s="3" t="s">
        <v>2327</v>
      </c>
      <c r="L1149" s="890">
        <v>45428</v>
      </c>
      <c r="M1149" s="891"/>
      <c r="N1149" s="890"/>
      <c r="O1149" s="761" t="s">
        <v>62</v>
      </c>
      <c r="P1149" s="882">
        <v>2.89</v>
      </c>
      <c r="Q1149" s="784"/>
      <c r="R1149" s="3"/>
      <c r="S1149" s="3"/>
      <c r="T1149" s="786"/>
      <c r="U1149" s="786"/>
      <c r="V1149" s="3"/>
      <c r="W1149" s="761"/>
      <c r="X1149" s="761"/>
      <c r="Y1149" s="761"/>
      <c r="Z1149" s="761"/>
      <c r="AA1149" s="882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</row>
    <row r="1150" spans="1:39" ht="16.05" customHeight="1">
      <c r="B1150" s="747"/>
      <c r="C1150" s="879" t="s">
        <v>900</v>
      </c>
      <c r="D1150" s="789"/>
      <c r="E1150" s="1469" t="s">
        <v>3450</v>
      </c>
      <c r="F1150" s="749"/>
      <c r="G1150" s="3" t="s">
        <v>128</v>
      </c>
      <c r="H1150" s="3"/>
      <c r="I1150" s="786">
        <v>155.22</v>
      </c>
      <c r="J1150" s="786"/>
      <c r="K1150" s="3" t="s">
        <v>2327</v>
      </c>
      <c r="L1150" s="890">
        <v>45428</v>
      </c>
      <c r="M1150" s="891"/>
      <c r="N1150" s="890"/>
      <c r="O1150" s="761" t="s">
        <v>62</v>
      </c>
      <c r="P1150" s="882">
        <v>3</v>
      </c>
      <c r="Q1150" s="784"/>
      <c r="R1150" s="3"/>
      <c r="S1150" s="3"/>
      <c r="T1150" s="786"/>
      <c r="U1150" s="786"/>
      <c r="V1150" s="3"/>
      <c r="W1150" s="761"/>
      <c r="X1150" s="761"/>
      <c r="Y1150" s="761"/>
      <c r="Z1150" s="761"/>
      <c r="AA1150" s="882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</row>
    <row r="1151" spans="1:39" s="707" customFormat="1" ht="21" customHeight="1">
      <c r="A1151"/>
      <c r="B1151" s="805" t="s">
        <v>13</v>
      </c>
      <c r="C1151" s="9" t="s">
        <v>3451</v>
      </c>
      <c r="D1151" s="855"/>
      <c r="E1151" s="874"/>
      <c r="F1151" s="808"/>
      <c r="G1151" s="807"/>
      <c r="H1151" s="807"/>
      <c r="I1151" s="807"/>
      <c r="J1151" s="807"/>
      <c r="K1151" s="807"/>
      <c r="L1151" s="819"/>
      <c r="M1151" s="818"/>
      <c r="N1151" s="819"/>
      <c r="O1151" s="819"/>
      <c r="P1151" s="820"/>
      <c r="Q1151" s="807"/>
      <c r="R1151" s="807"/>
      <c r="S1151" s="807"/>
      <c r="T1151" s="807"/>
      <c r="U1151" s="807"/>
      <c r="V1151" s="807"/>
      <c r="W1151" s="819"/>
      <c r="X1151" s="819"/>
      <c r="Y1151" s="819"/>
      <c r="Z1151" s="819"/>
      <c r="AA1151" s="710"/>
      <c r="AB1151" s="710"/>
      <c r="AC1151" s="710"/>
      <c r="AD1151" s="710"/>
      <c r="AE1151" s="710"/>
      <c r="AF1151" s="710"/>
      <c r="AG1151" s="710"/>
      <c r="AH1151" s="710"/>
      <c r="AI1151" s="710"/>
      <c r="AJ1151" s="710"/>
      <c r="AK1151" s="710"/>
      <c r="AL1151" s="710"/>
      <c r="AM1151" s="710"/>
    </row>
    <row r="1152" spans="1:39" ht="16.05" customHeight="1">
      <c r="B1152" s="747" t="s">
        <v>433</v>
      </c>
      <c r="C1152" s="868" t="s">
        <v>896</v>
      </c>
      <c r="D1152" s="789">
        <v>200106479</v>
      </c>
      <c r="E1152" s="1469" t="s">
        <v>892</v>
      </c>
      <c r="F1152" s="749">
        <v>1</v>
      </c>
      <c r="G1152" s="3" t="s">
        <v>128</v>
      </c>
      <c r="H1152" s="3" t="s">
        <v>60</v>
      </c>
      <c r="I1152" s="762">
        <v>151.84</v>
      </c>
      <c r="J1152" s="858">
        <v>260.91000000000003</v>
      </c>
      <c r="K1152" s="3" t="s">
        <v>2512</v>
      </c>
      <c r="L1152" s="892">
        <v>45488</v>
      </c>
      <c r="M1152" s="893" t="s">
        <v>2512</v>
      </c>
      <c r="N1152" s="892">
        <v>45485</v>
      </c>
      <c r="O1152" s="761" t="s">
        <v>62</v>
      </c>
      <c r="P1152" s="764">
        <v>2.11</v>
      </c>
      <c r="Q1152" s="3" t="s">
        <v>893</v>
      </c>
      <c r="R1152" s="3"/>
      <c r="S1152" s="3" t="s">
        <v>130</v>
      </c>
      <c r="T1152" s="786"/>
      <c r="U1152" s="858">
        <v>274.39999999999998</v>
      </c>
      <c r="V1152" s="3"/>
      <c r="W1152" s="761"/>
      <c r="X1152" s="761" t="s">
        <v>2512</v>
      </c>
      <c r="Y1152" s="890">
        <v>45488</v>
      </c>
      <c r="Z1152" s="761" t="s">
        <v>3452</v>
      </c>
      <c r="AA1152" s="882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</row>
    <row r="1153" spans="1:39" ht="16.05" customHeight="1">
      <c r="B1153" s="747" t="s">
        <v>433</v>
      </c>
      <c r="C1153" s="868" t="s">
        <v>896</v>
      </c>
      <c r="D1153" s="789">
        <v>200106480</v>
      </c>
      <c r="E1153" s="1469" t="s">
        <v>894</v>
      </c>
      <c r="F1153" s="749">
        <v>2</v>
      </c>
      <c r="G1153" s="3" t="s">
        <v>128</v>
      </c>
      <c r="H1153" s="3" t="s">
        <v>60</v>
      </c>
      <c r="I1153" s="762">
        <v>151.18</v>
      </c>
      <c r="J1153" s="858">
        <v>262.74</v>
      </c>
      <c r="K1153" s="3" t="s">
        <v>2512</v>
      </c>
      <c r="L1153" s="892">
        <v>45488</v>
      </c>
      <c r="M1153" s="893" t="s">
        <v>2512</v>
      </c>
      <c r="N1153" s="892">
        <v>45485</v>
      </c>
      <c r="O1153" s="761" t="s">
        <v>62</v>
      </c>
      <c r="P1153" s="764">
        <v>2.19</v>
      </c>
      <c r="Q1153" s="3" t="s">
        <v>895</v>
      </c>
      <c r="R1153" s="3"/>
      <c r="S1153" s="3" t="s">
        <v>130</v>
      </c>
      <c r="T1153" s="786"/>
      <c r="U1153" s="858">
        <v>276.5</v>
      </c>
      <c r="V1153" s="3"/>
      <c r="W1153" s="761"/>
      <c r="X1153" s="761" t="s">
        <v>2512</v>
      </c>
      <c r="Y1153" s="890">
        <v>45488</v>
      </c>
      <c r="Z1153" s="761"/>
      <c r="AA1153" s="882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</row>
    <row r="1154" spans="1:39" ht="16.05" customHeight="1">
      <c r="B1154" s="747"/>
      <c r="C1154" s="879" t="s">
        <v>900</v>
      </c>
      <c r="D1154" s="789"/>
      <c r="E1154" s="3"/>
      <c r="F1154" s="749"/>
      <c r="G1154" s="3" t="s">
        <v>128</v>
      </c>
      <c r="H1154" s="3"/>
      <c r="I1154" s="762">
        <v>153.16</v>
      </c>
      <c r="J1154" s="786"/>
      <c r="K1154" s="3" t="s">
        <v>2512</v>
      </c>
      <c r="L1154" s="892">
        <v>45488</v>
      </c>
      <c r="M1154" s="893"/>
      <c r="N1154" s="892"/>
      <c r="O1154" s="761" t="s">
        <v>62</v>
      </c>
      <c r="P1154" s="764">
        <v>2.99</v>
      </c>
      <c r="Q1154" s="784"/>
      <c r="R1154" s="3"/>
      <c r="S1154" s="3"/>
      <c r="T1154" s="786"/>
      <c r="U1154" s="786"/>
      <c r="V1154" s="3"/>
      <c r="W1154" s="761"/>
      <c r="X1154" s="761"/>
      <c r="Y1154" s="761"/>
      <c r="Z1154" s="761"/>
      <c r="AA1154" s="882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</row>
    <row r="1155" spans="1:39" ht="16.05" customHeight="1">
      <c r="B1155" s="747"/>
      <c r="C1155" s="879" t="s">
        <v>900</v>
      </c>
      <c r="D1155" s="789"/>
      <c r="E1155" s="3"/>
      <c r="F1155" s="749"/>
      <c r="G1155" s="3" t="s">
        <v>128</v>
      </c>
      <c r="H1155" s="3"/>
      <c r="I1155" s="762">
        <v>153.16999999999999</v>
      </c>
      <c r="J1155" s="786"/>
      <c r="K1155" s="3" t="s">
        <v>2512</v>
      </c>
      <c r="L1155" s="892">
        <v>45488</v>
      </c>
      <c r="M1155" s="893"/>
      <c r="N1155" s="892"/>
      <c r="O1155" s="761" t="s">
        <v>62</v>
      </c>
      <c r="P1155" s="764">
        <v>2.97</v>
      </c>
      <c r="Q1155" s="784"/>
      <c r="R1155" s="3"/>
      <c r="S1155" s="3"/>
      <c r="T1155" s="786"/>
      <c r="U1155" s="786"/>
      <c r="V1155" s="3"/>
      <c r="W1155" s="761"/>
      <c r="X1155" s="761"/>
      <c r="Y1155" s="761"/>
      <c r="Z1155" s="761"/>
      <c r="AA1155" s="882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</row>
    <row r="1156" spans="1:39" s="707" customFormat="1" ht="21" customHeight="1">
      <c r="A1156"/>
      <c r="B1156" s="805" t="s">
        <v>13</v>
      </c>
      <c r="C1156" s="9" t="s">
        <v>3453</v>
      </c>
      <c r="D1156" s="855"/>
      <c r="E1156" s="874"/>
      <c r="F1156" s="808"/>
      <c r="G1156" s="807"/>
      <c r="H1156" s="807"/>
      <c r="I1156" s="807"/>
      <c r="J1156" s="807"/>
      <c r="K1156" s="807"/>
      <c r="L1156" s="819"/>
      <c r="M1156" s="818"/>
      <c r="N1156" s="819"/>
      <c r="O1156" s="819"/>
      <c r="P1156" s="820"/>
      <c r="Q1156" s="807"/>
      <c r="R1156" s="807"/>
      <c r="S1156" s="807"/>
      <c r="T1156" s="807"/>
      <c r="U1156" s="807"/>
      <c r="V1156" s="807"/>
      <c r="W1156" s="819"/>
      <c r="X1156" s="819"/>
      <c r="Y1156" s="819"/>
      <c r="Z1156" s="819"/>
      <c r="AA1156" s="710"/>
      <c r="AB1156" s="710"/>
      <c r="AC1156" s="710"/>
      <c r="AD1156" s="710"/>
      <c r="AE1156" s="710"/>
      <c r="AF1156" s="710"/>
      <c r="AG1156" s="710"/>
      <c r="AH1156" s="710"/>
      <c r="AI1156" s="710"/>
      <c r="AJ1156" s="710"/>
      <c r="AK1156" s="710"/>
      <c r="AL1156" s="710"/>
      <c r="AM1156" s="710"/>
    </row>
    <row r="1157" spans="1:39" ht="16.05" customHeight="1">
      <c r="B1157" s="747"/>
      <c r="C1157" s="868" t="s">
        <v>896</v>
      </c>
      <c r="D1157" s="789">
        <v>200107191</v>
      </c>
      <c r="E1157" s="1469" t="s">
        <v>897</v>
      </c>
      <c r="F1157" s="749">
        <v>1</v>
      </c>
      <c r="G1157" s="3"/>
      <c r="H1157" s="3"/>
      <c r="I1157" s="762"/>
      <c r="J1157" s="786"/>
      <c r="K1157" s="3"/>
      <c r="L1157" s="761"/>
      <c r="M1157" s="789"/>
      <c r="N1157" s="761"/>
      <c r="O1157" s="761"/>
      <c r="P1157" s="764"/>
      <c r="Q1157" s="784"/>
      <c r="R1157" s="3"/>
      <c r="S1157" s="3"/>
      <c r="T1157" s="786"/>
      <c r="U1157" s="786"/>
      <c r="V1157" s="3"/>
      <c r="W1157" s="761"/>
      <c r="X1157" s="761"/>
      <c r="Y1157" s="761"/>
      <c r="Z1157" s="761"/>
      <c r="AA1157" s="882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</row>
    <row r="1158" spans="1:39" ht="16.05" customHeight="1">
      <c r="B1158" s="747"/>
      <c r="C1158" s="868" t="s">
        <v>896</v>
      </c>
      <c r="D1158" s="789">
        <v>200107192</v>
      </c>
      <c r="E1158" s="1469" t="s">
        <v>899</v>
      </c>
      <c r="F1158" s="749">
        <v>2</v>
      </c>
      <c r="G1158" s="3"/>
      <c r="H1158" s="3"/>
      <c r="I1158" s="762"/>
      <c r="J1158" s="786"/>
      <c r="K1158" s="3"/>
      <c r="L1158" s="761"/>
      <c r="M1158" s="789"/>
      <c r="N1158" s="761"/>
      <c r="O1158" s="761"/>
      <c r="P1158" s="764"/>
      <c r="Q1158" s="784"/>
      <c r="R1158" s="3"/>
      <c r="S1158" s="3"/>
      <c r="T1158" s="786"/>
      <c r="U1158" s="786"/>
      <c r="V1158" s="3"/>
      <c r="W1158" s="761"/>
      <c r="X1158" s="761"/>
      <c r="Y1158" s="761"/>
      <c r="Z1158" s="761"/>
      <c r="AA1158" s="882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</row>
    <row r="1159" spans="1:39" ht="16.05" customHeight="1">
      <c r="B1159" s="747"/>
      <c r="C1159" s="879" t="s">
        <v>900</v>
      </c>
      <c r="D1159" s="789"/>
      <c r="E1159" s="1469" t="s">
        <v>897</v>
      </c>
      <c r="F1159" s="749"/>
      <c r="G1159" s="3"/>
      <c r="H1159" s="3"/>
      <c r="I1159" s="762"/>
      <c r="J1159" s="786"/>
      <c r="K1159" s="3"/>
      <c r="L1159" s="761"/>
      <c r="M1159" s="789"/>
      <c r="N1159" s="761"/>
      <c r="O1159" s="761"/>
      <c r="P1159" s="764"/>
      <c r="Q1159" s="784"/>
      <c r="R1159" s="3"/>
      <c r="S1159" s="3"/>
      <c r="T1159" s="786"/>
      <c r="U1159" s="786"/>
      <c r="V1159" s="3"/>
      <c r="W1159" s="761"/>
      <c r="X1159" s="761"/>
      <c r="Y1159" s="761"/>
      <c r="Z1159" s="761"/>
      <c r="AA1159" s="882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</row>
    <row r="1160" spans="1:39" ht="16.05" customHeight="1">
      <c r="B1160" s="747"/>
      <c r="C1160" s="879" t="s">
        <v>900</v>
      </c>
      <c r="D1160" s="789"/>
      <c r="E1160" s="1469" t="s">
        <v>899</v>
      </c>
      <c r="F1160" s="749"/>
      <c r="G1160" s="3"/>
      <c r="H1160" s="3"/>
      <c r="I1160" s="762"/>
      <c r="J1160" s="786"/>
      <c r="K1160" s="3"/>
      <c r="L1160" s="761"/>
      <c r="M1160" s="789"/>
      <c r="N1160" s="761"/>
      <c r="O1160" s="761"/>
      <c r="P1160" s="764"/>
      <c r="Q1160" s="784"/>
      <c r="R1160" s="3"/>
      <c r="S1160" s="3"/>
      <c r="T1160" s="786"/>
      <c r="U1160" s="786"/>
      <c r="V1160" s="3"/>
      <c r="W1160" s="761"/>
      <c r="X1160" s="761"/>
      <c r="Y1160" s="761"/>
      <c r="Z1160" s="761"/>
      <c r="AA1160" s="882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</row>
    <row r="1161" spans="1:39" s="707" customFormat="1" ht="25.95" customHeight="1">
      <c r="A1161"/>
      <c r="B1161" s="805" t="s">
        <v>13</v>
      </c>
      <c r="C1161" s="894" t="s">
        <v>584</v>
      </c>
      <c r="D1161" s="855"/>
      <c r="E1161" s="874"/>
      <c r="F1161" s="808"/>
      <c r="G1161" s="807"/>
      <c r="H1161" s="807"/>
      <c r="I1161" s="807"/>
      <c r="J1161" s="807"/>
      <c r="K1161" s="807"/>
      <c r="L1161" s="819"/>
      <c r="M1161" s="818"/>
      <c r="N1161" s="819"/>
      <c r="O1161" s="819"/>
      <c r="P1161" s="820"/>
      <c r="Q1161" s="807"/>
      <c r="R1161" s="807"/>
      <c r="S1161" s="807"/>
      <c r="T1161" s="807"/>
      <c r="U1161" s="807"/>
      <c r="V1161" s="807"/>
      <c r="W1161" s="819"/>
      <c r="X1161" s="819"/>
      <c r="Y1161" s="819"/>
      <c r="Z1161" s="819"/>
      <c r="AA1161" s="710"/>
      <c r="AB1161" s="710"/>
      <c r="AC1161" s="710"/>
      <c r="AD1161" s="710"/>
      <c r="AE1161" s="710"/>
      <c r="AF1161" s="710"/>
      <c r="AG1161" s="710"/>
      <c r="AH1161" s="710"/>
      <c r="AI1161" s="710"/>
      <c r="AJ1161" s="710"/>
      <c r="AK1161" s="710"/>
      <c r="AL1161" s="710"/>
      <c r="AM1161" s="710"/>
    </row>
    <row r="1162" spans="1:39" ht="16.95" customHeight="1">
      <c r="B1162" s="1496" t="s">
        <v>125</v>
      </c>
      <c r="C1162" s="853" t="s">
        <v>3454</v>
      </c>
      <c r="D1162" s="12" t="s">
        <v>3455</v>
      </c>
      <c r="E1162" s="11" t="s">
        <v>3456</v>
      </c>
      <c r="F1162" s="3">
        <v>13</v>
      </c>
      <c r="G1162" s="783" t="s">
        <v>932</v>
      </c>
      <c r="H1162" s="3" t="s">
        <v>1041</v>
      </c>
      <c r="I1162" s="3">
        <v>529.9</v>
      </c>
      <c r="J1162" s="3">
        <v>305.18</v>
      </c>
      <c r="K1162" s="3" t="s">
        <v>2094</v>
      </c>
      <c r="L1162" s="761">
        <v>44564</v>
      </c>
      <c r="M1162" s="761" t="s">
        <v>2094</v>
      </c>
      <c r="N1162" s="761">
        <v>44564</v>
      </c>
      <c r="O1162" s="2" t="s">
        <v>62</v>
      </c>
      <c r="R1162" s="4"/>
      <c r="S1162" s="3" t="s">
        <v>1547</v>
      </c>
      <c r="T1162" s="4"/>
      <c r="U1162" s="3">
        <v>320.5</v>
      </c>
      <c r="V1162" s="4"/>
      <c r="W1162" s="761"/>
      <c r="X1162" s="761" t="str">
        <f>TEXT(Y1162,"mmmm")</f>
        <v>January</v>
      </c>
      <c r="Y1162" s="761">
        <v>44564</v>
      </c>
      <c r="Z1162" s="761" t="s">
        <v>62</v>
      </c>
      <c r="AA1162" s="4"/>
      <c r="AB1162" s="4"/>
      <c r="AC1162" s="4"/>
      <c r="AD1162" s="4"/>
      <c r="AE1162" s="4"/>
      <c r="AF1162" s="4"/>
      <c r="AG1162" s="4">
        <v>5.1100000000000003</v>
      </c>
      <c r="AH1162" s="4"/>
      <c r="AI1162" s="4"/>
      <c r="AJ1162" s="4"/>
      <c r="AK1162" s="4"/>
      <c r="AL1162" s="4"/>
      <c r="AM1162" s="4">
        <v>4.5999999999999996</v>
      </c>
    </row>
    <row r="1163" spans="1:39">
      <c r="B1163" s="1496" t="s">
        <v>125</v>
      </c>
      <c r="C1163" s="853" t="s">
        <v>3454</v>
      </c>
      <c r="D1163" s="12" t="s">
        <v>3457</v>
      </c>
      <c r="E1163" s="11" t="s">
        <v>3458</v>
      </c>
      <c r="F1163" s="3">
        <v>14</v>
      </c>
      <c r="G1163" s="783" t="s">
        <v>932</v>
      </c>
      <c r="H1163" s="3" t="s">
        <v>1041</v>
      </c>
      <c r="I1163" s="3">
        <v>528.9</v>
      </c>
      <c r="J1163" s="3">
        <v>305.10000000000002</v>
      </c>
      <c r="K1163" s="3" t="s">
        <v>2094</v>
      </c>
      <c r="L1163" s="761">
        <v>44565</v>
      </c>
      <c r="M1163" s="761" t="s">
        <v>3459</v>
      </c>
      <c r="N1163" s="761">
        <v>44565</v>
      </c>
      <c r="O1163" s="778" t="s">
        <v>62</v>
      </c>
      <c r="P1163" s="896"/>
      <c r="Q1163" s="860"/>
      <c r="R1163" s="4"/>
      <c r="S1163" s="3" t="s">
        <v>1547</v>
      </c>
      <c r="T1163" s="4"/>
      <c r="U1163" s="3">
        <v>320.7</v>
      </c>
      <c r="V1163" s="4"/>
      <c r="W1163" s="761"/>
      <c r="X1163" s="761" t="s">
        <v>2094</v>
      </c>
      <c r="Y1163" s="761">
        <v>44565</v>
      </c>
      <c r="Z1163" s="761" t="s">
        <v>62</v>
      </c>
      <c r="AA1163" s="4"/>
      <c r="AB1163" s="4"/>
      <c r="AC1163" s="4"/>
      <c r="AD1163" s="4"/>
      <c r="AE1163" s="4"/>
      <c r="AF1163" s="4"/>
      <c r="AG1163" s="4">
        <v>4.7699999999999996</v>
      </c>
      <c r="AH1163" s="4"/>
      <c r="AI1163" s="4"/>
      <c r="AJ1163" s="4"/>
      <c r="AK1163" s="4"/>
      <c r="AL1163" s="4"/>
      <c r="AM1163" s="4">
        <v>4.9400000000000004</v>
      </c>
    </row>
    <row r="1164" spans="1:39">
      <c r="B1164" s="1496" t="s">
        <v>125</v>
      </c>
      <c r="C1164" s="853" t="s">
        <v>3454</v>
      </c>
      <c r="D1164" s="12" t="s">
        <v>3460</v>
      </c>
      <c r="E1164" s="11" t="s">
        <v>3461</v>
      </c>
      <c r="F1164" s="3">
        <v>15</v>
      </c>
      <c r="G1164" s="783" t="s">
        <v>932</v>
      </c>
      <c r="H1164" s="3" t="s">
        <v>1041</v>
      </c>
      <c r="I1164" s="3">
        <v>534.29999999999995</v>
      </c>
      <c r="J1164" s="3">
        <v>305</v>
      </c>
      <c r="K1164" s="3" t="s">
        <v>2094</v>
      </c>
      <c r="L1164" s="761">
        <v>44565</v>
      </c>
      <c r="M1164" s="761" t="s">
        <v>2094</v>
      </c>
      <c r="N1164" s="761">
        <v>44565</v>
      </c>
      <c r="O1164" s="778" t="s">
        <v>62</v>
      </c>
      <c r="P1164" s="896"/>
      <c r="Q1164" s="860"/>
      <c r="R1164" s="4"/>
      <c r="S1164" s="3" t="s">
        <v>1547</v>
      </c>
      <c r="T1164" s="4"/>
      <c r="U1164" s="3">
        <v>320.7</v>
      </c>
      <c r="V1164" s="4"/>
      <c r="W1164" s="761"/>
      <c r="X1164" s="761" t="s">
        <v>2094</v>
      </c>
      <c r="Y1164" s="761">
        <v>44565</v>
      </c>
      <c r="Z1164" s="761" t="s">
        <v>62</v>
      </c>
      <c r="AA1164" s="4"/>
      <c r="AB1164" s="4"/>
      <c r="AC1164" s="4"/>
      <c r="AD1164" s="4"/>
      <c r="AE1164" s="4"/>
      <c r="AF1164" s="4"/>
      <c r="AG1164" s="4">
        <v>4.8099999999999996</v>
      </c>
      <c r="AH1164" s="4"/>
      <c r="AI1164" s="4"/>
      <c r="AJ1164" s="4"/>
      <c r="AK1164" s="4"/>
      <c r="AL1164" s="4"/>
      <c r="AM1164" s="4">
        <v>4.75</v>
      </c>
    </row>
    <row r="1165" spans="1:39">
      <c r="B1165" s="1496" t="s">
        <v>125</v>
      </c>
      <c r="C1165" s="853" t="s">
        <v>3454</v>
      </c>
      <c r="D1165" s="12" t="s">
        <v>3462</v>
      </c>
      <c r="E1165" s="11" t="s">
        <v>3463</v>
      </c>
      <c r="F1165" s="3">
        <v>16</v>
      </c>
      <c r="G1165" s="783" t="s">
        <v>932</v>
      </c>
      <c r="H1165" s="3" t="s">
        <v>1041</v>
      </c>
      <c r="I1165" s="3">
        <v>537.9</v>
      </c>
      <c r="J1165" s="3">
        <v>303.89999999999998</v>
      </c>
      <c r="K1165" s="3" t="s">
        <v>2094</v>
      </c>
      <c r="L1165" s="761">
        <v>44566</v>
      </c>
      <c r="M1165" s="761" t="s">
        <v>3459</v>
      </c>
      <c r="N1165" s="761">
        <v>44565</v>
      </c>
      <c r="O1165" s="778" t="s">
        <v>62</v>
      </c>
      <c r="P1165" s="896"/>
      <c r="Q1165" s="860"/>
      <c r="R1165" s="4"/>
      <c r="S1165" s="3" t="s">
        <v>1547</v>
      </c>
      <c r="T1165" s="4"/>
      <c r="U1165" s="3">
        <v>319.7</v>
      </c>
      <c r="V1165" s="4"/>
      <c r="W1165" s="761"/>
      <c r="X1165" s="761" t="s">
        <v>2094</v>
      </c>
      <c r="Y1165" s="761">
        <v>44565</v>
      </c>
      <c r="Z1165" s="761" t="s">
        <v>62</v>
      </c>
      <c r="AA1165" s="4"/>
      <c r="AB1165" s="4"/>
      <c r="AC1165" s="4"/>
      <c r="AD1165" s="4"/>
      <c r="AE1165" s="4"/>
      <c r="AF1165" s="4"/>
      <c r="AG1165" s="4">
        <v>4.6399999999999997</v>
      </c>
      <c r="AH1165" s="4"/>
      <c r="AI1165" s="4"/>
      <c r="AJ1165" s="4"/>
      <c r="AK1165" s="4"/>
      <c r="AL1165" s="4"/>
      <c r="AM1165" s="4">
        <v>4.76</v>
      </c>
    </row>
    <row r="1166" spans="1:39" s="707" customFormat="1">
      <c r="A1166"/>
      <c r="B1166" s="797" t="s">
        <v>13</v>
      </c>
      <c r="C1166" s="853" t="s">
        <v>1723</v>
      </c>
      <c r="D1166" s="875"/>
      <c r="E1166" s="874"/>
      <c r="F1166" s="807"/>
      <c r="G1166" s="809"/>
      <c r="H1166" s="807"/>
      <c r="I1166" s="807"/>
      <c r="J1166" s="807"/>
      <c r="K1166" s="807"/>
      <c r="L1166" s="819"/>
      <c r="M1166" s="819"/>
      <c r="N1166" s="819"/>
      <c r="O1166" s="897"/>
      <c r="P1166" s="898"/>
      <c r="Q1166" s="853"/>
      <c r="R1166" s="710"/>
      <c r="S1166" s="807"/>
      <c r="T1166" s="710"/>
      <c r="U1166" s="807"/>
      <c r="V1166" s="710"/>
      <c r="W1166" s="819"/>
      <c r="X1166" s="819"/>
      <c r="Y1166" s="819"/>
      <c r="Z1166" s="819"/>
      <c r="AA1166" s="710"/>
      <c r="AB1166" s="710"/>
      <c r="AC1166" s="710"/>
      <c r="AD1166" s="710"/>
      <c r="AE1166" s="710"/>
      <c r="AF1166" s="710"/>
      <c r="AG1166" s="710"/>
      <c r="AH1166" s="710"/>
      <c r="AI1166" s="710"/>
      <c r="AJ1166" s="710"/>
      <c r="AK1166" s="710"/>
      <c r="AL1166" s="710"/>
      <c r="AM1166" s="710"/>
    </row>
    <row r="1167" spans="1:39">
      <c r="B1167" s="1496" t="s">
        <v>163</v>
      </c>
      <c r="C1167" s="853" t="s">
        <v>3454</v>
      </c>
      <c r="D1167" s="12" t="s">
        <v>3464</v>
      </c>
      <c r="E1167" s="12" t="s">
        <v>3465</v>
      </c>
      <c r="F1167" s="3">
        <v>1</v>
      </c>
      <c r="G1167" s="783" t="s">
        <v>932</v>
      </c>
      <c r="H1167" s="3" t="s">
        <v>1041</v>
      </c>
      <c r="I1167" s="3">
        <v>527.5</v>
      </c>
      <c r="J1167" s="3">
        <v>304.60000000000002</v>
      </c>
      <c r="K1167" s="3" t="s">
        <v>3459</v>
      </c>
      <c r="L1167" s="761">
        <v>44580</v>
      </c>
      <c r="M1167" s="761" t="s">
        <v>2094</v>
      </c>
      <c r="N1167" s="761">
        <v>44583</v>
      </c>
      <c r="O1167" s="761" t="s">
        <v>62</v>
      </c>
      <c r="P1167" s="762"/>
      <c r="Q1167" s="3" t="s">
        <v>3466</v>
      </c>
      <c r="R1167" s="3"/>
      <c r="S1167" s="3" t="s">
        <v>1547</v>
      </c>
      <c r="T1167" s="3"/>
      <c r="U1167" s="3">
        <v>319.3</v>
      </c>
      <c r="V1167" s="4"/>
      <c r="W1167" s="761"/>
      <c r="X1167" s="761" t="s">
        <v>2094</v>
      </c>
      <c r="Y1167" s="761">
        <v>44582</v>
      </c>
      <c r="Z1167" s="761" t="s">
        <v>62</v>
      </c>
      <c r="AA1167" s="4"/>
      <c r="AB1167" s="4"/>
      <c r="AC1167" s="4"/>
      <c r="AD1167" s="4"/>
      <c r="AE1167" s="4"/>
      <c r="AF1167" s="4"/>
      <c r="AG1167" s="4">
        <v>4.8499999999999996</v>
      </c>
      <c r="AH1167" s="4"/>
      <c r="AI1167" s="4"/>
      <c r="AJ1167" s="4"/>
      <c r="AK1167" s="4"/>
      <c r="AL1167" s="4"/>
      <c r="AM1167" s="4">
        <v>4.72</v>
      </c>
    </row>
    <row r="1168" spans="1:39">
      <c r="B1168" s="1496" t="s">
        <v>163</v>
      </c>
      <c r="C1168" s="853" t="s">
        <v>3454</v>
      </c>
      <c r="D1168" s="12" t="s">
        <v>3467</v>
      </c>
      <c r="E1168" s="12" t="s">
        <v>3468</v>
      </c>
      <c r="F1168" s="3">
        <v>2</v>
      </c>
      <c r="G1168" s="783" t="s">
        <v>932</v>
      </c>
      <c r="H1168" s="3" t="s">
        <v>1041</v>
      </c>
      <c r="I1168" s="3">
        <v>539.70000000000005</v>
      </c>
      <c r="J1168" s="3">
        <v>305.82</v>
      </c>
      <c r="K1168" s="3" t="s">
        <v>3459</v>
      </c>
      <c r="L1168" s="761">
        <v>44580</v>
      </c>
      <c r="M1168" s="761" t="s">
        <v>2094</v>
      </c>
      <c r="N1168" s="761">
        <v>44583</v>
      </c>
      <c r="O1168" s="761" t="s">
        <v>62</v>
      </c>
      <c r="P1168" s="762"/>
      <c r="Q1168" s="3" t="s">
        <v>3469</v>
      </c>
      <c r="R1168" s="3"/>
      <c r="S1168" s="807" t="s">
        <v>1547</v>
      </c>
      <c r="T1168" s="807"/>
      <c r="U1168" s="807">
        <v>319.5</v>
      </c>
      <c r="V1168" s="4"/>
      <c r="W1168" s="761"/>
      <c r="X1168" s="761" t="s">
        <v>2094</v>
      </c>
      <c r="Y1168" s="761">
        <v>44588</v>
      </c>
      <c r="Z1168" s="761" t="s">
        <v>62</v>
      </c>
      <c r="AA1168" s="4"/>
      <c r="AB1168" s="4"/>
      <c r="AC1168" s="4"/>
      <c r="AD1168" s="4"/>
      <c r="AE1168" s="4"/>
      <c r="AF1168" s="4"/>
      <c r="AG1168" s="4">
        <v>4.95</v>
      </c>
      <c r="AH1168" s="4"/>
      <c r="AI1168" s="4"/>
      <c r="AJ1168" s="4"/>
      <c r="AK1168" s="4"/>
      <c r="AL1168" s="4"/>
      <c r="AM1168" s="4">
        <v>4.9400000000000004</v>
      </c>
    </row>
    <row r="1169" spans="1:39">
      <c r="B1169" s="1496" t="s">
        <v>163</v>
      </c>
      <c r="C1169" s="853" t="s">
        <v>3454</v>
      </c>
      <c r="D1169" s="12" t="s">
        <v>3470</v>
      </c>
      <c r="E1169" s="12" t="s">
        <v>3471</v>
      </c>
      <c r="F1169" s="3">
        <v>3</v>
      </c>
      <c r="G1169" s="783" t="s">
        <v>932</v>
      </c>
      <c r="H1169" s="3" t="s">
        <v>1041</v>
      </c>
      <c r="I1169" s="3">
        <v>535.79999999999995</v>
      </c>
      <c r="J1169" s="3">
        <v>304.83999999999997</v>
      </c>
      <c r="K1169" s="3" t="s">
        <v>3459</v>
      </c>
      <c r="L1169" s="761">
        <v>44581</v>
      </c>
      <c r="M1169" s="761" t="s">
        <v>2094</v>
      </c>
      <c r="N1169" s="761">
        <v>44585</v>
      </c>
      <c r="O1169" s="761" t="s">
        <v>62</v>
      </c>
      <c r="P1169" s="762" t="s">
        <v>3472</v>
      </c>
      <c r="Q1169" s="3" t="s">
        <v>3473</v>
      </c>
      <c r="R1169" s="3"/>
      <c r="S1169" s="3" t="s">
        <v>1547</v>
      </c>
      <c r="T1169" s="3"/>
      <c r="U1169" s="3">
        <v>320.5</v>
      </c>
      <c r="V1169" s="4"/>
      <c r="W1169" s="761"/>
      <c r="X1169" s="761" t="s">
        <v>2094</v>
      </c>
      <c r="Y1169" s="761">
        <v>44585</v>
      </c>
      <c r="Z1169" s="761" t="s">
        <v>62</v>
      </c>
      <c r="AA1169" s="4"/>
      <c r="AB1169" s="4"/>
      <c r="AC1169" s="4"/>
      <c r="AD1169" s="4"/>
      <c r="AE1169" s="4"/>
      <c r="AF1169" s="4"/>
      <c r="AG1169" s="4">
        <v>5.09</v>
      </c>
      <c r="AH1169" s="4"/>
      <c r="AI1169" s="4"/>
      <c r="AJ1169" s="4"/>
      <c r="AK1169" s="4"/>
      <c r="AL1169" s="4"/>
      <c r="AM1169" s="4">
        <v>4.92</v>
      </c>
    </row>
    <row r="1170" spans="1:39">
      <c r="B1170" s="1496" t="s">
        <v>163</v>
      </c>
      <c r="C1170" s="853" t="s">
        <v>3454</v>
      </c>
      <c r="D1170" s="12" t="s">
        <v>3474</v>
      </c>
      <c r="E1170" s="12" t="s">
        <v>3475</v>
      </c>
      <c r="F1170" s="3">
        <v>4</v>
      </c>
      <c r="G1170" s="783" t="s">
        <v>932</v>
      </c>
      <c r="H1170" s="3" t="s">
        <v>1041</v>
      </c>
      <c r="I1170" s="3">
        <v>527.5</v>
      </c>
      <c r="J1170" s="3">
        <v>303.27999999999997</v>
      </c>
      <c r="K1170" s="3" t="s">
        <v>3459</v>
      </c>
      <c r="L1170" s="761">
        <v>44585</v>
      </c>
      <c r="M1170" s="761" t="s">
        <v>2094</v>
      </c>
      <c r="N1170" s="761">
        <v>44585</v>
      </c>
      <c r="O1170" s="761" t="s">
        <v>62</v>
      </c>
      <c r="P1170" s="762"/>
      <c r="Q1170" s="3" t="s">
        <v>3476</v>
      </c>
      <c r="R1170" s="3"/>
      <c r="S1170" s="3" t="s">
        <v>1547</v>
      </c>
      <c r="T1170" s="3"/>
      <c r="U1170" s="3">
        <v>318.7</v>
      </c>
      <c r="V1170" s="4"/>
      <c r="W1170" s="761"/>
      <c r="X1170" s="761" t="s">
        <v>2094</v>
      </c>
      <c r="Y1170" s="761">
        <v>44586</v>
      </c>
      <c r="Z1170" s="761" t="s">
        <v>62</v>
      </c>
      <c r="AA1170" s="4">
        <v>4.97</v>
      </c>
      <c r="AB1170" s="4">
        <v>4.5999999999999996</v>
      </c>
      <c r="AC1170" s="4">
        <v>4.97</v>
      </c>
      <c r="AD1170" s="4">
        <v>4.62</v>
      </c>
      <c r="AE1170" s="4">
        <v>4.9800000000000004</v>
      </c>
      <c r="AF1170" s="4">
        <v>4.53</v>
      </c>
      <c r="AG1170" s="4">
        <v>4.79</v>
      </c>
      <c r="AH1170" s="4">
        <v>4.76</v>
      </c>
      <c r="AI1170" s="4">
        <v>4.91</v>
      </c>
      <c r="AJ1170" s="4">
        <v>4.76</v>
      </c>
      <c r="AK1170" s="4">
        <v>4.75</v>
      </c>
      <c r="AL1170" s="4">
        <v>4.74</v>
      </c>
      <c r="AM1170" s="4">
        <v>4.74</v>
      </c>
    </row>
    <row r="1171" spans="1:39">
      <c r="B1171" s="1496" t="s">
        <v>163</v>
      </c>
      <c r="C1171" s="853" t="s">
        <v>3454</v>
      </c>
      <c r="D1171" s="12" t="s">
        <v>3477</v>
      </c>
      <c r="E1171" s="12" t="s">
        <v>3478</v>
      </c>
      <c r="F1171" s="3">
        <v>5</v>
      </c>
      <c r="G1171" s="783" t="s">
        <v>932</v>
      </c>
      <c r="H1171" s="3" t="s">
        <v>1041</v>
      </c>
      <c r="I1171" s="3">
        <v>530</v>
      </c>
      <c r="J1171" s="3">
        <v>304.5</v>
      </c>
      <c r="K1171" s="3" t="s">
        <v>3459</v>
      </c>
      <c r="L1171" s="761">
        <v>44585</v>
      </c>
      <c r="M1171" s="761" t="s">
        <v>2094</v>
      </c>
      <c r="N1171" s="761">
        <v>44586</v>
      </c>
      <c r="O1171" s="761" t="s">
        <v>62</v>
      </c>
      <c r="P1171" s="762" t="s">
        <v>3479</v>
      </c>
      <c r="Q1171" s="3" t="s">
        <v>3480</v>
      </c>
      <c r="R1171" s="3"/>
      <c r="S1171" s="3" t="s">
        <v>1547</v>
      </c>
      <c r="T1171" s="3"/>
      <c r="U1171" s="3">
        <v>320.7</v>
      </c>
      <c r="V1171" s="4"/>
      <c r="W1171" s="761"/>
      <c r="X1171" s="761" t="s">
        <v>2094</v>
      </c>
      <c r="Y1171" s="761">
        <v>44586</v>
      </c>
      <c r="Z1171" s="761" t="s">
        <v>62</v>
      </c>
      <c r="AA1171" s="4">
        <v>4.93</v>
      </c>
      <c r="AB1171" s="4">
        <v>5.19</v>
      </c>
      <c r="AC1171" s="4">
        <v>5.13</v>
      </c>
      <c r="AD1171" s="4">
        <v>4.9400000000000004</v>
      </c>
      <c r="AE1171" s="4">
        <v>4.63</v>
      </c>
      <c r="AF1171" s="4">
        <v>5.15</v>
      </c>
      <c r="AG1171" s="4">
        <v>4.92</v>
      </c>
      <c r="AH1171" s="4">
        <v>4.93</v>
      </c>
      <c r="AI1171" s="4">
        <v>4.91</v>
      </c>
      <c r="AJ1171" s="4">
        <v>5.04</v>
      </c>
      <c r="AK1171" s="4">
        <v>4.93</v>
      </c>
      <c r="AL1171" s="4">
        <v>5.0999999999999996</v>
      </c>
      <c r="AM1171" s="4">
        <v>5.0199999999999996</v>
      </c>
    </row>
    <row r="1172" spans="1:39">
      <c r="B1172" s="1496" t="s">
        <v>163</v>
      </c>
      <c r="C1172" s="853" t="s">
        <v>3454</v>
      </c>
      <c r="D1172" s="12" t="s">
        <v>3481</v>
      </c>
      <c r="E1172" s="12" t="s">
        <v>3482</v>
      </c>
      <c r="F1172" s="3">
        <v>6</v>
      </c>
      <c r="G1172" s="783" t="s">
        <v>932</v>
      </c>
      <c r="H1172" s="3" t="s">
        <v>1041</v>
      </c>
      <c r="I1172" s="3">
        <v>536.29999999999995</v>
      </c>
      <c r="J1172" s="3">
        <v>305.77999999999997</v>
      </c>
      <c r="K1172" s="3" t="s">
        <v>3459</v>
      </c>
      <c r="L1172" s="761">
        <v>44585</v>
      </c>
      <c r="M1172" s="761" t="s">
        <v>2094</v>
      </c>
      <c r="N1172" s="761">
        <v>44586</v>
      </c>
      <c r="O1172" s="761" t="s">
        <v>62</v>
      </c>
      <c r="P1172" s="762"/>
      <c r="Q1172" s="3" t="s">
        <v>3483</v>
      </c>
      <c r="R1172" s="3"/>
      <c r="S1172" s="3" t="s">
        <v>1547</v>
      </c>
      <c r="T1172" s="3"/>
      <c r="U1172" s="3">
        <v>321.3</v>
      </c>
      <c r="V1172" s="4"/>
      <c r="W1172" s="761"/>
      <c r="X1172" s="761" t="s">
        <v>2094</v>
      </c>
      <c r="Y1172" s="761">
        <v>44586</v>
      </c>
      <c r="Z1172" s="761" t="s">
        <v>62</v>
      </c>
      <c r="AA1172" s="4">
        <v>5.17</v>
      </c>
      <c r="AB1172" s="4">
        <v>4.8</v>
      </c>
      <c r="AC1172" s="4">
        <v>5.17</v>
      </c>
      <c r="AD1172" s="4">
        <v>5.24</v>
      </c>
      <c r="AE1172" s="4">
        <v>5.05</v>
      </c>
      <c r="AF1172" s="4">
        <v>4.9000000000000004</v>
      </c>
      <c r="AG1172" s="4">
        <v>5.03</v>
      </c>
      <c r="AH1172" s="4"/>
      <c r="AI1172" s="4"/>
      <c r="AJ1172" s="4"/>
      <c r="AK1172" s="4"/>
      <c r="AL1172" s="4"/>
      <c r="AM1172" s="4">
        <v>4.97</v>
      </c>
    </row>
    <row r="1173" spans="1:39">
      <c r="B1173" s="1496" t="s">
        <v>163</v>
      </c>
      <c r="C1173" s="853" t="s">
        <v>3454</v>
      </c>
      <c r="D1173" s="12" t="s">
        <v>3484</v>
      </c>
      <c r="E1173" s="12" t="s">
        <v>3485</v>
      </c>
      <c r="F1173" s="3">
        <v>7</v>
      </c>
      <c r="G1173" s="783" t="s">
        <v>1041</v>
      </c>
      <c r="H1173" s="3" t="s">
        <v>932</v>
      </c>
      <c r="I1173" s="3">
        <v>529.9</v>
      </c>
      <c r="J1173" s="3">
        <v>301</v>
      </c>
      <c r="K1173" s="3" t="s">
        <v>3459</v>
      </c>
      <c r="L1173" s="761">
        <v>44587</v>
      </c>
      <c r="M1173" s="761" t="s">
        <v>2094</v>
      </c>
      <c r="N1173" s="761">
        <v>44587</v>
      </c>
      <c r="O1173" s="761" t="s">
        <v>62</v>
      </c>
      <c r="P1173" s="762" t="s">
        <v>3486</v>
      </c>
      <c r="Q1173" s="3" t="s">
        <v>3487</v>
      </c>
      <c r="R1173" s="3"/>
      <c r="S1173" s="3" t="s">
        <v>1547</v>
      </c>
      <c r="T1173" s="3"/>
      <c r="U1173" s="3">
        <v>316.2</v>
      </c>
      <c r="V1173" s="4"/>
      <c r="W1173" s="761"/>
      <c r="X1173" s="761" t="s">
        <v>2094</v>
      </c>
      <c r="Y1173" s="761">
        <v>44588</v>
      </c>
      <c r="Z1173" s="761" t="s">
        <v>62</v>
      </c>
      <c r="AA1173" s="4">
        <v>5.64</v>
      </c>
      <c r="AB1173" s="4">
        <v>4.78</v>
      </c>
      <c r="AC1173" s="4">
        <v>4.87</v>
      </c>
      <c r="AD1173" s="4">
        <v>4.9400000000000004</v>
      </c>
      <c r="AE1173" s="4">
        <v>5.21</v>
      </c>
      <c r="AF1173" s="4">
        <v>4.8600000000000003</v>
      </c>
      <c r="AG1173" s="4">
        <v>4.79</v>
      </c>
      <c r="AH1173" s="4"/>
      <c r="AI1173" s="4"/>
      <c r="AJ1173" s="4"/>
      <c r="AK1173" s="4"/>
      <c r="AL1173" s="4"/>
      <c r="AM1173" s="4">
        <v>4.55</v>
      </c>
    </row>
    <row r="1174" spans="1:39">
      <c r="B1174" s="1496" t="s">
        <v>163</v>
      </c>
      <c r="C1174" s="853" t="s">
        <v>3454</v>
      </c>
      <c r="D1174" s="12" t="s">
        <v>3488</v>
      </c>
      <c r="E1174" s="12" t="s">
        <v>3489</v>
      </c>
      <c r="F1174" s="3">
        <v>8</v>
      </c>
      <c r="G1174" s="783" t="s">
        <v>1041</v>
      </c>
      <c r="H1174" s="3" t="s">
        <v>932</v>
      </c>
      <c r="I1174" s="3">
        <v>533.29999999999995</v>
      </c>
      <c r="J1174" s="3">
        <v>303.42</v>
      </c>
      <c r="K1174" s="3" t="s">
        <v>3459</v>
      </c>
      <c r="L1174" s="761">
        <v>44587</v>
      </c>
      <c r="M1174" s="761" t="s">
        <v>2094</v>
      </c>
      <c r="N1174" s="761">
        <v>44587</v>
      </c>
      <c r="O1174" s="761" t="s">
        <v>62</v>
      </c>
      <c r="P1174" s="762" t="s">
        <v>3490</v>
      </c>
      <c r="Q1174" s="3" t="s">
        <v>3491</v>
      </c>
      <c r="R1174" s="3"/>
      <c r="S1174" s="3" t="s">
        <v>1547</v>
      </c>
      <c r="T1174" s="3"/>
      <c r="U1174" s="3">
        <v>318.5</v>
      </c>
      <c r="V1174" s="4"/>
      <c r="W1174" s="761"/>
      <c r="X1174" s="761" t="s">
        <v>2094</v>
      </c>
      <c r="Y1174" s="761">
        <v>44588</v>
      </c>
      <c r="Z1174" s="761" t="s">
        <v>62</v>
      </c>
      <c r="AA1174" s="4"/>
      <c r="AB1174" s="4"/>
      <c r="AC1174" s="4"/>
      <c r="AD1174" s="4"/>
      <c r="AE1174" s="4"/>
      <c r="AF1174" s="4"/>
      <c r="AG1174" s="4">
        <v>4.97</v>
      </c>
      <c r="AH1174" s="4"/>
      <c r="AI1174" s="4"/>
      <c r="AJ1174" s="4"/>
      <c r="AK1174" s="4"/>
      <c r="AL1174" s="4"/>
      <c r="AM1174" s="4">
        <v>4.72</v>
      </c>
    </row>
    <row r="1175" spans="1:39">
      <c r="B1175" s="1496" t="s">
        <v>163</v>
      </c>
      <c r="C1175" s="853" t="s">
        <v>3454</v>
      </c>
      <c r="D1175" s="12" t="s">
        <v>3492</v>
      </c>
      <c r="E1175" s="12" t="s">
        <v>3493</v>
      </c>
      <c r="F1175" s="3">
        <v>9</v>
      </c>
      <c r="G1175" s="783" t="s">
        <v>1041</v>
      </c>
      <c r="H1175" s="3" t="s">
        <v>932</v>
      </c>
      <c r="I1175" s="3">
        <v>537.1</v>
      </c>
      <c r="J1175" s="3">
        <v>302.89999999999998</v>
      </c>
      <c r="K1175" s="3" t="s">
        <v>3459</v>
      </c>
      <c r="L1175" s="761">
        <v>44587</v>
      </c>
      <c r="M1175" s="761" t="s">
        <v>2094</v>
      </c>
      <c r="N1175" s="761">
        <v>44587</v>
      </c>
      <c r="O1175" s="761" t="s">
        <v>62</v>
      </c>
      <c r="P1175" s="762" t="s">
        <v>3494</v>
      </c>
      <c r="Q1175" s="3" t="s">
        <v>3495</v>
      </c>
      <c r="R1175" s="3"/>
      <c r="S1175" s="3" t="s">
        <v>1547</v>
      </c>
      <c r="T1175" s="3"/>
      <c r="U1175" s="3">
        <v>319.3</v>
      </c>
      <c r="V1175" s="4"/>
      <c r="W1175" s="761"/>
      <c r="X1175" s="761" t="s">
        <v>2094</v>
      </c>
      <c r="Y1175" s="761">
        <v>44588</v>
      </c>
      <c r="Z1175" s="761" t="s">
        <v>62</v>
      </c>
      <c r="AA1175" s="4"/>
      <c r="AB1175" s="4"/>
      <c r="AC1175" s="4"/>
      <c r="AD1175" s="4"/>
      <c r="AE1175" s="4"/>
      <c r="AF1175" s="4"/>
      <c r="AG1175" s="4">
        <v>4.95</v>
      </c>
      <c r="AH1175" s="4"/>
      <c r="AI1175" s="4"/>
      <c r="AJ1175" s="4"/>
      <c r="AK1175" s="4"/>
      <c r="AL1175" s="4"/>
      <c r="AM1175" s="4">
        <v>4.9400000000000004</v>
      </c>
    </row>
    <row r="1176" spans="1:39">
      <c r="B1176" s="1496" t="s">
        <v>163</v>
      </c>
      <c r="C1176" s="853" t="s">
        <v>3454</v>
      </c>
      <c r="D1176" s="12" t="s">
        <v>3496</v>
      </c>
      <c r="E1176" s="12" t="s">
        <v>3497</v>
      </c>
      <c r="F1176" s="3">
        <v>10</v>
      </c>
      <c r="G1176" s="783" t="s">
        <v>932</v>
      </c>
      <c r="H1176" s="3" t="s">
        <v>1041</v>
      </c>
      <c r="I1176" s="3">
        <v>533.1</v>
      </c>
      <c r="J1176" s="3">
        <v>301.77999999999997</v>
      </c>
      <c r="K1176" s="3" t="s">
        <v>3459</v>
      </c>
      <c r="L1176" s="761">
        <v>44588</v>
      </c>
      <c r="M1176" s="761" t="s">
        <v>2094</v>
      </c>
      <c r="N1176" s="761">
        <v>44589</v>
      </c>
      <c r="O1176" s="761" t="s">
        <v>62</v>
      </c>
      <c r="P1176" s="762" t="s">
        <v>3498</v>
      </c>
      <c r="Q1176" s="3" t="s">
        <v>3499</v>
      </c>
      <c r="R1176" s="3"/>
      <c r="S1176" s="3" t="s">
        <v>1547</v>
      </c>
      <c r="T1176" s="3"/>
      <c r="U1176" s="3">
        <v>318</v>
      </c>
      <c r="V1176" s="4"/>
      <c r="W1176" s="761"/>
      <c r="X1176" s="761" t="s">
        <v>2094</v>
      </c>
      <c r="Y1176" s="761">
        <v>44589</v>
      </c>
      <c r="Z1176" s="761" t="s">
        <v>62</v>
      </c>
      <c r="AA1176" s="4"/>
      <c r="AB1176" s="4"/>
      <c r="AC1176" s="4"/>
      <c r="AD1176" s="4"/>
      <c r="AE1176" s="4"/>
      <c r="AF1176" s="4"/>
      <c r="AG1176" s="4">
        <v>4.96</v>
      </c>
      <c r="AH1176" s="4"/>
      <c r="AI1176" s="4"/>
      <c r="AJ1176" s="4"/>
      <c r="AK1176" s="4"/>
      <c r="AL1176" s="4"/>
      <c r="AM1176" s="4">
        <v>4.8</v>
      </c>
    </row>
    <row r="1177" spans="1:39">
      <c r="B1177" s="1496" t="s">
        <v>163</v>
      </c>
      <c r="C1177" s="853" t="s">
        <v>3454</v>
      </c>
      <c r="D1177" s="12" t="s">
        <v>3500</v>
      </c>
      <c r="E1177" s="12" t="s">
        <v>3501</v>
      </c>
      <c r="F1177" s="3">
        <v>11</v>
      </c>
      <c r="G1177" s="783" t="s">
        <v>932</v>
      </c>
      <c r="H1177" s="3" t="s">
        <v>1041</v>
      </c>
      <c r="I1177" s="3">
        <v>531.1</v>
      </c>
      <c r="J1177" s="3">
        <v>304.54000000000002</v>
      </c>
      <c r="K1177" s="3" t="s">
        <v>3459</v>
      </c>
      <c r="L1177" s="761">
        <v>44589</v>
      </c>
      <c r="M1177" s="761" t="s">
        <v>2094</v>
      </c>
      <c r="N1177" s="761">
        <v>44589</v>
      </c>
      <c r="O1177" s="761" t="s">
        <v>62</v>
      </c>
      <c r="P1177" s="762" t="s">
        <v>3502</v>
      </c>
      <c r="Q1177" s="3" t="s">
        <v>3503</v>
      </c>
      <c r="R1177" s="3"/>
      <c r="S1177" s="3" t="s">
        <v>1547</v>
      </c>
      <c r="T1177" s="3"/>
      <c r="U1177" s="3">
        <v>320.8</v>
      </c>
      <c r="V1177" s="4"/>
      <c r="W1177" s="761"/>
      <c r="X1177" s="761" t="s">
        <v>2094</v>
      </c>
      <c r="Y1177" s="761">
        <v>44589</v>
      </c>
      <c r="Z1177" s="761" t="s">
        <v>62</v>
      </c>
      <c r="AA1177" s="4"/>
      <c r="AB1177" s="4"/>
      <c r="AC1177" s="4"/>
      <c r="AD1177" s="4"/>
      <c r="AE1177" s="4"/>
      <c r="AF1177" s="4"/>
      <c r="AG1177" s="4">
        <v>4.8</v>
      </c>
      <c r="AH1177" s="4"/>
      <c r="AI1177" s="4"/>
      <c r="AJ1177" s="4"/>
      <c r="AK1177" s="4"/>
      <c r="AL1177" s="4"/>
      <c r="AM1177" s="4">
        <v>4.8499999999999996</v>
      </c>
    </row>
    <row r="1178" spans="1:39" s="707" customFormat="1">
      <c r="A1178"/>
      <c r="B1178" s="797" t="s">
        <v>13</v>
      </c>
      <c r="C1178" s="853" t="s">
        <v>1716</v>
      </c>
      <c r="D1178" s="875"/>
      <c r="E1178" s="875"/>
      <c r="F1178" s="807"/>
      <c r="G1178" s="809"/>
      <c r="H1178" s="807"/>
      <c r="I1178" s="807"/>
      <c r="J1178" s="807"/>
      <c r="K1178" s="807"/>
      <c r="L1178" s="819"/>
      <c r="M1178" s="819"/>
      <c r="N1178" s="819"/>
      <c r="O1178" s="819"/>
      <c r="P1178" s="820"/>
      <c r="Q1178" s="807"/>
      <c r="R1178" s="807"/>
      <c r="S1178" s="807"/>
      <c r="T1178" s="807"/>
      <c r="U1178" s="807"/>
      <c r="V1178" s="710"/>
      <c r="W1178" s="819"/>
      <c r="X1178" s="819"/>
      <c r="Y1178" s="819"/>
      <c r="Z1178" s="819"/>
      <c r="AA1178" s="710"/>
      <c r="AB1178" s="710"/>
      <c r="AC1178" s="710"/>
      <c r="AD1178" s="710"/>
      <c r="AE1178" s="710"/>
      <c r="AF1178" s="710"/>
      <c r="AG1178" s="710"/>
      <c r="AH1178" s="710"/>
      <c r="AI1178" s="710"/>
      <c r="AJ1178" s="710"/>
      <c r="AK1178" s="710"/>
      <c r="AL1178" s="710"/>
      <c r="AM1178" s="710"/>
    </row>
    <row r="1179" spans="1:39">
      <c r="B1179" s="1496" t="s">
        <v>213</v>
      </c>
      <c r="C1179" s="853" t="s">
        <v>3454</v>
      </c>
      <c r="D1179" s="12" t="s">
        <v>3504</v>
      </c>
      <c r="E1179" s="12" t="s">
        <v>3505</v>
      </c>
      <c r="F1179" s="3">
        <v>1</v>
      </c>
      <c r="G1179" s="783" t="s">
        <v>932</v>
      </c>
      <c r="H1179" s="3" t="s">
        <v>1041</v>
      </c>
      <c r="I1179" s="3">
        <v>535.20000000000005</v>
      </c>
      <c r="J1179" s="3">
        <v>304.8</v>
      </c>
      <c r="K1179" s="3" t="s">
        <v>2185</v>
      </c>
      <c r="L1179" s="761">
        <v>44621</v>
      </c>
      <c r="M1179" s="761" t="s">
        <v>2185</v>
      </c>
      <c r="N1179" s="761">
        <v>44621</v>
      </c>
      <c r="O1179" s="761" t="s">
        <v>62</v>
      </c>
      <c r="P1179" s="762"/>
      <c r="Q1179" s="3"/>
      <c r="R1179" s="3"/>
      <c r="S1179" s="3" t="s">
        <v>1547</v>
      </c>
      <c r="T1179" s="3"/>
      <c r="U1179" s="3">
        <v>3208</v>
      </c>
      <c r="V1179" s="4"/>
      <c r="W1179" s="761"/>
      <c r="X1179" s="761" t="str">
        <f t="shared" ref="X1179:X1189" si="8">TEXT(Y1179,"mmmm")</f>
        <v>March</v>
      </c>
      <c r="Y1179" s="761">
        <v>44622</v>
      </c>
      <c r="Z1179" s="761" t="s">
        <v>62</v>
      </c>
      <c r="AA1179" s="4"/>
      <c r="AB1179" s="4"/>
      <c r="AC1179" s="4"/>
      <c r="AD1179" s="4"/>
      <c r="AE1179" s="4"/>
      <c r="AF1179" s="4"/>
      <c r="AG1179" s="4">
        <v>5.0599999999999996</v>
      </c>
      <c r="AH1179" s="4"/>
      <c r="AI1179" s="4"/>
      <c r="AJ1179" s="4"/>
      <c r="AK1179" s="4"/>
      <c r="AL1179" s="4"/>
      <c r="AM1179" s="4">
        <v>5.1100000000000003</v>
      </c>
    </row>
    <row r="1180" spans="1:39">
      <c r="B1180" s="1496" t="s">
        <v>213</v>
      </c>
      <c r="C1180" s="853" t="s">
        <v>3454</v>
      </c>
      <c r="D1180" s="12" t="s">
        <v>3506</v>
      </c>
      <c r="E1180" s="12" t="s">
        <v>3507</v>
      </c>
      <c r="F1180" s="3">
        <v>2</v>
      </c>
      <c r="G1180" s="783" t="s">
        <v>932</v>
      </c>
      <c r="H1180" s="3" t="s">
        <v>1041</v>
      </c>
      <c r="I1180">
        <v>532.20000000000005</v>
      </c>
      <c r="J1180" s="3">
        <v>307.24</v>
      </c>
      <c r="K1180" s="3" t="s">
        <v>2185</v>
      </c>
      <c r="L1180" s="761">
        <v>44622</v>
      </c>
      <c r="M1180" s="761" t="s">
        <v>2185</v>
      </c>
      <c r="N1180" s="761">
        <v>44621</v>
      </c>
      <c r="O1180" s="761" t="s">
        <v>62</v>
      </c>
      <c r="P1180" s="762"/>
      <c r="Q1180" s="3"/>
      <c r="R1180" s="3"/>
      <c r="S1180" s="3" t="s">
        <v>1547</v>
      </c>
      <c r="T1180" s="3"/>
      <c r="U1180" s="3">
        <v>323</v>
      </c>
      <c r="V1180" s="4"/>
      <c r="W1180" s="761"/>
      <c r="X1180" s="761" t="str">
        <f t="shared" si="8"/>
        <v>March</v>
      </c>
      <c r="Y1180" s="761">
        <v>44622</v>
      </c>
      <c r="Z1180" s="761" t="s">
        <v>62</v>
      </c>
      <c r="AA1180" s="4"/>
      <c r="AB1180" s="4"/>
      <c r="AC1180" s="4"/>
      <c r="AD1180" s="4"/>
      <c r="AE1180" s="4"/>
      <c r="AF1180" s="4"/>
      <c r="AG1180" s="4">
        <v>5.17</v>
      </c>
      <c r="AH1180" s="4"/>
      <c r="AI1180" s="4"/>
      <c r="AJ1180" s="4"/>
      <c r="AK1180" s="4"/>
      <c r="AL1180" s="4"/>
      <c r="AM1180" s="4">
        <v>5.22</v>
      </c>
    </row>
    <row r="1181" spans="1:39">
      <c r="B1181" s="1496" t="s">
        <v>213</v>
      </c>
      <c r="C1181" s="853" t="s">
        <v>3454</v>
      </c>
      <c r="D1181" s="12" t="s">
        <v>3508</v>
      </c>
      <c r="E1181" s="12" t="s">
        <v>3509</v>
      </c>
      <c r="F1181" s="3">
        <v>3</v>
      </c>
      <c r="G1181" s="783" t="s">
        <v>932</v>
      </c>
      <c r="H1181" s="3" t="s">
        <v>1041</v>
      </c>
      <c r="I1181" s="3">
        <v>533.6</v>
      </c>
      <c r="J1181" s="3">
        <v>303.33999999999997</v>
      </c>
      <c r="K1181" s="3" t="s">
        <v>2185</v>
      </c>
      <c r="L1181" s="761">
        <v>44622</v>
      </c>
      <c r="M1181" s="761" t="s">
        <v>2185</v>
      </c>
      <c r="N1181" s="761">
        <v>44627</v>
      </c>
      <c r="O1181" s="761" t="s">
        <v>62</v>
      </c>
      <c r="P1181" s="762" t="s">
        <v>3510</v>
      </c>
      <c r="Q1181" s="3" t="s">
        <v>3511</v>
      </c>
      <c r="R1181" s="3"/>
      <c r="S1181" s="3" t="s">
        <v>1547</v>
      </c>
      <c r="T1181" s="3"/>
      <c r="U1181" s="3">
        <v>319</v>
      </c>
      <c r="V1181" s="4"/>
      <c r="W1181" s="761"/>
      <c r="X1181" s="761" t="str">
        <f t="shared" si="8"/>
        <v>March</v>
      </c>
      <c r="Y1181" s="761">
        <v>44627</v>
      </c>
      <c r="Z1181" s="761" t="s">
        <v>62</v>
      </c>
      <c r="AA1181" s="4"/>
      <c r="AB1181" s="4"/>
      <c r="AC1181" s="4"/>
      <c r="AD1181" s="4"/>
      <c r="AE1181" s="4"/>
      <c r="AF1181" s="4"/>
      <c r="AG1181" s="4">
        <v>5</v>
      </c>
      <c r="AH1181" s="4"/>
      <c r="AI1181" s="4"/>
      <c r="AJ1181" s="4"/>
      <c r="AK1181" s="4"/>
      <c r="AL1181" s="4"/>
      <c r="AM1181" s="4">
        <v>5.01</v>
      </c>
    </row>
    <row r="1182" spans="1:39">
      <c r="B1182" s="1496" t="s">
        <v>213</v>
      </c>
      <c r="C1182" s="853" t="s">
        <v>3454</v>
      </c>
      <c r="D1182" s="12" t="s">
        <v>3512</v>
      </c>
      <c r="E1182" s="12" t="s">
        <v>3513</v>
      </c>
      <c r="F1182" s="3">
        <v>4</v>
      </c>
      <c r="G1182" s="783" t="s">
        <v>932</v>
      </c>
      <c r="H1182" s="3" t="s">
        <v>1041</v>
      </c>
      <c r="I1182" s="3">
        <v>533.29999999999995</v>
      </c>
      <c r="J1182" s="3">
        <v>306.83999999999997</v>
      </c>
      <c r="K1182" s="3" t="s">
        <v>2185</v>
      </c>
      <c r="L1182" s="761">
        <v>44624</v>
      </c>
      <c r="M1182" s="761" t="s">
        <v>2185</v>
      </c>
      <c r="N1182" s="761">
        <v>44627</v>
      </c>
      <c r="O1182" s="761" t="s">
        <v>62</v>
      </c>
      <c r="P1182" s="762"/>
      <c r="Q1182" s="3" t="s">
        <v>784</v>
      </c>
      <c r="R1182" s="3"/>
      <c r="S1182" s="3" t="s">
        <v>1547</v>
      </c>
      <c r="T1182" s="3"/>
      <c r="U1182" s="3">
        <v>322.60000000000002</v>
      </c>
      <c r="V1182" s="4"/>
      <c r="W1182" s="761"/>
      <c r="X1182" s="761" t="str">
        <f t="shared" si="8"/>
        <v>March</v>
      </c>
      <c r="Y1182" s="761">
        <v>44627</v>
      </c>
      <c r="Z1182" s="761" t="s">
        <v>62</v>
      </c>
      <c r="AA1182" s="4"/>
      <c r="AB1182" s="4"/>
      <c r="AC1182" s="4"/>
      <c r="AD1182" s="4"/>
      <c r="AE1182" s="4"/>
      <c r="AF1182" s="4"/>
      <c r="AG1182" s="4" t="s">
        <v>3514</v>
      </c>
      <c r="AH1182" s="4"/>
      <c r="AI1182" s="4"/>
      <c r="AJ1182" s="4"/>
      <c r="AK1182" s="4"/>
      <c r="AL1182" s="4"/>
      <c r="AM1182" s="4">
        <v>5.01</v>
      </c>
    </row>
    <row r="1183" spans="1:39">
      <c r="B1183" s="1496" t="s">
        <v>213</v>
      </c>
      <c r="C1183" s="853" t="s">
        <v>3454</v>
      </c>
      <c r="D1183" s="12" t="s">
        <v>3515</v>
      </c>
      <c r="E1183" s="12" t="s">
        <v>3516</v>
      </c>
      <c r="F1183" s="3">
        <v>5</v>
      </c>
      <c r="G1183" s="783" t="s">
        <v>932</v>
      </c>
      <c r="H1183" s="3" t="s">
        <v>1041</v>
      </c>
      <c r="I1183" s="3">
        <v>532.70000000000005</v>
      </c>
      <c r="J1183" s="3">
        <v>302.77999999999997</v>
      </c>
      <c r="K1183" s="3" t="s">
        <v>2185</v>
      </c>
      <c r="L1183" s="761">
        <v>44627</v>
      </c>
      <c r="M1183" s="761" t="s">
        <v>2185</v>
      </c>
      <c r="N1183" s="761">
        <v>44628</v>
      </c>
      <c r="O1183" s="761" t="s">
        <v>62</v>
      </c>
      <c r="P1183" s="762"/>
      <c r="Q1183" s="3" t="s">
        <v>3517</v>
      </c>
      <c r="R1183" s="3"/>
      <c r="S1183" s="3" t="s">
        <v>1547</v>
      </c>
      <c r="T1183" s="3"/>
      <c r="U1183" s="3">
        <v>318.39999999999998</v>
      </c>
      <c r="V1183" s="4"/>
      <c r="W1183" s="761"/>
      <c r="X1183" s="761" t="str">
        <f t="shared" si="8"/>
        <v>March</v>
      </c>
      <c r="Y1183" s="761">
        <v>44629</v>
      </c>
      <c r="Z1183" s="761" t="s">
        <v>62</v>
      </c>
      <c r="AA1183" s="4"/>
      <c r="AB1183" s="4"/>
      <c r="AC1183" s="4"/>
      <c r="AD1183" s="4"/>
      <c r="AE1183" s="4"/>
      <c r="AF1183" s="4"/>
      <c r="AG1183" s="4">
        <v>4.76</v>
      </c>
      <c r="AH1183" s="4"/>
      <c r="AI1183" s="4"/>
      <c r="AJ1183" s="4"/>
      <c r="AK1183" s="4"/>
      <c r="AL1183" s="4"/>
      <c r="AM1183" s="4">
        <v>4.83</v>
      </c>
    </row>
    <row r="1184" spans="1:39">
      <c r="B1184" s="1496" t="s">
        <v>213</v>
      </c>
      <c r="C1184" s="853" t="s">
        <v>3454</v>
      </c>
      <c r="D1184" s="12" t="s">
        <v>3518</v>
      </c>
      <c r="E1184" s="12" t="s">
        <v>3519</v>
      </c>
      <c r="F1184" s="3">
        <v>6</v>
      </c>
      <c r="G1184" s="783" t="s">
        <v>932</v>
      </c>
      <c r="H1184" s="3" t="s">
        <v>1041</v>
      </c>
      <c r="I1184" s="3">
        <v>534.29999999999995</v>
      </c>
      <c r="J1184" s="3">
        <v>305.16000000000003</v>
      </c>
      <c r="K1184" s="3" t="s">
        <v>2185</v>
      </c>
      <c r="L1184" s="761">
        <v>44628</v>
      </c>
      <c r="M1184" s="761" t="s">
        <v>2185</v>
      </c>
      <c r="N1184" s="761">
        <v>44628</v>
      </c>
      <c r="O1184" s="761" t="s">
        <v>62</v>
      </c>
      <c r="P1184" s="762" t="s">
        <v>3520</v>
      </c>
      <c r="Q1184" s="3" t="s">
        <v>799</v>
      </c>
      <c r="R1184" s="3"/>
      <c r="S1184" s="3" t="s">
        <v>1547</v>
      </c>
      <c r="T1184" s="3"/>
      <c r="U1184" s="3">
        <v>320.89999999999998</v>
      </c>
      <c r="V1184" s="4"/>
      <c r="W1184" s="761"/>
      <c r="X1184" s="761" t="str">
        <f t="shared" si="8"/>
        <v>March</v>
      </c>
      <c r="Y1184" s="761">
        <v>44629</v>
      </c>
      <c r="Z1184" s="761" t="s">
        <v>62</v>
      </c>
      <c r="AA1184" s="4"/>
      <c r="AB1184" s="4"/>
      <c r="AC1184" s="4"/>
      <c r="AD1184" s="4"/>
      <c r="AE1184" s="4"/>
      <c r="AF1184" s="4"/>
      <c r="AG1184" s="4">
        <v>4.6900000000000004</v>
      </c>
      <c r="AH1184" s="4"/>
      <c r="AI1184" s="4"/>
      <c r="AJ1184" s="4"/>
      <c r="AK1184" s="4"/>
      <c r="AL1184" s="4"/>
      <c r="AM1184" s="4">
        <v>4.72</v>
      </c>
    </row>
    <row r="1185" spans="1:39">
      <c r="B1185" s="1496" t="s">
        <v>213</v>
      </c>
      <c r="C1185" s="853" t="s">
        <v>3454</v>
      </c>
      <c r="D1185" s="12" t="s">
        <v>3521</v>
      </c>
      <c r="E1185" s="12" t="s">
        <v>3522</v>
      </c>
      <c r="F1185" s="3">
        <v>7</v>
      </c>
      <c r="G1185" s="783" t="s">
        <v>932</v>
      </c>
      <c r="H1185" s="3" t="s">
        <v>1041</v>
      </c>
      <c r="I1185" s="3">
        <v>534.9</v>
      </c>
      <c r="J1185" s="3">
        <v>303.32</v>
      </c>
      <c r="K1185" s="3" t="s">
        <v>2185</v>
      </c>
      <c r="L1185" s="761">
        <v>44629</v>
      </c>
      <c r="M1185" s="761" t="s">
        <v>2185</v>
      </c>
      <c r="N1185" s="761">
        <v>44630</v>
      </c>
      <c r="O1185" s="761" t="s">
        <v>62</v>
      </c>
      <c r="P1185" s="762"/>
      <c r="Q1185" s="3"/>
      <c r="R1185" s="3"/>
      <c r="S1185" s="3" t="s">
        <v>1547</v>
      </c>
      <c r="T1185" s="3"/>
      <c r="U1185" s="3">
        <v>319.10000000000002</v>
      </c>
      <c r="V1185" s="4"/>
      <c r="W1185" s="761"/>
      <c r="X1185" s="761" t="str">
        <f t="shared" si="8"/>
        <v>March</v>
      </c>
      <c r="Y1185" s="761">
        <v>44630</v>
      </c>
      <c r="Z1185" s="761" t="s">
        <v>62</v>
      </c>
      <c r="AA1185" s="4"/>
      <c r="AB1185" s="4"/>
      <c r="AC1185" s="4"/>
      <c r="AD1185" s="4"/>
      <c r="AE1185" s="4"/>
      <c r="AF1185" s="4"/>
      <c r="AG1185" s="4">
        <v>4.87</v>
      </c>
      <c r="AH1185" s="4"/>
      <c r="AI1185" s="4"/>
      <c r="AJ1185" s="4"/>
      <c r="AK1185" s="4"/>
      <c r="AL1185" s="4"/>
      <c r="AM1185" s="4">
        <v>4.92</v>
      </c>
    </row>
    <row r="1186" spans="1:39">
      <c r="B1186" s="1496" t="s">
        <v>213</v>
      </c>
      <c r="C1186" s="853" t="s">
        <v>3454</v>
      </c>
      <c r="D1186" s="12" t="s">
        <v>3523</v>
      </c>
      <c r="E1186" s="12" t="s">
        <v>3524</v>
      </c>
      <c r="F1186" s="3">
        <v>8</v>
      </c>
      <c r="G1186" s="783" t="s">
        <v>932</v>
      </c>
      <c r="H1186" s="3" t="s">
        <v>1041</v>
      </c>
      <c r="I1186" s="3">
        <v>535.9</v>
      </c>
      <c r="J1186" s="3">
        <v>305.18</v>
      </c>
      <c r="K1186" s="3" t="s">
        <v>2185</v>
      </c>
      <c r="L1186" s="761">
        <v>44630</v>
      </c>
      <c r="M1186" s="761" t="s">
        <v>2185</v>
      </c>
      <c r="N1186" s="761">
        <v>44630</v>
      </c>
      <c r="O1186" s="761" t="s">
        <v>62</v>
      </c>
      <c r="P1186" s="762" t="s">
        <v>3525</v>
      </c>
      <c r="Q1186" s="3" t="s">
        <v>3526</v>
      </c>
      <c r="R1186" s="3"/>
      <c r="S1186" s="3" t="s">
        <v>1547</v>
      </c>
      <c r="T1186" s="3"/>
      <c r="U1186" s="3">
        <v>321.10000000000002</v>
      </c>
      <c r="V1186" s="4"/>
      <c r="W1186" s="761"/>
      <c r="X1186" s="761" t="str">
        <f t="shared" si="8"/>
        <v>March</v>
      </c>
      <c r="Y1186" s="761">
        <v>44630</v>
      </c>
      <c r="Z1186" s="761" t="s">
        <v>62</v>
      </c>
      <c r="AA1186" s="4"/>
      <c r="AB1186" s="4"/>
      <c r="AC1186" s="4"/>
      <c r="AD1186" s="4"/>
      <c r="AE1186" s="4"/>
      <c r="AF1186" s="4"/>
      <c r="AG1186" s="4">
        <v>4.72</v>
      </c>
      <c r="AH1186" s="4"/>
      <c r="AI1186" s="4"/>
      <c r="AJ1186" s="4"/>
      <c r="AK1186" s="4"/>
      <c r="AL1186" s="4"/>
      <c r="AM1186" s="4">
        <v>4.9000000000000004</v>
      </c>
    </row>
    <row r="1187" spans="1:39">
      <c r="B1187" s="895" t="s">
        <v>213</v>
      </c>
      <c r="C1187" s="853" t="s">
        <v>3454</v>
      </c>
      <c r="D1187" s="12" t="s">
        <v>3527</v>
      </c>
      <c r="E1187" s="12" t="s">
        <v>3528</v>
      </c>
      <c r="F1187" s="3">
        <v>9</v>
      </c>
      <c r="G1187" s="783" t="s">
        <v>932</v>
      </c>
      <c r="H1187" s="3" t="s">
        <v>932</v>
      </c>
      <c r="I1187" s="3">
        <f>132.5+132.2+134.7+135</f>
        <v>534.4</v>
      </c>
      <c r="J1187" s="3">
        <f>149.94+153.74</f>
        <v>303.68</v>
      </c>
      <c r="K1187" s="3" t="s">
        <v>2185</v>
      </c>
      <c r="L1187" s="761">
        <v>44631</v>
      </c>
      <c r="M1187" s="761" t="s">
        <v>2185</v>
      </c>
      <c r="N1187" s="761">
        <v>44631</v>
      </c>
      <c r="O1187" s="761" t="s">
        <v>62</v>
      </c>
      <c r="P1187" s="762" t="s">
        <v>3529</v>
      </c>
      <c r="Q1187" s="3" t="s">
        <v>3530</v>
      </c>
      <c r="R1187" s="3"/>
      <c r="S1187" s="3" t="s">
        <v>1547</v>
      </c>
      <c r="T1187" s="3"/>
      <c r="U1187" s="3">
        <v>319.7</v>
      </c>
      <c r="V1187" s="4"/>
      <c r="W1187" s="761"/>
      <c r="X1187" s="761" t="str">
        <f t="shared" si="8"/>
        <v>March</v>
      </c>
      <c r="Y1187" s="761">
        <v>44631</v>
      </c>
      <c r="Z1187" s="761" t="s">
        <v>62</v>
      </c>
      <c r="AA1187" s="4"/>
      <c r="AB1187" s="4"/>
      <c r="AC1187" s="4"/>
      <c r="AD1187" s="4"/>
      <c r="AE1187" s="4"/>
      <c r="AF1187" s="4"/>
      <c r="AG1187" s="4">
        <v>4.8499999999999996</v>
      </c>
      <c r="AH1187" s="4"/>
      <c r="AI1187" s="4"/>
      <c r="AJ1187" s="4"/>
      <c r="AK1187" s="4"/>
      <c r="AL1187" s="4"/>
      <c r="AM1187" s="4">
        <v>4.8499999999999996</v>
      </c>
    </row>
    <row r="1188" spans="1:39">
      <c r="B1188" s="895" t="s">
        <v>213</v>
      </c>
      <c r="C1188" s="853" t="s">
        <v>3454</v>
      </c>
      <c r="D1188" s="12" t="s">
        <v>3518</v>
      </c>
      <c r="E1188" s="12" t="s">
        <v>3531</v>
      </c>
      <c r="F1188" s="3">
        <v>10</v>
      </c>
      <c r="G1188" s="783" t="s">
        <v>932</v>
      </c>
      <c r="H1188" s="3" t="s">
        <v>932</v>
      </c>
      <c r="I1188" s="3">
        <v>538.4</v>
      </c>
      <c r="J1188" s="3">
        <v>301.7</v>
      </c>
      <c r="K1188" s="3" t="s">
        <v>2185</v>
      </c>
      <c r="L1188" s="761">
        <v>44635</v>
      </c>
      <c r="M1188" s="761" t="s">
        <v>2185</v>
      </c>
      <c r="N1188" s="761">
        <v>44636</v>
      </c>
      <c r="O1188" s="761" t="s">
        <v>62</v>
      </c>
      <c r="P1188" s="762" t="s">
        <v>3532</v>
      </c>
      <c r="Q1188" s="3" t="s">
        <v>3533</v>
      </c>
      <c r="R1188" s="3"/>
      <c r="S1188" s="3" t="s">
        <v>1547</v>
      </c>
      <c r="T1188" s="3"/>
      <c r="U1188" s="3">
        <v>317.8</v>
      </c>
      <c r="V1188" s="4"/>
      <c r="W1188" s="761"/>
      <c r="X1188" s="761" t="str">
        <f t="shared" si="8"/>
        <v>March</v>
      </c>
      <c r="Y1188" s="761">
        <v>44636</v>
      </c>
      <c r="Z1188" s="761" t="s">
        <v>62</v>
      </c>
      <c r="AA1188" s="4"/>
      <c r="AB1188" s="4"/>
      <c r="AC1188" s="4"/>
      <c r="AD1188" s="4"/>
      <c r="AE1188" s="4"/>
      <c r="AF1188" s="4"/>
      <c r="AG1188" s="4">
        <v>4.66</v>
      </c>
      <c r="AH1188" s="4"/>
      <c r="AI1188" s="4"/>
      <c r="AJ1188" s="4"/>
      <c r="AK1188" s="4"/>
      <c r="AL1188" s="4"/>
      <c r="AM1188" s="4">
        <v>4.62</v>
      </c>
    </row>
    <row r="1189" spans="1:39">
      <c r="B1189" s="895" t="s">
        <v>213</v>
      </c>
      <c r="C1189" s="853" t="s">
        <v>3454</v>
      </c>
      <c r="D1189" s="12" t="s">
        <v>3534</v>
      </c>
      <c r="E1189" s="12" t="s">
        <v>3535</v>
      </c>
      <c r="F1189" s="3">
        <v>11</v>
      </c>
      <c r="G1189" s="783" t="s">
        <v>932</v>
      </c>
      <c r="H1189" s="3" t="s">
        <v>932</v>
      </c>
      <c r="I1189" s="3">
        <v>538.79999999999995</v>
      </c>
      <c r="J1189" s="3">
        <v>304.92</v>
      </c>
      <c r="K1189" s="3" t="s">
        <v>2185</v>
      </c>
      <c r="L1189" s="761">
        <v>44636</v>
      </c>
      <c r="M1189" s="761" t="s">
        <v>2185</v>
      </c>
      <c r="N1189" s="761">
        <v>44636</v>
      </c>
      <c r="O1189" s="761" t="s">
        <v>62</v>
      </c>
      <c r="P1189" s="762" t="s">
        <v>3536</v>
      </c>
      <c r="Q1189" s="3" t="s">
        <v>3537</v>
      </c>
      <c r="R1189" s="3"/>
      <c r="S1189" s="3" t="s">
        <v>1547</v>
      </c>
      <c r="T1189" s="3"/>
      <c r="U1189" s="3">
        <v>320.39999999999998</v>
      </c>
      <c r="V1189" s="4"/>
      <c r="W1189" s="761"/>
      <c r="X1189" s="761" t="str">
        <f t="shared" si="8"/>
        <v>March</v>
      </c>
      <c r="Y1189" s="761">
        <v>44637</v>
      </c>
      <c r="Z1189" s="761" t="s">
        <v>62</v>
      </c>
      <c r="AA1189" s="4"/>
      <c r="AB1189" s="4"/>
      <c r="AC1189" s="4"/>
      <c r="AD1189" s="4"/>
      <c r="AE1189" s="4"/>
      <c r="AF1189" s="4"/>
      <c r="AG1189" s="4" t="s">
        <v>3538</v>
      </c>
      <c r="AH1189" s="4"/>
      <c r="AI1189" s="4"/>
      <c r="AJ1189" s="4"/>
      <c r="AK1189" s="4"/>
      <c r="AL1189" s="4"/>
      <c r="AM1189" s="4">
        <v>4.7300000000000004</v>
      </c>
    </row>
    <row r="1190" spans="1:39" s="707" customFormat="1">
      <c r="A1190"/>
      <c r="B1190" s="797" t="s">
        <v>13</v>
      </c>
      <c r="C1190" s="853" t="s">
        <v>2226</v>
      </c>
      <c r="D1190" s="875"/>
      <c r="E1190" s="875"/>
      <c r="F1190" s="807"/>
      <c r="G1190" s="809"/>
      <c r="H1190" s="807"/>
      <c r="I1190" s="807"/>
      <c r="J1190" s="807"/>
      <c r="K1190" s="807"/>
      <c r="L1190" s="819"/>
      <c r="M1190" s="819"/>
      <c r="N1190" s="819"/>
      <c r="O1190" s="819"/>
      <c r="P1190" s="820"/>
      <c r="Q1190" s="807"/>
      <c r="R1190" s="807"/>
      <c r="S1190" s="807"/>
      <c r="T1190" s="807"/>
      <c r="U1190" s="807"/>
      <c r="V1190" s="710"/>
      <c r="W1190" s="819"/>
      <c r="X1190" s="819"/>
      <c r="Y1190" s="819"/>
      <c r="Z1190" s="819"/>
      <c r="AA1190" s="710"/>
      <c r="AB1190" s="710"/>
      <c r="AC1190" s="710"/>
      <c r="AD1190" s="710"/>
      <c r="AE1190" s="710"/>
      <c r="AF1190" s="710"/>
      <c r="AG1190" s="710"/>
      <c r="AH1190" s="710"/>
      <c r="AI1190" s="710"/>
      <c r="AJ1190" s="710"/>
      <c r="AK1190" s="710"/>
      <c r="AL1190" s="710"/>
      <c r="AM1190" s="710"/>
    </row>
    <row r="1191" spans="1:39">
      <c r="B1191" s="1496" t="s">
        <v>277</v>
      </c>
      <c r="C1191" s="853" t="s">
        <v>3454</v>
      </c>
      <c r="D1191" s="12" t="s">
        <v>3539</v>
      </c>
      <c r="E1191" s="12" t="s">
        <v>3540</v>
      </c>
      <c r="F1191" s="3">
        <v>1</v>
      </c>
      <c r="G1191" s="783" t="s">
        <v>932</v>
      </c>
      <c r="H1191" s="3" t="s">
        <v>932</v>
      </c>
      <c r="I1191" s="3">
        <v>531.4</v>
      </c>
      <c r="J1191" s="3">
        <v>304.06</v>
      </c>
      <c r="K1191" s="3" t="s">
        <v>2185</v>
      </c>
      <c r="L1191" s="761">
        <v>44637</v>
      </c>
      <c r="M1191" s="761" t="s">
        <v>3541</v>
      </c>
      <c r="N1191" s="761">
        <v>44638</v>
      </c>
      <c r="O1191" s="761" t="s">
        <v>62</v>
      </c>
      <c r="P1191" s="762"/>
      <c r="Q1191" s="3"/>
      <c r="R1191" s="3"/>
      <c r="S1191" s="3" t="s">
        <v>1547</v>
      </c>
      <c r="T1191" s="3"/>
      <c r="U1191" s="3">
        <v>319.8</v>
      </c>
      <c r="V1191" s="4"/>
      <c r="W1191" s="761"/>
      <c r="X1191" s="761" t="str">
        <f t="shared" ref="X1191:X1211" si="9">TEXT(Y1191,"mmmm")</f>
        <v>March</v>
      </c>
      <c r="Y1191" s="761">
        <v>44638</v>
      </c>
      <c r="Z1191" s="761" t="s">
        <v>62</v>
      </c>
      <c r="AA1191" s="4"/>
      <c r="AB1191" s="4"/>
      <c r="AC1191" s="4"/>
      <c r="AD1191" s="4"/>
      <c r="AE1191" s="4"/>
      <c r="AF1191" s="4"/>
      <c r="AG1191" s="4" t="s">
        <v>3542</v>
      </c>
      <c r="AH1191" s="4"/>
      <c r="AI1191" s="4"/>
      <c r="AJ1191" s="4"/>
      <c r="AK1191" s="4"/>
      <c r="AL1191" s="4"/>
      <c r="AM1191" s="4">
        <v>4.8600000000000003</v>
      </c>
    </row>
    <row r="1192" spans="1:39">
      <c r="B1192" s="1496" t="s">
        <v>277</v>
      </c>
      <c r="C1192" s="853" t="s">
        <v>3454</v>
      </c>
      <c r="D1192" s="12" t="s">
        <v>3543</v>
      </c>
      <c r="E1192" s="12" t="s">
        <v>3544</v>
      </c>
      <c r="F1192" s="3">
        <v>2</v>
      </c>
      <c r="G1192" s="783" t="s">
        <v>932</v>
      </c>
      <c r="H1192" s="3" t="s">
        <v>932</v>
      </c>
      <c r="I1192" s="3">
        <v>542.20000000000005</v>
      </c>
      <c r="J1192" s="3">
        <v>303.14</v>
      </c>
      <c r="K1192" s="3" t="str">
        <f t="shared" ref="K1192:K1211" si="10">TEXT(L1192,"mmmm")</f>
        <v>March</v>
      </c>
      <c r="L1192" s="761">
        <v>44637</v>
      </c>
      <c r="M1192" s="761" t="s">
        <v>3541</v>
      </c>
      <c r="N1192" s="761">
        <v>44641</v>
      </c>
      <c r="O1192" s="761" t="s">
        <v>62</v>
      </c>
      <c r="P1192" s="762"/>
      <c r="Q1192" s="3" t="s">
        <v>3545</v>
      </c>
      <c r="R1192" s="3"/>
      <c r="S1192" s="3" t="s">
        <v>1547</v>
      </c>
      <c r="T1192" s="3"/>
      <c r="U1192" s="3">
        <v>319</v>
      </c>
      <c r="V1192" s="4"/>
      <c r="W1192" s="761"/>
      <c r="X1192" s="761" t="str">
        <f t="shared" si="9"/>
        <v>March</v>
      </c>
      <c r="Y1192" s="761">
        <v>44641</v>
      </c>
      <c r="Z1192" s="761" t="s">
        <v>62</v>
      </c>
      <c r="AA1192" s="4"/>
      <c r="AB1192" s="4"/>
      <c r="AC1192" s="4"/>
      <c r="AD1192" s="4"/>
      <c r="AE1192" s="4"/>
      <c r="AF1192" s="4"/>
      <c r="AG1192" s="4" t="s">
        <v>3546</v>
      </c>
      <c r="AH1192" s="4"/>
      <c r="AI1192" s="4"/>
      <c r="AJ1192" s="4"/>
      <c r="AK1192" s="4"/>
      <c r="AL1192" s="4"/>
      <c r="AM1192" s="4">
        <v>4.82</v>
      </c>
    </row>
    <row r="1193" spans="1:39">
      <c r="B1193" s="1496" t="s">
        <v>277</v>
      </c>
      <c r="C1193" s="853" t="s">
        <v>3454</v>
      </c>
      <c r="D1193" s="12" t="s">
        <v>3547</v>
      </c>
      <c r="E1193" s="12" t="s">
        <v>3548</v>
      </c>
      <c r="F1193" s="3">
        <v>3</v>
      </c>
      <c r="G1193" s="783" t="s">
        <v>1041</v>
      </c>
      <c r="H1193" s="3" t="s">
        <v>932</v>
      </c>
      <c r="I1193" s="3">
        <v>534.70000000000005</v>
      </c>
      <c r="J1193" s="3">
        <v>305.2</v>
      </c>
      <c r="K1193" s="3" t="str">
        <f t="shared" si="10"/>
        <v>March</v>
      </c>
      <c r="L1193" s="761">
        <v>44637</v>
      </c>
      <c r="M1193" s="761" t="s">
        <v>3541</v>
      </c>
      <c r="N1193" s="761">
        <v>44641</v>
      </c>
      <c r="O1193" s="761" t="s">
        <v>62</v>
      </c>
      <c r="P1193" s="762"/>
      <c r="Q1193" s="3" t="s">
        <v>3549</v>
      </c>
      <c r="R1193" s="3"/>
      <c r="S1193" s="3" t="s">
        <v>1547</v>
      </c>
      <c r="T1193" s="3"/>
      <c r="U1193" s="3">
        <v>321</v>
      </c>
      <c r="V1193" s="4"/>
      <c r="W1193" s="761"/>
      <c r="X1193" s="761" t="str">
        <f t="shared" si="9"/>
        <v>March</v>
      </c>
      <c r="Y1193" s="761">
        <v>44641</v>
      </c>
      <c r="Z1193" s="761" t="s">
        <v>62</v>
      </c>
      <c r="AA1193" s="4"/>
      <c r="AB1193" s="4"/>
      <c r="AC1193" s="4"/>
      <c r="AD1193" s="4"/>
      <c r="AE1193" s="4"/>
      <c r="AF1193" s="4"/>
      <c r="AG1193" s="4" t="s">
        <v>3550</v>
      </c>
      <c r="AH1193" s="4"/>
      <c r="AI1193" s="4"/>
      <c r="AJ1193" s="4"/>
      <c r="AK1193" s="4"/>
      <c r="AL1193" s="4"/>
      <c r="AM1193" s="4">
        <v>5.05</v>
      </c>
    </row>
    <row r="1194" spans="1:39">
      <c r="B1194" s="1496" t="s">
        <v>277</v>
      </c>
      <c r="C1194" s="853" t="s">
        <v>3454</v>
      </c>
      <c r="D1194" s="12" t="s">
        <v>3551</v>
      </c>
      <c r="E1194" s="12" t="s">
        <v>3552</v>
      </c>
      <c r="F1194" s="3">
        <v>4</v>
      </c>
      <c r="G1194" s="783" t="s">
        <v>932</v>
      </c>
      <c r="H1194" s="3" t="s">
        <v>932</v>
      </c>
      <c r="I1194" s="3">
        <v>532.70000000000005</v>
      </c>
      <c r="J1194" s="3">
        <v>303.18</v>
      </c>
      <c r="K1194" s="3" t="str">
        <f t="shared" si="10"/>
        <v>March</v>
      </c>
      <c r="L1194" s="761">
        <v>44641</v>
      </c>
      <c r="M1194" s="761" t="s">
        <v>3541</v>
      </c>
      <c r="N1194" s="761">
        <v>44642</v>
      </c>
      <c r="O1194" s="761" t="s">
        <v>62</v>
      </c>
      <c r="P1194" s="762" t="s">
        <v>3553</v>
      </c>
      <c r="Q1194" s="3" t="s">
        <v>793</v>
      </c>
      <c r="R1194" s="3"/>
      <c r="S1194" s="3" t="s">
        <v>1547</v>
      </c>
      <c r="T1194" s="3"/>
      <c r="U1194" s="3">
        <v>318.2</v>
      </c>
      <c r="V1194" s="4"/>
      <c r="W1194" s="761"/>
      <c r="X1194" s="761" t="str">
        <f t="shared" si="9"/>
        <v>March</v>
      </c>
      <c r="Y1194" s="761">
        <v>44642</v>
      </c>
      <c r="Z1194" s="761" t="s">
        <v>62</v>
      </c>
      <c r="AA1194" s="4"/>
      <c r="AB1194" s="4"/>
      <c r="AC1194" s="4"/>
      <c r="AD1194" s="4"/>
      <c r="AE1194" s="4"/>
      <c r="AF1194" s="4"/>
      <c r="AG1194" s="4" t="s">
        <v>3554</v>
      </c>
      <c r="AH1194" s="4"/>
      <c r="AI1194" s="4"/>
      <c r="AJ1194" s="4"/>
      <c r="AK1194" s="4"/>
      <c r="AL1194" s="4"/>
      <c r="AM1194" s="4">
        <v>4.49</v>
      </c>
    </row>
    <row r="1195" spans="1:39">
      <c r="B1195" s="1496" t="s">
        <v>277</v>
      </c>
      <c r="C1195" s="853" t="s">
        <v>3454</v>
      </c>
      <c r="D1195" s="12" t="s">
        <v>3555</v>
      </c>
      <c r="E1195" s="12" t="s">
        <v>3556</v>
      </c>
      <c r="F1195" s="3">
        <v>5</v>
      </c>
      <c r="G1195" s="783" t="s">
        <v>932</v>
      </c>
      <c r="H1195" s="3" t="s">
        <v>932</v>
      </c>
      <c r="I1195" s="3">
        <v>533.4</v>
      </c>
      <c r="J1195" s="3">
        <v>305.72000000000003</v>
      </c>
      <c r="K1195" s="3" t="str">
        <f t="shared" si="10"/>
        <v>March</v>
      </c>
      <c r="L1195" s="761">
        <v>44642</v>
      </c>
      <c r="M1195" s="761" t="s">
        <v>3541</v>
      </c>
      <c r="N1195" s="761">
        <v>44642</v>
      </c>
      <c r="O1195" s="761" t="s">
        <v>62</v>
      </c>
      <c r="P1195" s="762" t="s">
        <v>3557</v>
      </c>
      <c r="Q1195" s="3" t="s">
        <v>3558</v>
      </c>
      <c r="R1195" s="3"/>
      <c r="S1195" s="3" t="s">
        <v>1547</v>
      </c>
      <c r="T1195" s="3"/>
      <c r="U1195" s="3">
        <v>321.10000000000002</v>
      </c>
      <c r="V1195" s="4"/>
      <c r="W1195" s="761"/>
      <c r="X1195" s="761" t="str">
        <f t="shared" si="9"/>
        <v>March</v>
      </c>
      <c r="Y1195" s="761">
        <v>44642</v>
      </c>
      <c r="Z1195" s="761" t="s">
        <v>62</v>
      </c>
      <c r="AA1195" s="4"/>
      <c r="AB1195" s="4"/>
      <c r="AC1195" s="4"/>
      <c r="AD1195" s="4"/>
      <c r="AE1195" s="4"/>
      <c r="AF1195" s="4"/>
      <c r="AG1195" s="4" t="s">
        <v>3559</v>
      </c>
      <c r="AH1195" s="4"/>
      <c r="AI1195" s="4"/>
      <c r="AJ1195" s="4"/>
      <c r="AK1195" s="4"/>
      <c r="AL1195" s="4"/>
      <c r="AM1195" s="4">
        <v>4.83</v>
      </c>
    </row>
    <row r="1196" spans="1:39">
      <c r="B1196" s="1496" t="s">
        <v>277</v>
      </c>
      <c r="C1196" s="853" t="s">
        <v>3454</v>
      </c>
      <c r="D1196" s="12" t="s">
        <v>3560</v>
      </c>
      <c r="E1196" s="12" t="s">
        <v>3561</v>
      </c>
      <c r="F1196" s="3">
        <v>6</v>
      </c>
      <c r="G1196" s="783" t="s">
        <v>932</v>
      </c>
      <c r="H1196" s="3" t="s">
        <v>1041</v>
      </c>
      <c r="I1196" s="3">
        <v>531.15</v>
      </c>
      <c r="J1196" s="3">
        <v>300.82</v>
      </c>
      <c r="K1196" s="3" t="str">
        <f t="shared" si="10"/>
        <v>March</v>
      </c>
      <c r="L1196" s="761">
        <v>44643</v>
      </c>
      <c r="M1196" s="761" t="s">
        <v>3541</v>
      </c>
      <c r="N1196" s="761">
        <v>44643</v>
      </c>
      <c r="O1196" s="761" t="s">
        <v>62</v>
      </c>
      <c r="P1196" s="762"/>
      <c r="Q1196" s="3" t="s">
        <v>3562</v>
      </c>
      <c r="R1196" s="3"/>
      <c r="S1196" s="3" t="s">
        <v>1547</v>
      </c>
      <c r="T1196" s="3"/>
      <c r="U1196" s="3">
        <v>316.8</v>
      </c>
      <c r="V1196" s="4"/>
      <c r="W1196" s="761"/>
      <c r="X1196" s="761" t="str">
        <f t="shared" si="9"/>
        <v>March</v>
      </c>
      <c r="Y1196" s="761">
        <v>44643</v>
      </c>
      <c r="Z1196" s="761" t="s">
        <v>62</v>
      </c>
      <c r="AA1196" s="4"/>
      <c r="AB1196" s="4"/>
      <c r="AC1196" s="4"/>
      <c r="AD1196" s="4"/>
      <c r="AE1196" s="4"/>
      <c r="AF1196" s="4"/>
      <c r="AG1196" s="4" t="s">
        <v>3563</v>
      </c>
      <c r="AH1196" s="4"/>
      <c r="AI1196" s="4"/>
      <c r="AJ1196" s="4"/>
      <c r="AK1196" s="4"/>
      <c r="AL1196" s="4"/>
      <c r="AM1196" s="4">
        <v>4.6900000000000004</v>
      </c>
    </row>
    <row r="1197" spans="1:39">
      <c r="B1197" s="1496" t="s">
        <v>277</v>
      </c>
      <c r="C1197" s="853" t="s">
        <v>3454</v>
      </c>
      <c r="D1197" s="12" t="s">
        <v>3564</v>
      </c>
      <c r="E1197" s="12" t="s">
        <v>3565</v>
      </c>
      <c r="F1197" s="3">
        <v>7</v>
      </c>
      <c r="G1197" s="783" t="s">
        <v>932</v>
      </c>
      <c r="H1197" s="3" t="s">
        <v>1041</v>
      </c>
      <c r="I1197" s="3">
        <v>534.4</v>
      </c>
      <c r="J1197" s="3">
        <v>306.38</v>
      </c>
      <c r="K1197" s="3" t="str">
        <f t="shared" si="10"/>
        <v>March</v>
      </c>
      <c r="L1197" s="761">
        <v>44645</v>
      </c>
      <c r="M1197" s="761" t="s">
        <v>3541</v>
      </c>
      <c r="N1197" s="761">
        <v>44643</v>
      </c>
      <c r="O1197" s="761" t="s">
        <v>62</v>
      </c>
      <c r="P1197" s="762" t="s">
        <v>3566</v>
      </c>
      <c r="Q1197" s="3" t="s">
        <v>3567</v>
      </c>
      <c r="R1197" s="3"/>
      <c r="S1197" s="3" t="s">
        <v>1547</v>
      </c>
      <c r="T1197" s="3"/>
      <c r="U1197" s="3">
        <v>322.5</v>
      </c>
      <c r="V1197" s="4"/>
      <c r="W1197" s="761"/>
      <c r="X1197" s="761" t="str">
        <f t="shared" si="9"/>
        <v>March</v>
      </c>
      <c r="Y1197" s="761">
        <v>44643</v>
      </c>
      <c r="Z1197" s="761" t="s">
        <v>62</v>
      </c>
      <c r="AA1197" s="4"/>
      <c r="AB1197" s="4"/>
      <c r="AC1197" s="4"/>
      <c r="AD1197" s="4"/>
      <c r="AE1197" s="4"/>
      <c r="AF1197" s="4"/>
      <c r="AG1197" s="4" t="s">
        <v>3568</v>
      </c>
      <c r="AH1197" s="4"/>
      <c r="AI1197" s="4"/>
      <c r="AJ1197" s="4"/>
      <c r="AK1197" s="4"/>
      <c r="AL1197" s="4"/>
      <c r="AM1197" s="4">
        <v>4.68</v>
      </c>
    </row>
    <row r="1198" spans="1:39">
      <c r="B1198" s="1496" t="s">
        <v>277</v>
      </c>
      <c r="C1198" s="853" t="s">
        <v>3454</v>
      </c>
      <c r="D1198" s="12" t="s">
        <v>3569</v>
      </c>
      <c r="E1198" s="12" t="s">
        <v>3570</v>
      </c>
      <c r="F1198" s="3">
        <v>8</v>
      </c>
      <c r="G1198" s="783" t="s">
        <v>932</v>
      </c>
      <c r="H1198" s="3" t="s">
        <v>932</v>
      </c>
      <c r="I1198" s="3">
        <v>540</v>
      </c>
      <c r="J1198" s="3">
        <v>304.16000000000003</v>
      </c>
      <c r="K1198" s="3" t="str">
        <f t="shared" si="10"/>
        <v>March</v>
      </c>
      <c r="L1198" s="761">
        <v>44644</v>
      </c>
      <c r="M1198" s="761" t="s">
        <v>3541</v>
      </c>
      <c r="N1198" s="761">
        <v>44644</v>
      </c>
      <c r="O1198" s="761" t="s">
        <v>62</v>
      </c>
      <c r="P1198" s="762" t="s">
        <v>3571</v>
      </c>
      <c r="Q1198" s="3" t="s">
        <v>3572</v>
      </c>
      <c r="R1198" s="3"/>
      <c r="S1198" s="3" t="s">
        <v>1547</v>
      </c>
      <c r="T1198" s="3"/>
      <c r="U1198" s="3">
        <v>319.8</v>
      </c>
      <c r="V1198" s="4"/>
      <c r="W1198" s="761"/>
      <c r="X1198" s="761" t="str">
        <f t="shared" si="9"/>
        <v>March</v>
      </c>
      <c r="Y1198" s="761">
        <v>44644</v>
      </c>
      <c r="Z1198" s="761" t="s">
        <v>62</v>
      </c>
      <c r="AA1198" s="4"/>
      <c r="AB1198" s="4"/>
      <c r="AC1198" s="4"/>
      <c r="AD1198" s="4"/>
      <c r="AE1198" s="4"/>
      <c r="AF1198" s="4"/>
      <c r="AG1198" s="4" t="s">
        <v>3573</v>
      </c>
      <c r="AH1198" s="4"/>
      <c r="AI1198" s="4"/>
      <c r="AJ1198" s="4"/>
      <c r="AK1198" s="4"/>
      <c r="AL1198" s="4"/>
      <c r="AM1198" s="4">
        <v>4.79</v>
      </c>
    </row>
    <row r="1199" spans="1:39">
      <c r="B1199" s="1496" t="s">
        <v>277</v>
      </c>
      <c r="C1199" s="853" t="s">
        <v>3454</v>
      </c>
      <c r="D1199" s="12" t="s">
        <v>3574</v>
      </c>
      <c r="E1199" s="12" t="s">
        <v>3575</v>
      </c>
      <c r="F1199" s="3">
        <v>9</v>
      </c>
      <c r="G1199" s="783" t="s">
        <v>932</v>
      </c>
      <c r="H1199" s="3" t="s">
        <v>1041</v>
      </c>
      <c r="I1199" s="3">
        <v>534.4</v>
      </c>
      <c r="J1199" s="3">
        <v>303.18</v>
      </c>
      <c r="K1199" s="3" t="str">
        <f t="shared" si="10"/>
        <v>April</v>
      </c>
      <c r="L1199" s="761">
        <v>44652</v>
      </c>
      <c r="M1199" s="761" t="s">
        <v>2272</v>
      </c>
      <c r="N1199" s="761">
        <v>44652</v>
      </c>
      <c r="O1199" s="761" t="s">
        <v>62</v>
      </c>
      <c r="P1199" s="762" t="s">
        <v>3576</v>
      </c>
      <c r="Q1199" s="3" t="s">
        <v>3577</v>
      </c>
      <c r="R1199" s="3"/>
      <c r="S1199" s="3" t="s">
        <v>1547</v>
      </c>
      <c r="T1199" s="3"/>
      <c r="U1199" s="3">
        <v>319.2</v>
      </c>
      <c r="V1199" s="4"/>
      <c r="W1199" s="761"/>
      <c r="X1199" s="761" t="str">
        <f t="shared" si="9"/>
        <v>April</v>
      </c>
      <c r="Y1199" s="761">
        <v>44652</v>
      </c>
      <c r="Z1199" s="761" t="s">
        <v>62</v>
      </c>
      <c r="AA1199" s="4"/>
      <c r="AB1199" s="4"/>
      <c r="AC1199" s="4"/>
      <c r="AD1199" s="4"/>
      <c r="AE1199" s="4"/>
      <c r="AF1199" s="4"/>
      <c r="AG1199" s="4" t="s">
        <v>3578</v>
      </c>
      <c r="AH1199" s="4"/>
      <c r="AI1199" s="4"/>
      <c r="AJ1199" s="4"/>
      <c r="AK1199" s="4"/>
      <c r="AL1199" s="4"/>
      <c r="AM1199" s="4">
        <v>4.92</v>
      </c>
    </row>
    <row r="1200" spans="1:39">
      <c r="B1200" s="1496" t="s">
        <v>277</v>
      </c>
      <c r="C1200" s="853" t="s">
        <v>3454</v>
      </c>
      <c r="D1200" s="12" t="s">
        <v>3579</v>
      </c>
      <c r="E1200" s="12" t="s">
        <v>3580</v>
      </c>
      <c r="F1200" s="3">
        <v>10</v>
      </c>
      <c r="G1200" s="783" t="s">
        <v>932</v>
      </c>
      <c r="H1200" s="3" t="s">
        <v>1041</v>
      </c>
      <c r="I1200" s="3">
        <v>533.4</v>
      </c>
      <c r="J1200" s="3">
        <v>305</v>
      </c>
      <c r="K1200" s="3" t="str">
        <f t="shared" si="10"/>
        <v>April</v>
      </c>
      <c r="L1200" s="761">
        <v>44655</v>
      </c>
      <c r="M1200" s="761" t="s">
        <v>2272</v>
      </c>
      <c r="N1200" s="761">
        <v>44652</v>
      </c>
      <c r="O1200" s="761" t="s">
        <v>62</v>
      </c>
      <c r="P1200" s="762" t="s">
        <v>3581</v>
      </c>
      <c r="Q1200" s="3" t="s">
        <v>3582</v>
      </c>
      <c r="R1200" s="3"/>
      <c r="S1200" s="3" t="s">
        <v>1547</v>
      </c>
      <c r="T1200" s="3"/>
      <c r="U1200" s="3">
        <v>320.8</v>
      </c>
      <c r="V1200" s="4"/>
      <c r="W1200" s="761"/>
      <c r="X1200" s="761" t="str">
        <f t="shared" si="9"/>
        <v>April</v>
      </c>
      <c r="Y1200" s="761">
        <v>44652</v>
      </c>
      <c r="Z1200" s="761" t="s">
        <v>62</v>
      </c>
      <c r="AA1200" s="4"/>
      <c r="AB1200" s="4"/>
      <c r="AC1200" s="4"/>
      <c r="AD1200" s="4"/>
      <c r="AE1200" s="4"/>
      <c r="AF1200" s="4"/>
      <c r="AG1200" s="4" t="s">
        <v>3583</v>
      </c>
      <c r="AI1200" s="4"/>
      <c r="AJ1200" s="4"/>
      <c r="AK1200" s="4"/>
      <c r="AL1200" s="4"/>
      <c r="AM1200" s="4">
        <v>5.01</v>
      </c>
    </row>
    <row r="1201" spans="1:39">
      <c r="B1201" s="1496" t="s">
        <v>277</v>
      </c>
      <c r="C1201" s="853" t="s">
        <v>3454</v>
      </c>
      <c r="D1201" s="12" t="s">
        <v>3584</v>
      </c>
      <c r="E1201" s="12" t="s">
        <v>3585</v>
      </c>
      <c r="F1201" s="3">
        <v>11</v>
      </c>
      <c r="G1201" s="783" t="s">
        <v>932</v>
      </c>
      <c r="H1201" s="3" t="s">
        <v>1041</v>
      </c>
      <c r="I1201" s="3">
        <v>537.70000000000005</v>
      </c>
      <c r="J1201" s="3">
        <v>301.18</v>
      </c>
      <c r="K1201" s="3" t="str">
        <f t="shared" si="10"/>
        <v>April</v>
      </c>
      <c r="L1201" s="761">
        <v>44656</v>
      </c>
      <c r="M1201" s="761" t="s">
        <v>2272</v>
      </c>
      <c r="N1201" s="761">
        <v>44656</v>
      </c>
      <c r="O1201" s="761" t="s">
        <v>62</v>
      </c>
      <c r="P1201" s="762" t="s">
        <v>3586</v>
      </c>
      <c r="Q1201" s="3" t="s">
        <v>3587</v>
      </c>
      <c r="R1201" s="3"/>
      <c r="S1201" s="3" t="s">
        <v>1547</v>
      </c>
      <c r="T1201" s="3"/>
      <c r="U1201" s="3">
        <v>317.10000000000002</v>
      </c>
      <c r="V1201" s="4"/>
      <c r="W1201" s="761"/>
      <c r="X1201" s="761" t="str">
        <f t="shared" si="9"/>
        <v>April</v>
      </c>
      <c r="Y1201" s="761">
        <v>44656</v>
      </c>
      <c r="Z1201" s="761" t="s">
        <v>62</v>
      </c>
      <c r="AA1201" s="4"/>
      <c r="AB1201" s="4"/>
      <c r="AC1201" s="4"/>
      <c r="AD1201" s="4"/>
      <c r="AE1201" s="4"/>
      <c r="AF1201" s="4"/>
      <c r="AG1201" s="4" t="s">
        <v>3588</v>
      </c>
      <c r="AH1201" s="4"/>
      <c r="AI1201" s="4"/>
      <c r="AJ1201" s="4"/>
      <c r="AK1201" s="4"/>
      <c r="AL1201" s="4"/>
      <c r="AM1201" s="4">
        <v>4.9000000000000004</v>
      </c>
    </row>
    <row r="1202" spans="1:39">
      <c r="B1202" s="1496" t="s">
        <v>277</v>
      </c>
      <c r="C1202" s="853" t="s">
        <v>3454</v>
      </c>
      <c r="D1202" s="12" t="s">
        <v>3589</v>
      </c>
      <c r="E1202" s="12" t="s">
        <v>3590</v>
      </c>
      <c r="F1202" s="3">
        <v>12</v>
      </c>
      <c r="G1202" s="783" t="s">
        <v>932</v>
      </c>
      <c r="H1202" s="3" t="s">
        <v>1041</v>
      </c>
      <c r="I1202" s="3">
        <v>531.5</v>
      </c>
      <c r="J1202" s="3">
        <v>304.54000000000002</v>
      </c>
      <c r="K1202" s="3" t="str">
        <f t="shared" si="10"/>
        <v>April</v>
      </c>
      <c r="L1202" s="761">
        <v>44656</v>
      </c>
      <c r="M1202" s="761" t="s">
        <v>2272</v>
      </c>
      <c r="N1202" s="761">
        <v>44656</v>
      </c>
      <c r="O1202" s="761" t="s">
        <v>62</v>
      </c>
      <c r="P1202" s="762" t="s">
        <v>3591</v>
      </c>
      <c r="Q1202" s="3" t="s">
        <v>3592</v>
      </c>
      <c r="R1202" s="3"/>
      <c r="S1202" s="3" t="s">
        <v>1547</v>
      </c>
      <c r="T1202" s="3"/>
      <c r="U1202" s="3">
        <v>320.39999999999998</v>
      </c>
      <c r="V1202" s="4"/>
      <c r="W1202" s="761"/>
      <c r="X1202" s="761" t="str">
        <f t="shared" si="9"/>
        <v>April</v>
      </c>
      <c r="Y1202" s="761">
        <v>44656</v>
      </c>
      <c r="Z1202" s="761" t="s">
        <v>62</v>
      </c>
      <c r="AA1202" s="4"/>
      <c r="AB1202" s="4"/>
      <c r="AC1202" s="4"/>
      <c r="AD1202" s="4"/>
      <c r="AE1202" s="4"/>
      <c r="AF1202" s="4"/>
      <c r="AG1202" s="4" t="s">
        <v>3593</v>
      </c>
      <c r="AH1202" s="4"/>
      <c r="AI1202" s="4"/>
      <c r="AJ1202" s="4"/>
      <c r="AK1202" s="4"/>
      <c r="AL1202" s="4"/>
      <c r="AM1202" s="4">
        <v>4.6100000000000003</v>
      </c>
    </row>
    <row r="1203" spans="1:39">
      <c r="B1203" s="1496" t="s">
        <v>277</v>
      </c>
      <c r="C1203" s="853" t="s">
        <v>3454</v>
      </c>
      <c r="D1203" s="12" t="s">
        <v>3594</v>
      </c>
      <c r="E1203" s="12" t="s">
        <v>3595</v>
      </c>
      <c r="F1203" s="3">
        <v>13</v>
      </c>
      <c r="G1203" s="783" t="s">
        <v>1041</v>
      </c>
      <c r="H1203" s="3" t="s">
        <v>1041</v>
      </c>
      <c r="I1203" s="3">
        <v>533.79999999999995</v>
      </c>
      <c r="J1203" s="3">
        <v>304.42</v>
      </c>
      <c r="K1203" s="3" t="str">
        <f t="shared" si="10"/>
        <v>April</v>
      </c>
      <c r="L1203" s="761">
        <v>44657</v>
      </c>
      <c r="M1203" s="761" t="s">
        <v>2272</v>
      </c>
      <c r="N1203" s="761">
        <v>44656</v>
      </c>
      <c r="O1203" s="761" t="s">
        <v>62</v>
      </c>
      <c r="P1203" s="762" t="s">
        <v>3596</v>
      </c>
      <c r="Q1203" s="3" t="s">
        <v>3597</v>
      </c>
      <c r="R1203" s="3"/>
      <c r="S1203" s="3" t="s">
        <v>1547</v>
      </c>
      <c r="T1203" s="3"/>
      <c r="U1203" s="3">
        <v>320.3</v>
      </c>
      <c r="V1203" s="4"/>
      <c r="W1203" s="761"/>
      <c r="X1203" s="761" t="str">
        <f t="shared" si="9"/>
        <v>April</v>
      </c>
      <c r="Y1203" s="761">
        <v>44656</v>
      </c>
      <c r="Z1203" s="761" t="s">
        <v>62</v>
      </c>
      <c r="AA1203" s="4"/>
      <c r="AB1203" s="4"/>
      <c r="AC1203" s="4"/>
      <c r="AD1203" s="4"/>
      <c r="AE1203" s="4"/>
      <c r="AF1203" s="4"/>
      <c r="AG1203" s="4" t="s">
        <v>3598</v>
      </c>
      <c r="AH1203" s="4"/>
      <c r="AI1203" s="4"/>
      <c r="AJ1203" s="4"/>
      <c r="AK1203" s="4"/>
      <c r="AL1203" s="4"/>
      <c r="AM1203" s="4">
        <v>4.91</v>
      </c>
    </row>
    <row r="1204" spans="1:39">
      <c r="B1204" s="1496" t="s">
        <v>277</v>
      </c>
      <c r="C1204" s="853" t="s">
        <v>3454</v>
      </c>
      <c r="D1204" s="12" t="s">
        <v>3599</v>
      </c>
      <c r="E1204" s="12" t="s">
        <v>3600</v>
      </c>
      <c r="F1204" s="3">
        <v>14</v>
      </c>
      <c r="G1204" s="783" t="s">
        <v>1041</v>
      </c>
      <c r="H1204" s="3" t="s">
        <v>1041</v>
      </c>
      <c r="I1204" s="3">
        <v>536.6</v>
      </c>
      <c r="J1204" s="3">
        <v>302.45999999999998</v>
      </c>
      <c r="K1204" s="3" t="str">
        <f t="shared" si="10"/>
        <v>April</v>
      </c>
      <c r="L1204" s="761">
        <v>44657</v>
      </c>
      <c r="M1204" s="761" t="s">
        <v>2272</v>
      </c>
      <c r="N1204" s="761">
        <v>44657</v>
      </c>
      <c r="O1204" s="761" t="s">
        <v>62</v>
      </c>
      <c r="P1204" s="762" t="s">
        <v>3601</v>
      </c>
      <c r="Q1204" s="3" t="s">
        <v>3602</v>
      </c>
      <c r="R1204" s="3"/>
      <c r="S1204" s="3" t="s">
        <v>1547</v>
      </c>
      <c r="T1204" s="3"/>
      <c r="U1204" s="3">
        <v>317.7</v>
      </c>
      <c r="V1204" s="4"/>
      <c r="W1204" s="761"/>
      <c r="X1204" s="761" t="str">
        <f t="shared" si="9"/>
        <v>April</v>
      </c>
      <c r="Y1204" s="761">
        <v>44657</v>
      </c>
      <c r="Z1204" s="761" t="s">
        <v>62</v>
      </c>
      <c r="AA1204" s="4"/>
      <c r="AB1204" s="4"/>
      <c r="AC1204" s="4"/>
      <c r="AD1204" s="4"/>
      <c r="AE1204" s="4"/>
      <c r="AF1204" s="4"/>
      <c r="AG1204" s="4" t="s">
        <v>3603</v>
      </c>
      <c r="AI1204" s="4"/>
      <c r="AJ1204" s="4"/>
      <c r="AK1204" s="4"/>
      <c r="AL1204" s="4"/>
      <c r="AM1204" s="4">
        <v>5.09</v>
      </c>
    </row>
    <row r="1205" spans="1:39">
      <c r="B1205" s="1496" t="s">
        <v>277</v>
      </c>
      <c r="C1205" s="853" t="s">
        <v>3454</v>
      </c>
      <c r="D1205" s="12" t="s">
        <v>3604</v>
      </c>
      <c r="E1205" s="12" t="s">
        <v>3605</v>
      </c>
      <c r="F1205" s="3">
        <v>15</v>
      </c>
      <c r="G1205" s="783" t="s">
        <v>932</v>
      </c>
      <c r="H1205" s="3" t="s">
        <v>1041</v>
      </c>
      <c r="I1205" s="3">
        <v>535.6</v>
      </c>
      <c r="J1205" s="3">
        <v>305.60000000000002</v>
      </c>
      <c r="K1205" s="3" t="str">
        <f t="shared" si="10"/>
        <v>April</v>
      </c>
      <c r="L1205" s="761">
        <v>44657</v>
      </c>
      <c r="M1205" s="761" t="s">
        <v>2272</v>
      </c>
      <c r="N1205" s="761">
        <v>44657</v>
      </c>
      <c r="O1205" s="761" t="s">
        <v>62</v>
      </c>
      <c r="P1205" s="762" t="s">
        <v>3606</v>
      </c>
      <c r="Q1205" s="3" t="s">
        <v>3607</v>
      </c>
      <c r="R1205" s="3"/>
      <c r="S1205" s="3" t="s">
        <v>1547</v>
      </c>
      <c r="T1205" s="3"/>
      <c r="U1205" s="3">
        <v>322.2</v>
      </c>
      <c r="V1205" s="4"/>
      <c r="W1205" s="761"/>
      <c r="X1205" s="761" t="str">
        <f t="shared" si="9"/>
        <v>April</v>
      </c>
      <c r="Y1205" s="761">
        <v>44657</v>
      </c>
      <c r="Z1205" s="761" t="s">
        <v>62</v>
      </c>
      <c r="AA1205" s="4"/>
      <c r="AB1205" s="4"/>
      <c r="AC1205" s="4"/>
      <c r="AD1205" s="4"/>
      <c r="AE1205" s="4"/>
      <c r="AF1205" s="4"/>
      <c r="AG1205" s="4" t="s">
        <v>3608</v>
      </c>
      <c r="AI1205" s="4"/>
      <c r="AJ1205" s="4"/>
      <c r="AK1205" s="4"/>
      <c r="AL1205" s="4"/>
      <c r="AM1205" s="4">
        <v>5.03</v>
      </c>
    </row>
    <row r="1206" spans="1:39">
      <c r="B1206" s="1496" t="s">
        <v>277</v>
      </c>
      <c r="C1206" s="853" t="s">
        <v>3454</v>
      </c>
      <c r="D1206" s="12" t="s">
        <v>3609</v>
      </c>
      <c r="E1206" s="12" t="s">
        <v>3610</v>
      </c>
      <c r="F1206" s="3">
        <v>16</v>
      </c>
      <c r="G1206" s="783" t="s">
        <v>932</v>
      </c>
      <c r="H1206" s="3" t="s">
        <v>1041</v>
      </c>
      <c r="I1206" s="3">
        <v>526.79999999999995</v>
      </c>
      <c r="J1206" s="3">
        <v>304.08</v>
      </c>
      <c r="K1206" s="3" t="str">
        <f t="shared" si="10"/>
        <v>April</v>
      </c>
      <c r="L1206" s="761">
        <v>44658</v>
      </c>
      <c r="M1206" s="761" t="s">
        <v>2272</v>
      </c>
      <c r="N1206" s="761">
        <v>44658</v>
      </c>
      <c r="O1206" s="761" t="s">
        <v>62</v>
      </c>
      <c r="P1206" s="762" t="s">
        <v>3611</v>
      </c>
      <c r="Q1206" s="3" t="s">
        <v>3612</v>
      </c>
      <c r="R1206" s="3"/>
      <c r="S1206" s="3" t="s">
        <v>1547</v>
      </c>
      <c r="T1206" s="3"/>
      <c r="U1206" s="3">
        <v>319.3</v>
      </c>
      <c r="V1206" s="4"/>
      <c r="W1206" s="761"/>
      <c r="X1206" s="761" t="str">
        <f t="shared" si="9"/>
        <v>April</v>
      </c>
      <c r="Y1206" s="761">
        <v>44658</v>
      </c>
      <c r="Z1206" s="761" t="s">
        <v>62</v>
      </c>
      <c r="AA1206" s="4"/>
      <c r="AB1206" s="4"/>
      <c r="AC1206" s="4"/>
      <c r="AD1206" s="4"/>
      <c r="AE1206" s="4"/>
      <c r="AF1206" s="4"/>
      <c r="AG1206" s="4" t="s">
        <v>3613</v>
      </c>
      <c r="AH1206" s="4"/>
      <c r="AI1206" s="4"/>
      <c r="AJ1206" s="4"/>
      <c r="AK1206" s="4"/>
      <c r="AL1206" s="4"/>
      <c r="AM1206" s="4">
        <v>5.01</v>
      </c>
    </row>
    <row r="1207" spans="1:39">
      <c r="B1207" s="1496" t="s">
        <v>277</v>
      </c>
      <c r="C1207" s="853" t="s">
        <v>3454</v>
      </c>
      <c r="D1207" s="12" t="s">
        <v>3614</v>
      </c>
      <c r="E1207" s="12" t="s">
        <v>3615</v>
      </c>
      <c r="F1207" s="3">
        <v>17</v>
      </c>
      <c r="G1207" s="783" t="s">
        <v>932</v>
      </c>
      <c r="H1207" s="3" t="s">
        <v>1041</v>
      </c>
      <c r="I1207" s="3">
        <v>541.1</v>
      </c>
      <c r="J1207" s="3">
        <v>307.12</v>
      </c>
      <c r="K1207" s="3" t="str">
        <f t="shared" si="10"/>
        <v>April</v>
      </c>
      <c r="L1207" s="761">
        <v>44658</v>
      </c>
      <c r="M1207" s="761" t="s">
        <v>2272</v>
      </c>
      <c r="N1207" s="761">
        <v>44658</v>
      </c>
      <c r="O1207" s="761" t="s">
        <v>62</v>
      </c>
      <c r="P1207" s="762" t="s">
        <v>3616</v>
      </c>
      <c r="Q1207" s="3" t="s">
        <v>3617</v>
      </c>
      <c r="R1207" s="3"/>
      <c r="S1207" s="3" t="s">
        <v>1547</v>
      </c>
      <c r="T1207" s="3"/>
      <c r="U1207" s="3">
        <v>322.5</v>
      </c>
      <c r="V1207" s="4"/>
      <c r="W1207" s="761"/>
      <c r="X1207" s="761" t="str">
        <f t="shared" si="9"/>
        <v>April</v>
      </c>
      <c r="Y1207" s="761">
        <v>44658</v>
      </c>
      <c r="Z1207" s="761" t="s">
        <v>62</v>
      </c>
      <c r="AA1207" s="4"/>
      <c r="AB1207" s="4"/>
      <c r="AC1207" s="4"/>
      <c r="AD1207" s="4"/>
      <c r="AE1207" s="4"/>
      <c r="AF1207" s="4"/>
      <c r="AG1207" s="4" t="s">
        <v>3618</v>
      </c>
      <c r="AH1207" s="4"/>
      <c r="AI1207" s="4"/>
      <c r="AJ1207" s="4"/>
      <c r="AK1207" s="4"/>
      <c r="AL1207" s="4"/>
      <c r="AM1207" s="4">
        <v>5.01</v>
      </c>
    </row>
    <row r="1208" spans="1:39">
      <c r="B1208" s="1496" t="s">
        <v>277</v>
      </c>
      <c r="C1208" s="853" t="s">
        <v>3454</v>
      </c>
      <c r="D1208" s="12" t="s">
        <v>3619</v>
      </c>
      <c r="E1208" s="12" t="s">
        <v>3620</v>
      </c>
      <c r="F1208" s="3">
        <v>18</v>
      </c>
      <c r="G1208" s="783" t="s">
        <v>932</v>
      </c>
      <c r="H1208" s="3" t="s">
        <v>932</v>
      </c>
      <c r="I1208" s="3">
        <v>543.29999999999995</v>
      </c>
      <c r="J1208" s="3">
        <v>302.38</v>
      </c>
      <c r="K1208" s="3" t="str">
        <f t="shared" si="10"/>
        <v>April</v>
      </c>
      <c r="L1208" s="761">
        <v>44659</v>
      </c>
      <c r="M1208" s="761" t="s">
        <v>2272</v>
      </c>
      <c r="N1208" s="761">
        <v>44659</v>
      </c>
      <c r="O1208" s="761" t="s">
        <v>62</v>
      </c>
      <c r="P1208" s="762" t="s">
        <v>3621</v>
      </c>
      <c r="Q1208" s="3" t="s">
        <v>3622</v>
      </c>
      <c r="R1208" s="3"/>
      <c r="S1208" s="3" t="s">
        <v>1547</v>
      </c>
      <c r="T1208" s="3"/>
      <c r="U1208" s="3">
        <v>318.3</v>
      </c>
      <c r="V1208" s="4"/>
      <c r="W1208" s="761"/>
      <c r="X1208" s="761" t="str">
        <f t="shared" si="9"/>
        <v>April</v>
      </c>
      <c r="Y1208" s="761">
        <v>44659</v>
      </c>
      <c r="Z1208" s="761" t="s">
        <v>62</v>
      </c>
      <c r="AA1208" s="4"/>
      <c r="AB1208" s="4"/>
      <c r="AC1208" s="4"/>
      <c r="AD1208" s="4"/>
      <c r="AE1208" s="4"/>
      <c r="AF1208" s="4"/>
      <c r="AG1208" s="4" t="s">
        <v>3623</v>
      </c>
      <c r="AH1208" s="4"/>
      <c r="AI1208" s="4"/>
      <c r="AJ1208" s="4"/>
      <c r="AK1208" s="4"/>
      <c r="AL1208" s="4"/>
      <c r="AM1208" s="4">
        <v>4.93</v>
      </c>
    </row>
    <row r="1209" spans="1:39">
      <c r="B1209" s="1496" t="s">
        <v>277</v>
      </c>
      <c r="C1209" s="853" t="s">
        <v>3454</v>
      </c>
      <c r="D1209" s="12" t="s">
        <v>3624</v>
      </c>
      <c r="E1209" s="12" t="s">
        <v>3625</v>
      </c>
      <c r="F1209" s="3">
        <v>19</v>
      </c>
      <c r="G1209" s="783" t="s">
        <v>932</v>
      </c>
      <c r="H1209" s="3" t="s">
        <v>1041</v>
      </c>
      <c r="I1209" s="3">
        <v>532.79999999999995</v>
      </c>
      <c r="J1209" s="3">
        <v>305.44</v>
      </c>
      <c r="K1209" s="3" t="str">
        <f t="shared" si="10"/>
        <v>April</v>
      </c>
      <c r="L1209" s="761">
        <v>44662</v>
      </c>
      <c r="M1209" s="761" t="s">
        <v>2272</v>
      </c>
      <c r="N1209" s="761">
        <v>44663</v>
      </c>
      <c r="O1209" s="761" t="s">
        <v>62</v>
      </c>
      <c r="P1209" s="762" t="s">
        <v>3626</v>
      </c>
      <c r="Q1209" s="3" t="s">
        <v>3627</v>
      </c>
      <c r="R1209" s="3"/>
      <c r="S1209" s="3" t="s">
        <v>1547</v>
      </c>
      <c r="T1209" s="3"/>
      <c r="U1209" s="3">
        <v>321.2</v>
      </c>
      <c r="V1209" s="4"/>
      <c r="W1209" s="761"/>
      <c r="X1209" s="761" t="str">
        <f t="shared" si="9"/>
        <v>April</v>
      </c>
      <c r="Y1209" s="761">
        <v>44663</v>
      </c>
      <c r="Z1209" s="761" t="s">
        <v>62</v>
      </c>
      <c r="AA1209" s="4"/>
      <c r="AB1209" s="4"/>
      <c r="AC1209" s="4"/>
      <c r="AD1209" s="4"/>
      <c r="AE1209" s="4"/>
      <c r="AF1209" s="4"/>
      <c r="AG1209" s="4" t="s">
        <v>3628</v>
      </c>
      <c r="AH1209" s="4"/>
      <c r="AI1209" s="4"/>
      <c r="AJ1209" s="4"/>
      <c r="AK1209" s="4"/>
      <c r="AL1209" s="4"/>
      <c r="AM1209" s="4">
        <v>4.53</v>
      </c>
    </row>
    <row r="1210" spans="1:39">
      <c r="B1210" s="1496" t="s">
        <v>277</v>
      </c>
      <c r="C1210" s="853" t="s">
        <v>3454</v>
      </c>
      <c r="D1210" s="12" t="s">
        <v>3629</v>
      </c>
      <c r="E1210" s="12" t="s">
        <v>3630</v>
      </c>
      <c r="F1210" s="3">
        <v>20</v>
      </c>
      <c r="G1210" s="783" t="s">
        <v>932</v>
      </c>
      <c r="H1210" s="3" t="s">
        <v>1041</v>
      </c>
      <c r="I1210" s="3">
        <v>538.6</v>
      </c>
      <c r="J1210" s="3">
        <v>304.42</v>
      </c>
      <c r="K1210" s="3" t="str">
        <f t="shared" si="10"/>
        <v>April</v>
      </c>
      <c r="L1210" s="761">
        <v>44663</v>
      </c>
      <c r="M1210" s="761" t="s">
        <v>2272</v>
      </c>
      <c r="N1210" s="761">
        <v>44663</v>
      </c>
      <c r="O1210" s="761" t="s">
        <v>62</v>
      </c>
      <c r="P1210" s="762" t="s">
        <v>3631</v>
      </c>
      <c r="Q1210" s="3" t="s">
        <v>3632</v>
      </c>
      <c r="R1210" s="3"/>
      <c r="S1210" s="3" t="s">
        <v>1547</v>
      </c>
      <c r="T1210" s="3"/>
      <c r="U1210" s="3">
        <v>320.10000000000002</v>
      </c>
      <c r="V1210" s="4"/>
      <c r="W1210" s="761"/>
      <c r="X1210" s="761" t="str">
        <f t="shared" si="9"/>
        <v>April</v>
      </c>
      <c r="Y1210" s="761">
        <v>44663</v>
      </c>
      <c r="Z1210" s="761" t="s">
        <v>62</v>
      </c>
      <c r="AA1210" s="4"/>
      <c r="AB1210" s="4"/>
      <c r="AC1210" s="4"/>
      <c r="AD1210" s="4"/>
      <c r="AE1210" s="4"/>
      <c r="AF1210" s="4"/>
      <c r="AG1210" s="4" t="s">
        <v>3633</v>
      </c>
      <c r="AH1210" s="4"/>
      <c r="AI1210" s="4"/>
      <c r="AJ1210" s="4"/>
      <c r="AK1210" s="4"/>
      <c r="AL1210" s="4"/>
      <c r="AM1210" s="4">
        <v>4.91</v>
      </c>
    </row>
    <row r="1211" spans="1:39">
      <c r="B1211" s="1496" t="s">
        <v>277</v>
      </c>
      <c r="C1211" s="853" t="s">
        <v>3454</v>
      </c>
      <c r="D1211" s="12" t="s">
        <v>3634</v>
      </c>
      <c r="E1211" s="12" t="s">
        <v>3635</v>
      </c>
      <c r="F1211" s="3">
        <v>21</v>
      </c>
      <c r="G1211" s="783" t="s">
        <v>932</v>
      </c>
      <c r="H1211" s="3" t="s">
        <v>1041</v>
      </c>
      <c r="I1211" s="3">
        <v>540.20000000000005</v>
      </c>
      <c r="J1211" s="3">
        <v>308</v>
      </c>
      <c r="K1211" s="3" t="str">
        <f t="shared" si="10"/>
        <v>April</v>
      </c>
      <c r="L1211" s="761">
        <v>44663</v>
      </c>
      <c r="M1211" s="761" t="s">
        <v>2272</v>
      </c>
      <c r="N1211" s="761">
        <v>44663</v>
      </c>
      <c r="O1211" s="761" t="s">
        <v>62</v>
      </c>
      <c r="P1211" s="762" t="s">
        <v>3636</v>
      </c>
      <c r="Q1211" s="3" t="s">
        <v>697</v>
      </c>
      <c r="R1211" s="3"/>
      <c r="S1211" s="3" t="s">
        <v>1547</v>
      </c>
      <c r="T1211" s="3"/>
      <c r="U1211" s="3">
        <v>323.8</v>
      </c>
      <c r="V1211" s="4"/>
      <c r="W1211" s="761"/>
      <c r="X1211" s="761" t="str">
        <f t="shared" si="9"/>
        <v>April</v>
      </c>
      <c r="Y1211" s="761">
        <v>44663</v>
      </c>
      <c r="Z1211" s="761" t="s">
        <v>62</v>
      </c>
      <c r="AA1211" s="4"/>
      <c r="AB1211" s="4"/>
      <c r="AC1211" s="4"/>
      <c r="AD1211" s="4"/>
      <c r="AE1211" s="4"/>
      <c r="AF1211" s="4"/>
      <c r="AG1211" s="4" t="s">
        <v>3637</v>
      </c>
      <c r="AH1211" s="4"/>
      <c r="AI1211" s="4"/>
      <c r="AJ1211" s="4"/>
      <c r="AK1211" s="4"/>
      <c r="AL1211" s="4"/>
      <c r="AM1211" s="4">
        <v>4.79</v>
      </c>
    </row>
    <row r="1212" spans="1:39" s="707" customFormat="1">
      <c r="A1212"/>
      <c r="B1212" s="797" t="s">
        <v>13</v>
      </c>
      <c r="C1212" s="853" t="s">
        <v>1758</v>
      </c>
      <c r="D1212" s="875"/>
      <c r="E1212" s="875"/>
      <c r="F1212" s="807"/>
      <c r="G1212" s="809"/>
      <c r="H1212" s="807"/>
      <c r="I1212" s="807"/>
      <c r="J1212" s="807"/>
      <c r="K1212" s="807"/>
      <c r="L1212" s="819"/>
      <c r="M1212" s="819"/>
      <c r="N1212" s="819"/>
      <c r="O1212" s="819"/>
      <c r="P1212" s="820"/>
      <c r="Q1212" s="807"/>
      <c r="R1212" s="807"/>
      <c r="S1212" s="807"/>
      <c r="T1212" s="807"/>
      <c r="U1212" s="807"/>
      <c r="V1212" s="710"/>
      <c r="W1212" s="819"/>
      <c r="X1212" s="819"/>
      <c r="Y1212" s="819"/>
      <c r="Z1212" s="819"/>
      <c r="AA1212" s="710"/>
      <c r="AB1212" s="710"/>
      <c r="AC1212" s="710"/>
      <c r="AD1212" s="710"/>
      <c r="AE1212" s="710"/>
      <c r="AF1212" s="710"/>
      <c r="AG1212" s="710"/>
      <c r="AH1212" s="710"/>
      <c r="AI1212" s="710"/>
      <c r="AJ1212" s="710"/>
      <c r="AK1212" s="710"/>
      <c r="AL1212" s="710"/>
      <c r="AM1212" s="710"/>
    </row>
    <row r="1213" spans="1:39">
      <c r="B1213" s="895">
        <v>5</v>
      </c>
      <c r="C1213" s="853" t="s">
        <v>3454</v>
      </c>
      <c r="D1213" s="12" t="s">
        <v>3638</v>
      </c>
      <c r="E1213" s="12" t="s">
        <v>3639</v>
      </c>
      <c r="F1213" s="3">
        <v>1</v>
      </c>
      <c r="G1213" s="783" t="s">
        <v>932</v>
      </c>
      <c r="H1213" s="3" t="s">
        <v>1041</v>
      </c>
      <c r="I1213" s="3">
        <v>533.6</v>
      </c>
      <c r="J1213" s="3">
        <v>302.74</v>
      </c>
      <c r="K1213" s="3" t="str">
        <f t="shared" ref="K1213:K1229" si="11">TEXT(L1213,"mmmm")</f>
        <v>April</v>
      </c>
      <c r="L1213" s="761">
        <v>44665</v>
      </c>
      <c r="M1213" s="761" t="str">
        <f t="shared" ref="M1213:M1229" si="12">TEXT(N1213,"mmmm")</f>
        <v>April</v>
      </c>
      <c r="N1213" s="761">
        <v>44665</v>
      </c>
      <c r="O1213" s="761" t="s">
        <v>62</v>
      </c>
      <c r="P1213" s="762" t="s">
        <v>3640</v>
      </c>
      <c r="Q1213" s="3" t="s">
        <v>3641</v>
      </c>
      <c r="R1213" s="3"/>
      <c r="S1213" s="3" t="s">
        <v>1547</v>
      </c>
      <c r="T1213" s="3"/>
      <c r="U1213" s="3">
        <v>318.39999999999998</v>
      </c>
      <c r="V1213" s="4"/>
      <c r="W1213" s="761"/>
      <c r="X1213" s="761" t="str">
        <f t="shared" ref="X1213:X1229" si="13">TEXT(Y1213,"mmmm")</f>
        <v>April</v>
      </c>
      <c r="Y1213" s="761">
        <v>44665</v>
      </c>
      <c r="Z1213" s="761" t="s">
        <v>62</v>
      </c>
      <c r="AA1213" s="4"/>
      <c r="AB1213" s="4"/>
      <c r="AC1213" s="4"/>
      <c r="AD1213" s="4"/>
      <c r="AE1213" s="4"/>
      <c r="AF1213" s="4"/>
      <c r="AG1213" s="4" t="s">
        <v>3642</v>
      </c>
      <c r="AH1213" s="4"/>
      <c r="AI1213" s="4"/>
      <c r="AJ1213" s="4"/>
      <c r="AK1213" s="4"/>
      <c r="AL1213" s="4"/>
      <c r="AM1213" s="4">
        <v>4.75</v>
      </c>
    </row>
    <row r="1214" spans="1:39">
      <c r="B1214" s="895">
        <v>5</v>
      </c>
      <c r="C1214" s="853" t="s">
        <v>3454</v>
      </c>
      <c r="D1214" s="12" t="s">
        <v>3643</v>
      </c>
      <c r="E1214" s="12" t="s">
        <v>3644</v>
      </c>
      <c r="F1214" s="3">
        <v>2</v>
      </c>
      <c r="G1214" s="783" t="s">
        <v>932</v>
      </c>
      <c r="H1214" s="3" t="s">
        <v>1041</v>
      </c>
      <c r="I1214" s="3">
        <v>531.4</v>
      </c>
      <c r="J1214" s="3">
        <v>305.89999999999998</v>
      </c>
      <c r="K1214" s="3" t="str">
        <f t="shared" si="11"/>
        <v>April</v>
      </c>
      <c r="L1214" s="761">
        <v>44669</v>
      </c>
      <c r="M1214" s="761" t="str">
        <f t="shared" si="12"/>
        <v>April</v>
      </c>
      <c r="N1214" s="761">
        <v>44665</v>
      </c>
      <c r="O1214" s="761" t="s">
        <v>62</v>
      </c>
      <c r="P1214" s="762" t="s">
        <v>3645</v>
      </c>
      <c r="Q1214" s="3" t="s">
        <v>3646</v>
      </c>
      <c r="R1214" s="3"/>
      <c r="S1214" s="3" t="s">
        <v>1547</v>
      </c>
      <c r="T1214" s="3"/>
      <c r="U1214" s="3">
        <v>321.60000000000002</v>
      </c>
      <c r="V1214" s="4"/>
      <c r="W1214" s="761"/>
      <c r="X1214" s="761" t="str">
        <f t="shared" si="13"/>
        <v>April</v>
      </c>
      <c r="Y1214" s="761">
        <v>44669</v>
      </c>
      <c r="Z1214" s="761" t="s">
        <v>62</v>
      </c>
      <c r="AA1214" s="4"/>
      <c r="AB1214" s="4"/>
      <c r="AC1214" s="4"/>
      <c r="AD1214" s="4"/>
      <c r="AE1214" s="4"/>
      <c r="AF1214" s="4"/>
      <c r="AG1214" s="4" t="s">
        <v>3647</v>
      </c>
      <c r="AH1214" s="4"/>
      <c r="AI1214" s="4"/>
      <c r="AJ1214" s="4"/>
      <c r="AK1214" s="4"/>
      <c r="AL1214" s="4"/>
      <c r="AM1214" s="4">
        <v>4.8600000000000003</v>
      </c>
    </row>
    <row r="1215" spans="1:39">
      <c r="B1215" s="895">
        <v>5</v>
      </c>
      <c r="C1215" s="853" t="s">
        <v>3454</v>
      </c>
      <c r="D1215" s="12" t="s">
        <v>3648</v>
      </c>
      <c r="E1215" s="12" t="s">
        <v>3649</v>
      </c>
      <c r="F1215" s="3">
        <v>3</v>
      </c>
      <c r="G1215" s="783" t="s">
        <v>932</v>
      </c>
      <c r="H1215" s="3" t="s">
        <v>1041</v>
      </c>
      <c r="I1215" s="3">
        <v>536.20000000000005</v>
      </c>
      <c r="J1215" s="3">
        <v>302.56</v>
      </c>
      <c r="K1215" s="3" t="str">
        <f t="shared" si="11"/>
        <v>April</v>
      </c>
      <c r="L1215" s="761">
        <v>44669</v>
      </c>
      <c r="M1215" s="761" t="str">
        <f t="shared" si="12"/>
        <v>April</v>
      </c>
      <c r="N1215" s="761">
        <v>44669</v>
      </c>
      <c r="O1215" s="761" t="s">
        <v>62</v>
      </c>
      <c r="P1215" s="762" t="s">
        <v>3650</v>
      </c>
      <c r="Q1215" s="3" t="s">
        <v>3651</v>
      </c>
      <c r="R1215" s="3"/>
      <c r="S1215" s="3" t="s">
        <v>1547</v>
      </c>
      <c r="T1215" s="3"/>
      <c r="U1215" s="3">
        <v>318.2</v>
      </c>
      <c r="V1215" s="4"/>
      <c r="W1215" s="761"/>
      <c r="X1215" s="761" t="str">
        <f t="shared" si="13"/>
        <v>April</v>
      </c>
      <c r="Y1215" s="761">
        <v>44669</v>
      </c>
      <c r="Z1215" s="761" t="s">
        <v>62</v>
      </c>
      <c r="AA1215" s="4"/>
      <c r="AB1215" s="4"/>
      <c r="AC1215" s="4"/>
      <c r="AD1215" s="4"/>
      <c r="AE1215" s="4"/>
      <c r="AF1215" s="4"/>
      <c r="AG1215" s="4" t="s">
        <v>3652</v>
      </c>
      <c r="AH1215" s="4"/>
      <c r="AI1215" s="4"/>
      <c r="AJ1215" s="4"/>
      <c r="AK1215" s="4"/>
      <c r="AL1215" s="4"/>
      <c r="AM1215" s="4">
        <v>4.95</v>
      </c>
    </row>
    <row r="1216" spans="1:39">
      <c r="B1216" s="895">
        <v>5</v>
      </c>
      <c r="C1216" s="853" t="s">
        <v>3454</v>
      </c>
      <c r="D1216" s="12" t="s">
        <v>3653</v>
      </c>
      <c r="E1216" s="12" t="s">
        <v>3654</v>
      </c>
      <c r="F1216" s="3">
        <v>4</v>
      </c>
      <c r="G1216" s="783" t="s">
        <v>932</v>
      </c>
      <c r="H1216" s="3" t="s">
        <v>1041</v>
      </c>
      <c r="I1216" s="3">
        <v>536.9</v>
      </c>
      <c r="J1216" s="3">
        <v>307.62</v>
      </c>
      <c r="K1216" s="3" t="str">
        <f t="shared" si="11"/>
        <v>April</v>
      </c>
      <c r="L1216" s="761">
        <v>44670</v>
      </c>
      <c r="M1216" s="761" t="str">
        <f t="shared" si="12"/>
        <v>April</v>
      </c>
      <c r="N1216" s="761">
        <v>44669</v>
      </c>
      <c r="O1216" s="761" t="s">
        <v>62</v>
      </c>
      <c r="P1216" s="762" t="s">
        <v>3655</v>
      </c>
      <c r="Q1216" s="3" t="s">
        <v>3656</v>
      </c>
      <c r="R1216" s="3"/>
      <c r="S1216" s="3" t="s">
        <v>1547</v>
      </c>
      <c r="T1216" s="3"/>
      <c r="U1216" s="3">
        <v>323.2</v>
      </c>
      <c r="V1216" s="4"/>
      <c r="W1216" s="761"/>
      <c r="X1216" s="761" t="str">
        <f t="shared" si="13"/>
        <v>April</v>
      </c>
      <c r="Y1216" s="761">
        <v>44669</v>
      </c>
      <c r="Z1216" s="761" t="s">
        <v>62</v>
      </c>
      <c r="AA1216" s="4"/>
      <c r="AB1216" s="4"/>
      <c r="AC1216" s="4"/>
      <c r="AD1216" s="4"/>
      <c r="AE1216" s="4"/>
      <c r="AF1216" s="4"/>
      <c r="AG1216" s="4" t="s">
        <v>3657</v>
      </c>
      <c r="AH1216" s="4"/>
      <c r="AI1216" s="4"/>
      <c r="AJ1216" s="4"/>
      <c r="AK1216" s="4"/>
      <c r="AL1216" s="4"/>
      <c r="AM1216" s="4">
        <v>5.19</v>
      </c>
    </row>
    <row r="1217" spans="1:39">
      <c r="B1217" s="895">
        <v>5</v>
      </c>
      <c r="C1217" s="853" t="s">
        <v>3454</v>
      </c>
      <c r="D1217" s="12" t="s">
        <v>3658</v>
      </c>
      <c r="E1217" s="12" t="s">
        <v>3659</v>
      </c>
      <c r="F1217" s="3">
        <v>5</v>
      </c>
      <c r="G1217" s="783" t="s">
        <v>932</v>
      </c>
      <c r="H1217" s="3" t="s">
        <v>1041</v>
      </c>
      <c r="I1217" s="3">
        <v>531.1</v>
      </c>
      <c r="J1217" s="3">
        <v>330.24</v>
      </c>
      <c r="K1217" s="3" t="str">
        <f t="shared" si="11"/>
        <v>April</v>
      </c>
      <c r="L1217" s="761">
        <v>44670</v>
      </c>
      <c r="M1217" s="761" t="str">
        <f t="shared" si="12"/>
        <v>April</v>
      </c>
      <c r="N1217" s="761">
        <v>44670</v>
      </c>
      <c r="O1217" s="761" t="s">
        <v>62</v>
      </c>
      <c r="P1217" s="762" t="s">
        <v>3660</v>
      </c>
      <c r="Q1217" s="3" t="s">
        <v>3661</v>
      </c>
      <c r="R1217" s="3"/>
      <c r="S1217" s="3" t="s">
        <v>1547</v>
      </c>
      <c r="T1217" s="3"/>
      <c r="U1217" s="3">
        <v>318.8</v>
      </c>
      <c r="V1217" s="4"/>
      <c r="W1217" s="761"/>
      <c r="X1217" s="761" t="str">
        <f t="shared" si="13"/>
        <v>April</v>
      </c>
      <c r="Y1217" s="761">
        <v>44670</v>
      </c>
      <c r="Z1217" s="761" t="s">
        <v>62</v>
      </c>
      <c r="AA1217" s="4"/>
      <c r="AB1217" s="4"/>
      <c r="AC1217" s="4"/>
      <c r="AD1217" s="4"/>
      <c r="AE1217" s="4"/>
      <c r="AF1217" s="4"/>
      <c r="AG1217" s="4" t="s">
        <v>3662</v>
      </c>
      <c r="AH1217" s="4"/>
      <c r="AI1217" s="4"/>
      <c r="AJ1217" s="4"/>
      <c r="AK1217" s="4"/>
      <c r="AL1217" s="4"/>
      <c r="AM1217" s="4">
        <v>5.08</v>
      </c>
    </row>
    <row r="1218" spans="1:39">
      <c r="B1218" s="895">
        <v>5</v>
      </c>
      <c r="C1218" s="853" t="s">
        <v>3454</v>
      </c>
      <c r="D1218" s="12" t="s">
        <v>3663</v>
      </c>
      <c r="E1218" s="12" t="s">
        <v>3664</v>
      </c>
      <c r="F1218" s="3">
        <v>6</v>
      </c>
      <c r="G1218" s="783" t="s">
        <v>932</v>
      </c>
      <c r="H1218" s="3" t="s">
        <v>1041</v>
      </c>
      <c r="I1218" s="3">
        <v>535.6</v>
      </c>
      <c r="J1218" s="3">
        <v>303.62</v>
      </c>
      <c r="K1218" s="3" t="str">
        <f t="shared" si="11"/>
        <v>April</v>
      </c>
      <c r="L1218" s="761">
        <v>44671</v>
      </c>
      <c r="M1218" s="761" t="str">
        <f t="shared" si="12"/>
        <v>April</v>
      </c>
      <c r="N1218" s="761">
        <v>44670</v>
      </c>
      <c r="O1218" s="761" t="s">
        <v>62</v>
      </c>
      <c r="P1218" s="762" t="s">
        <v>3665</v>
      </c>
      <c r="Q1218" s="3" t="s">
        <v>3666</v>
      </c>
      <c r="R1218" s="3"/>
      <c r="S1218" s="3" t="s">
        <v>1547</v>
      </c>
      <c r="T1218" s="3"/>
      <c r="U1218" s="3">
        <v>319.10000000000002</v>
      </c>
      <c r="V1218" s="4"/>
      <c r="W1218" s="761"/>
      <c r="X1218" s="761" t="str">
        <f t="shared" si="13"/>
        <v>April</v>
      </c>
      <c r="Y1218" s="761">
        <v>44670</v>
      </c>
      <c r="Z1218" s="761" t="s">
        <v>62</v>
      </c>
      <c r="AA1218" s="4"/>
      <c r="AB1218" s="4"/>
      <c r="AC1218" s="4"/>
      <c r="AD1218" s="4"/>
      <c r="AE1218" s="4"/>
      <c r="AF1218" s="4"/>
      <c r="AG1218" s="4" t="s">
        <v>3667</v>
      </c>
      <c r="AH1218" s="4"/>
      <c r="AI1218" s="4"/>
      <c r="AJ1218" s="4"/>
      <c r="AK1218" s="4"/>
      <c r="AL1218" s="4"/>
      <c r="AM1218" s="4">
        <v>4.17</v>
      </c>
    </row>
    <row r="1219" spans="1:39">
      <c r="B1219" s="895">
        <v>5</v>
      </c>
      <c r="C1219" s="853" t="s">
        <v>3454</v>
      </c>
      <c r="D1219" s="12" t="s">
        <v>3668</v>
      </c>
      <c r="E1219" s="12" t="s">
        <v>3669</v>
      </c>
      <c r="F1219" s="3">
        <v>7</v>
      </c>
      <c r="G1219" s="783" t="s">
        <v>932</v>
      </c>
      <c r="H1219" s="3" t="s">
        <v>1041</v>
      </c>
      <c r="I1219" s="3">
        <v>534.9</v>
      </c>
      <c r="J1219" s="3">
        <v>301.64</v>
      </c>
      <c r="K1219" s="3" t="str">
        <f t="shared" si="11"/>
        <v>April</v>
      </c>
      <c r="L1219" s="761">
        <v>44671</v>
      </c>
      <c r="M1219" s="761" t="str">
        <f t="shared" si="12"/>
        <v>April</v>
      </c>
      <c r="N1219" s="761">
        <v>44671</v>
      </c>
      <c r="O1219" s="761" t="s">
        <v>62</v>
      </c>
      <c r="P1219" s="762" t="s">
        <v>3670</v>
      </c>
      <c r="Q1219" s="3" t="s">
        <v>3671</v>
      </c>
      <c r="R1219" s="3"/>
      <c r="S1219" s="3" t="s">
        <v>1547</v>
      </c>
      <c r="T1219" s="3"/>
      <c r="U1219" s="3">
        <v>317.2</v>
      </c>
      <c r="V1219" s="4"/>
      <c r="W1219" s="761"/>
      <c r="X1219" s="761" t="str">
        <f t="shared" si="13"/>
        <v>April</v>
      </c>
      <c r="Y1219" s="761">
        <v>44673</v>
      </c>
      <c r="Z1219" s="761" t="s">
        <v>62</v>
      </c>
      <c r="AA1219" s="4"/>
      <c r="AB1219" s="4"/>
      <c r="AC1219" s="4"/>
      <c r="AD1219" s="4"/>
      <c r="AE1219" s="4"/>
      <c r="AF1219" s="4"/>
      <c r="AG1219" s="4" t="s">
        <v>3672</v>
      </c>
      <c r="AH1219" s="4"/>
      <c r="AI1219" s="4"/>
      <c r="AJ1219" s="4"/>
      <c r="AK1219" s="4"/>
      <c r="AL1219" s="4"/>
      <c r="AM1219" s="4">
        <v>4.93</v>
      </c>
    </row>
    <row r="1220" spans="1:39">
      <c r="B1220" s="895">
        <v>5</v>
      </c>
      <c r="C1220" s="853" t="s">
        <v>3454</v>
      </c>
      <c r="D1220" s="12" t="s">
        <v>3673</v>
      </c>
      <c r="E1220" s="12" t="s">
        <v>3674</v>
      </c>
      <c r="F1220" s="3">
        <v>8</v>
      </c>
      <c r="G1220" s="783" t="s">
        <v>932</v>
      </c>
      <c r="H1220" s="3" t="s">
        <v>1041</v>
      </c>
      <c r="I1220" s="3">
        <v>529.20000000000005</v>
      </c>
      <c r="J1220" s="3">
        <v>304.98</v>
      </c>
      <c r="K1220" s="3" t="str">
        <f t="shared" si="11"/>
        <v>April</v>
      </c>
      <c r="L1220" s="761">
        <v>44672</v>
      </c>
      <c r="M1220" s="761" t="str">
        <f t="shared" si="12"/>
        <v>April</v>
      </c>
      <c r="N1220" s="761">
        <v>44672</v>
      </c>
      <c r="O1220" s="761" t="s">
        <v>62</v>
      </c>
      <c r="P1220" s="762" t="s">
        <v>3675</v>
      </c>
      <c r="Q1220" s="3" t="s">
        <v>3676</v>
      </c>
      <c r="R1220" s="3"/>
      <c r="S1220" s="3" t="s">
        <v>1547</v>
      </c>
      <c r="T1220" s="3"/>
      <c r="U1220" s="3">
        <v>320.7</v>
      </c>
      <c r="V1220" s="4"/>
      <c r="W1220" s="761"/>
      <c r="X1220" s="761" t="str">
        <f t="shared" si="13"/>
        <v>April</v>
      </c>
      <c r="Y1220" s="761">
        <v>44672</v>
      </c>
      <c r="Z1220" s="761" t="s">
        <v>62</v>
      </c>
      <c r="AA1220" s="4"/>
      <c r="AB1220" s="4"/>
      <c r="AC1220" s="4"/>
      <c r="AD1220" s="4"/>
      <c r="AE1220" s="4"/>
      <c r="AF1220" s="4"/>
      <c r="AG1220" s="4" t="s">
        <v>3677</v>
      </c>
      <c r="AH1220" s="4"/>
      <c r="AI1220" s="4"/>
      <c r="AJ1220" s="4"/>
      <c r="AK1220" s="4"/>
      <c r="AL1220" s="4"/>
      <c r="AM1220" s="4">
        <v>4.82</v>
      </c>
    </row>
    <row r="1221" spans="1:39">
      <c r="B1221" s="895">
        <v>5</v>
      </c>
      <c r="C1221" s="853" t="s">
        <v>3454</v>
      </c>
      <c r="D1221" s="12" t="s">
        <v>3678</v>
      </c>
      <c r="E1221" s="12" t="s">
        <v>3679</v>
      </c>
      <c r="F1221" s="3">
        <v>9</v>
      </c>
      <c r="G1221" s="783" t="s">
        <v>932</v>
      </c>
      <c r="H1221" s="3" t="s">
        <v>1041</v>
      </c>
      <c r="I1221" s="3">
        <v>537.20000000000005</v>
      </c>
      <c r="J1221" s="3">
        <v>304.82</v>
      </c>
      <c r="K1221" s="3" t="str">
        <f t="shared" si="11"/>
        <v>April</v>
      </c>
      <c r="L1221" s="761">
        <v>44672</v>
      </c>
      <c r="M1221" s="761" t="str">
        <f t="shared" si="12"/>
        <v>April</v>
      </c>
      <c r="N1221" s="761">
        <v>44673</v>
      </c>
      <c r="O1221" s="761" t="s">
        <v>62</v>
      </c>
      <c r="P1221" s="762" t="s">
        <v>3680</v>
      </c>
      <c r="Q1221" s="3" t="s">
        <v>3681</v>
      </c>
      <c r="R1221" s="3"/>
      <c r="S1221" s="3" t="s">
        <v>1547</v>
      </c>
      <c r="T1221" s="3"/>
      <c r="U1221" s="3">
        <v>320.60000000000002</v>
      </c>
      <c r="V1221" s="4"/>
      <c r="W1221" s="761"/>
      <c r="X1221" s="761" t="str">
        <f t="shared" si="13"/>
        <v>April</v>
      </c>
      <c r="Y1221" s="761">
        <v>44673</v>
      </c>
      <c r="Z1221" s="761" t="s">
        <v>62</v>
      </c>
      <c r="AA1221" s="4"/>
      <c r="AB1221" s="4"/>
      <c r="AC1221" s="4"/>
      <c r="AD1221" s="4"/>
      <c r="AE1221" s="4"/>
      <c r="AF1221" s="4"/>
      <c r="AG1221" s="4" t="s">
        <v>3682</v>
      </c>
      <c r="AH1221" s="4"/>
      <c r="AI1221" s="4"/>
      <c r="AJ1221" s="4"/>
      <c r="AK1221" s="4"/>
      <c r="AL1221" s="4"/>
      <c r="AM1221" s="4">
        <v>4.92</v>
      </c>
    </row>
    <row r="1222" spans="1:39">
      <c r="B1222" s="895">
        <v>5</v>
      </c>
      <c r="C1222" s="853" t="s">
        <v>3454</v>
      </c>
      <c r="D1222" s="12" t="s">
        <v>3683</v>
      </c>
      <c r="E1222" s="12" t="s">
        <v>3684</v>
      </c>
      <c r="F1222" s="3">
        <v>10</v>
      </c>
      <c r="G1222" s="783" t="s">
        <v>932</v>
      </c>
      <c r="H1222" s="3" t="s">
        <v>1041</v>
      </c>
      <c r="I1222" s="3">
        <v>538.4</v>
      </c>
      <c r="J1222" s="3">
        <v>303.62</v>
      </c>
      <c r="K1222" s="3" t="str">
        <f t="shared" si="11"/>
        <v>April</v>
      </c>
      <c r="L1222" s="761">
        <v>44673</v>
      </c>
      <c r="M1222" s="761" t="str">
        <f t="shared" si="12"/>
        <v>April</v>
      </c>
      <c r="N1222" s="761">
        <v>44676</v>
      </c>
      <c r="O1222" s="761" t="s">
        <v>62</v>
      </c>
      <c r="P1222" s="762" t="s">
        <v>3685</v>
      </c>
      <c r="Q1222" s="3" t="s">
        <v>3686</v>
      </c>
      <c r="R1222" s="3"/>
      <c r="S1222" s="3" t="s">
        <v>1547</v>
      </c>
      <c r="T1222" s="3"/>
      <c r="U1222" s="3">
        <v>319.3</v>
      </c>
      <c r="V1222" s="4"/>
      <c r="W1222" s="761"/>
      <c r="X1222" s="761" t="str">
        <f t="shared" si="13"/>
        <v>April</v>
      </c>
      <c r="Y1222" s="761">
        <v>44676</v>
      </c>
      <c r="Z1222" s="761" t="s">
        <v>62</v>
      </c>
      <c r="AA1222" s="4"/>
      <c r="AB1222" s="4"/>
      <c r="AC1222" s="4"/>
      <c r="AD1222" s="4"/>
      <c r="AE1222" s="4"/>
      <c r="AF1222" s="4"/>
      <c r="AG1222" s="710"/>
      <c r="AH1222" s="4"/>
      <c r="AI1222" s="4"/>
      <c r="AJ1222" s="4"/>
      <c r="AK1222" s="4"/>
      <c r="AL1222" s="4"/>
      <c r="AM1222" s="4"/>
    </row>
    <row r="1223" spans="1:39">
      <c r="B1223" s="895">
        <v>5</v>
      </c>
      <c r="C1223" s="853" t="s">
        <v>3454</v>
      </c>
      <c r="D1223" s="12" t="s">
        <v>3687</v>
      </c>
      <c r="E1223" s="12" t="s">
        <v>3688</v>
      </c>
      <c r="F1223" s="3">
        <v>11</v>
      </c>
      <c r="G1223" s="783" t="s">
        <v>932</v>
      </c>
      <c r="H1223" s="3" t="s">
        <v>1041</v>
      </c>
      <c r="I1223" s="3">
        <v>530.9</v>
      </c>
      <c r="J1223" s="3">
        <v>308.26</v>
      </c>
      <c r="K1223" s="3" t="str">
        <f t="shared" si="11"/>
        <v>April</v>
      </c>
      <c r="L1223" s="761">
        <v>44676</v>
      </c>
      <c r="M1223" s="761" t="str">
        <f t="shared" si="12"/>
        <v>April</v>
      </c>
      <c r="N1223" s="761">
        <v>44676</v>
      </c>
      <c r="O1223" s="761" t="s">
        <v>62</v>
      </c>
      <c r="P1223" s="762" t="s">
        <v>3689</v>
      </c>
      <c r="Q1223" s="3" t="s">
        <v>3690</v>
      </c>
      <c r="R1223" s="3"/>
      <c r="S1223" s="3" t="s">
        <v>1547</v>
      </c>
      <c r="T1223" s="3"/>
      <c r="U1223" s="3">
        <v>323.14</v>
      </c>
      <c r="V1223" s="4"/>
      <c r="W1223" s="761"/>
      <c r="X1223" s="761" t="str">
        <f t="shared" si="13"/>
        <v>April</v>
      </c>
      <c r="Y1223" s="761">
        <v>44676</v>
      </c>
      <c r="Z1223" s="761" t="s">
        <v>62</v>
      </c>
      <c r="AA1223" s="4"/>
      <c r="AB1223" s="4"/>
      <c r="AC1223" s="4"/>
      <c r="AD1223" s="4"/>
      <c r="AE1223" s="4"/>
      <c r="AF1223" s="4"/>
      <c r="AG1223" s="710"/>
      <c r="AH1223" s="4"/>
      <c r="AI1223" s="4"/>
      <c r="AJ1223" s="4"/>
      <c r="AK1223" s="4"/>
      <c r="AL1223" s="4"/>
      <c r="AM1223" s="4"/>
    </row>
    <row r="1224" spans="1:39">
      <c r="B1224" s="895">
        <v>5</v>
      </c>
      <c r="C1224" s="853" t="s">
        <v>3454</v>
      </c>
      <c r="D1224" s="12" t="s">
        <v>3691</v>
      </c>
      <c r="E1224" s="12" t="s">
        <v>3692</v>
      </c>
      <c r="F1224" s="3">
        <v>12</v>
      </c>
      <c r="G1224" s="783" t="s">
        <v>932</v>
      </c>
      <c r="H1224" s="3" t="s">
        <v>932</v>
      </c>
      <c r="I1224" s="3">
        <v>539.29999999999995</v>
      </c>
      <c r="J1224" s="3">
        <v>302.44</v>
      </c>
      <c r="K1224" s="3" t="str">
        <f t="shared" si="11"/>
        <v>April</v>
      </c>
      <c r="L1224" s="761">
        <v>44676</v>
      </c>
      <c r="M1224" s="761" t="str">
        <f t="shared" si="12"/>
        <v>April</v>
      </c>
      <c r="N1224" s="761">
        <v>44677</v>
      </c>
      <c r="O1224" s="761" t="s">
        <v>62</v>
      </c>
      <c r="P1224" s="762" t="s">
        <v>3693</v>
      </c>
      <c r="Q1224" s="3" t="s">
        <v>3694</v>
      </c>
      <c r="R1224" s="3"/>
      <c r="S1224" s="3" t="s">
        <v>1547</v>
      </c>
      <c r="T1224" s="3"/>
      <c r="U1224" s="3">
        <v>320.8</v>
      </c>
      <c r="V1224" s="4"/>
      <c r="W1224" s="761"/>
      <c r="X1224" s="761" t="str">
        <f t="shared" si="13"/>
        <v>April</v>
      </c>
      <c r="Y1224" s="761">
        <v>44677</v>
      </c>
      <c r="Z1224" s="761" t="s">
        <v>62</v>
      </c>
      <c r="AA1224" s="4"/>
      <c r="AB1224" s="4"/>
      <c r="AC1224" s="4"/>
      <c r="AD1224" s="4"/>
      <c r="AE1224" s="4"/>
      <c r="AF1224" s="4"/>
      <c r="AG1224" s="4" t="s">
        <v>3695</v>
      </c>
      <c r="AH1224" s="4"/>
      <c r="AI1224" s="4"/>
      <c r="AJ1224" s="4"/>
      <c r="AK1224" s="4"/>
      <c r="AL1224" s="4"/>
      <c r="AM1224" s="4">
        <v>4.74</v>
      </c>
    </row>
    <row r="1225" spans="1:39">
      <c r="B1225" s="895">
        <v>5</v>
      </c>
      <c r="C1225" s="853" t="s">
        <v>3454</v>
      </c>
      <c r="D1225" s="12" t="s">
        <v>3696</v>
      </c>
      <c r="E1225" s="12" t="s">
        <v>3697</v>
      </c>
      <c r="F1225" s="3">
        <v>13</v>
      </c>
      <c r="G1225" s="783" t="s">
        <v>932</v>
      </c>
      <c r="H1225" s="3" t="s">
        <v>932</v>
      </c>
      <c r="I1225" s="3">
        <v>543.70000000000005</v>
      </c>
      <c r="J1225" s="3">
        <v>306.60000000000002</v>
      </c>
      <c r="K1225" s="3" t="str">
        <f t="shared" si="11"/>
        <v>April</v>
      </c>
      <c r="L1225" s="761">
        <v>44677</v>
      </c>
      <c r="M1225" s="761" t="str">
        <f t="shared" si="12"/>
        <v>April</v>
      </c>
      <c r="N1225" s="761">
        <v>44677</v>
      </c>
      <c r="O1225" s="761" t="s">
        <v>62</v>
      </c>
      <c r="P1225" s="762" t="s">
        <v>3698</v>
      </c>
      <c r="Q1225" s="3" t="s">
        <v>3699</v>
      </c>
      <c r="R1225" s="3"/>
      <c r="S1225" s="3" t="s">
        <v>1547</v>
      </c>
      <c r="T1225" s="3"/>
      <c r="U1225" s="3">
        <v>322.5</v>
      </c>
      <c r="V1225" s="4"/>
      <c r="W1225" s="761"/>
      <c r="X1225" s="761" t="str">
        <f t="shared" si="13"/>
        <v>April</v>
      </c>
      <c r="Y1225" s="761">
        <v>44677</v>
      </c>
      <c r="Z1225" s="761" t="s">
        <v>62</v>
      </c>
      <c r="AA1225" s="4"/>
      <c r="AB1225" s="4"/>
      <c r="AC1225" s="4"/>
      <c r="AD1225" s="4"/>
      <c r="AE1225" s="4"/>
      <c r="AF1225" s="4"/>
      <c r="AG1225" s="4" t="s">
        <v>3700</v>
      </c>
      <c r="AH1225" s="4"/>
      <c r="AI1225" s="4"/>
      <c r="AJ1225" s="4"/>
      <c r="AK1225" s="4"/>
      <c r="AL1225" s="4"/>
      <c r="AM1225" s="4">
        <v>4.99</v>
      </c>
    </row>
    <row r="1226" spans="1:39">
      <c r="B1226" s="895">
        <v>5</v>
      </c>
      <c r="C1226" s="853" t="s">
        <v>3454</v>
      </c>
      <c r="D1226" s="12" t="s">
        <v>3701</v>
      </c>
      <c r="E1226" s="12" t="s">
        <v>3702</v>
      </c>
      <c r="F1226" s="3">
        <v>14</v>
      </c>
      <c r="G1226" s="783" t="s">
        <v>1041</v>
      </c>
      <c r="H1226" s="3" t="s">
        <v>932</v>
      </c>
      <c r="I1226" s="3">
        <v>538</v>
      </c>
      <c r="J1226" s="3">
        <v>306.82</v>
      </c>
      <c r="K1226" s="3" t="str">
        <f t="shared" si="11"/>
        <v>April</v>
      </c>
      <c r="L1226" s="761">
        <v>44677</v>
      </c>
      <c r="M1226" s="761" t="str">
        <f t="shared" si="12"/>
        <v>April</v>
      </c>
      <c r="N1226" s="761">
        <v>44677</v>
      </c>
      <c r="O1226" s="761" t="s">
        <v>62</v>
      </c>
      <c r="P1226" s="762" t="s">
        <v>3703</v>
      </c>
      <c r="Q1226" s="3" t="s">
        <v>3704</v>
      </c>
      <c r="R1226" s="3"/>
      <c r="S1226" s="3" t="s">
        <v>1547</v>
      </c>
      <c r="T1226" s="3"/>
      <c r="U1226" s="3">
        <v>322.8</v>
      </c>
      <c r="V1226" s="4"/>
      <c r="W1226" s="761"/>
      <c r="X1226" s="761" t="str">
        <f t="shared" si="13"/>
        <v>April</v>
      </c>
      <c r="Y1226" s="761">
        <v>44677</v>
      </c>
      <c r="Z1226" s="761" t="s">
        <v>62</v>
      </c>
      <c r="AA1226" s="4"/>
      <c r="AB1226" s="4"/>
      <c r="AC1226" s="4"/>
      <c r="AD1226" s="4"/>
      <c r="AE1226" s="4"/>
      <c r="AF1226" s="4"/>
      <c r="AG1226" s="4" t="s">
        <v>3705</v>
      </c>
      <c r="AH1226" s="4"/>
      <c r="AI1226" s="4"/>
      <c r="AJ1226" s="4"/>
      <c r="AK1226" s="4"/>
      <c r="AL1226" s="4"/>
      <c r="AM1226" s="4">
        <v>4.72</v>
      </c>
    </row>
    <row r="1227" spans="1:39">
      <c r="B1227" s="895">
        <v>5</v>
      </c>
      <c r="C1227" s="853" t="s">
        <v>3454</v>
      </c>
      <c r="D1227" s="12" t="s">
        <v>3706</v>
      </c>
      <c r="E1227" s="12" t="s">
        <v>3707</v>
      </c>
      <c r="F1227" s="3">
        <v>15</v>
      </c>
      <c r="G1227" s="783" t="s">
        <v>932</v>
      </c>
      <c r="H1227" s="3" t="s">
        <v>932</v>
      </c>
      <c r="I1227" s="3">
        <v>533.70000000000005</v>
      </c>
      <c r="J1227" s="3">
        <v>304.27999999999997</v>
      </c>
      <c r="K1227" s="3" t="str">
        <f t="shared" si="11"/>
        <v>April</v>
      </c>
      <c r="L1227" s="761">
        <v>44679</v>
      </c>
      <c r="M1227" s="761" t="str">
        <f t="shared" si="12"/>
        <v>May</v>
      </c>
      <c r="N1227" s="761">
        <v>44690</v>
      </c>
      <c r="O1227" s="761" t="s">
        <v>62</v>
      </c>
      <c r="P1227" s="762" t="s">
        <v>3708</v>
      </c>
      <c r="Q1227" s="3" t="s">
        <v>3709</v>
      </c>
      <c r="R1227" s="3"/>
      <c r="S1227" s="3" t="s">
        <v>1547</v>
      </c>
      <c r="T1227" s="3"/>
      <c r="U1227" s="3">
        <v>319.8</v>
      </c>
      <c r="V1227" s="4"/>
      <c r="W1227" s="761"/>
      <c r="X1227" s="761" t="str">
        <f t="shared" si="13"/>
        <v>May</v>
      </c>
      <c r="Y1227" s="761">
        <v>44690</v>
      </c>
      <c r="Z1227" s="761" t="s">
        <v>62</v>
      </c>
      <c r="AA1227" s="4"/>
      <c r="AB1227" s="4"/>
      <c r="AC1227" s="4"/>
      <c r="AD1227" s="4"/>
      <c r="AE1227" s="4"/>
      <c r="AF1227" s="4"/>
      <c r="AG1227" s="4" t="s">
        <v>624</v>
      </c>
      <c r="AH1227" s="4"/>
      <c r="AI1227" s="4"/>
      <c r="AJ1227" s="4"/>
      <c r="AK1227" s="4"/>
      <c r="AL1227" s="4"/>
      <c r="AM1227" s="4">
        <v>4.8600000000000003</v>
      </c>
    </row>
    <row r="1228" spans="1:39">
      <c r="B1228" s="895">
        <v>5</v>
      </c>
      <c r="C1228" s="853" t="s">
        <v>3454</v>
      </c>
      <c r="D1228" s="12" t="s">
        <v>3710</v>
      </c>
      <c r="E1228" s="12" t="s">
        <v>3711</v>
      </c>
      <c r="F1228" s="3">
        <v>16</v>
      </c>
      <c r="G1228" s="783" t="s">
        <v>932</v>
      </c>
      <c r="H1228" s="3" t="s">
        <v>932</v>
      </c>
      <c r="I1228" s="3">
        <v>532.9</v>
      </c>
      <c r="J1228" s="3">
        <v>306.68</v>
      </c>
      <c r="K1228" s="3" t="str">
        <f t="shared" si="11"/>
        <v>May</v>
      </c>
      <c r="L1228" s="761">
        <v>44691</v>
      </c>
      <c r="M1228" s="761" t="str">
        <f t="shared" si="12"/>
        <v>May</v>
      </c>
      <c r="N1228" s="761">
        <v>44690</v>
      </c>
      <c r="O1228" s="761" t="s">
        <v>62</v>
      </c>
      <c r="P1228" s="762" t="s">
        <v>3712</v>
      </c>
      <c r="Q1228" s="3" t="s">
        <v>3713</v>
      </c>
      <c r="R1228" s="3"/>
      <c r="S1228" s="3" t="s">
        <v>1547</v>
      </c>
      <c r="T1228" s="3"/>
      <c r="U1228" s="3">
        <v>322.10000000000002</v>
      </c>
      <c r="V1228" s="4"/>
      <c r="W1228" s="761"/>
      <c r="X1228" s="761" t="str">
        <f t="shared" si="13"/>
        <v>May</v>
      </c>
      <c r="Y1228" s="761">
        <v>44690</v>
      </c>
      <c r="Z1228" s="761" t="s">
        <v>62</v>
      </c>
      <c r="AA1228" s="4"/>
      <c r="AB1228" s="4"/>
      <c r="AC1228" s="4"/>
      <c r="AD1228" s="4"/>
      <c r="AE1228" s="4"/>
      <c r="AF1228" s="4"/>
      <c r="AG1228" s="4" t="s">
        <v>3714</v>
      </c>
      <c r="AH1228" s="4"/>
      <c r="AI1228" s="4"/>
      <c r="AJ1228" s="4"/>
      <c r="AK1228" s="4"/>
      <c r="AL1228" s="4"/>
      <c r="AM1228" s="4">
        <v>5.0599999999999996</v>
      </c>
    </row>
    <row r="1229" spans="1:39">
      <c r="B1229" s="895">
        <v>5</v>
      </c>
      <c r="C1229" s="853" t="s">
        <v>3454</v>
      </c>
      <c r="D1229" s="12" t="s">
        <v>3715</v>
      </c>
      <c r="E1229" s="12" t="s">
        <v>3716</v>
      </c>
      <c r="F1229" s="3">
        <v>17</v>
      </c>
      <c r="G1229" s="783" t="s">
        <v>932</v>
      </c>
      <c r="H1229" s="3" t="s">
        <v>932</v>
      </c>
      <c r="I1229" s="3">
        <v>538.70000000000005</v>
      </c>
      <c r="J1229" s="3">
        <v>304.04000000000002</v>
      </c>
      <c r="K1229" s="3" t="str">
        <f t="shared" si="11"/>
        <v>May</v>
      </c>
      <c r="L1229" s="761">
        <v>44691</v>
      </c>
      <c r="M1229" s="761" t="str">
        <f t="shared" si="12"/>
        <v>May</v>
      </c>
      <c r="N1229" s="761">
        <v>44691</v>
      </c>
      <c r="O1229" s="761" t="s">
        <v>62</v>
      </c>
      <c r="P1229" s="762" t="s">
        <v>3717</v>
      </c>
      <c r="Q1229" s="3" t="s">
        <v>3718</v>
      </c>
      <c r="R1229" s="3"/>
      <c r="S1229" s="3" t="s">
        <v>1547</v>
      </c>
      <c r="T1229" s="3"/>
      <c r="U1229" s="3">
        <v>319.7</v>
      </c>
      <c r="V1229" s="4"/>
      <c r="W1229" s="761"/>
      <c r="X1229" s="761" t="str">
        <f t="shared" si="13"/>
        <v>May</v>
      </c>
      <c r="Y1229" s="761">
        <v>44693</v>
      </c>
      <c r="Z1229" s="761" t="s">
        <v>62</v>
      </c>
      <c r="AA1229" s="4"/>
      <c r="AB1229" s="4"/>
      <c r="AC1229" s="4"/>
      <c r="AD1229" s="4"/>
      <c r="AE1229" s="4"/>
      <c r="AF1229" s="4"/>
      <c r="AG1229" s="4" t="s">
        <v>3719</v>
      </c>
      <c r="AH1229" s="4"/>
      <c r="AI1229" s="4"/>
      <c r="AJ1229" s="4"/>
      <c r="AK1229" s="4"/>
      <c r="AL1229" s="4"/>
      <c r="AM1229" s="4">
        <v>5.03</v>
      </c>
    </row>
    <row r="1230" spans="1:39" s="707" customFormat="1">
      <c r="A1230"/>
      <c r="B1230" s="797" t="s">
        <v>13</v>
      </c>
      <c r="C1230" s="853" t="s">
        <v>1759</v>
      </c>
      <c r="D1230" s="875"/>
      <c r="E1230" s="875"/>
      <c r="F1230" s="807"/>
      <c r="G1230" s="809"/>
      <c r="H1230" s="807"/>
      <c r="I1230" s="807"/>
      <c r="J1230" s="807"/>
      <c r="K1230" s="807"/>
      <c r="L1230" s="819"/>
      <c r="M1230" s="819"/>
      <c r="N1230" s="819"/>
      <c r="O1230" s="819"/>
      <c r="P1230" s="820"/>
      <c r="Q1230" s="807"/>
      <c r="R1230" s="807"/>
      <c r="S1230" s="807"/>
      <c r="T1230" s="807"/>
      <c r="U1230" s="807"/>
      <c r="V1230" s="710"/>
      <c r="W1230" s="819"/>
      <c r="X1230" s="819"/>
      <c r="Y1230" s="819"/>
      <c r="Z1230" s="819"/>
      <c r="AA1230" s="710"/>
      <c r="AB1230" s="710"/>
      <c r="AC1230" s="710"/>
      <c r="AD1230" s="710"/>
      <c r="AE1230" s="710"/>
      <c r="AF1230" s="710"/>
      <c r="AG1230" s="710"/>
      <c r="AH1230" s="710"/>
      <c r="AI1230" s="710"/>
      <c r="AJ1230" s="710"/>
      <c r="AK1230" s="710"/>
      <c r="AL1230" s="710"/>
      <c r="AM1230" s="710"/>
    </row>
    <row r="1231" spans="1:39">
      <c r="B1231" s="895">
        <v>6</v>
      </c>
      <c r="C1231" s="853" t="s">
        <v>3454</v>
      </c>
      <c r="D1231" s="12" t="s">
        <v>3720</v>
      </c>
      <c r="E1231" s="12" t="s">
        <v>3721</v>
      </c>
      <c r="F1231" s="3">
        <v>1</v>
      </c>
      <c r="G1231" s="783" t="s">
        <v>932</v>
      </c>
      <c r="H1231" s="3" t="s">
        <v>1041</v>
      </c>
      <c r="I1231" s="3">
        <v>532</v>
      </c>
      <c r="J1231" s="878">
        <v>303.2</v>
      </c>
      <c r="K1231" s="3" t="s">
        <v>2327</v>
      </c>
      <c r="L1231" s="761">
        <v>44706</v>
      </c>
      <c r="M1231" s="761" t="s">
        <v>2327</v>
      </c>
      <c r="N1231" s="761">
        <v>44708</v>
      </c>
      <c r="O1231" s="761" t="s">
        <v>62</v>
      </c>
      <c r="P1231" s="762" t="s">
        <v>3722</v>
      </c>
      <c r="Q1231" s="3" t="s">
        <v>3723</v>
      </c>
      <c r="R1231" s="3"/>
      <c r="S1231" s="3" t="s">
        <v>1547</v>
      </c>
      <c r="T1231" s="3"/>
      <c r="U1231" s="3">
        <v>318.7</v>
      </c>
      <c r="V1231" s="4"/>
      <c r="W1231" s="761"/>
      <c r="X1231" s="761" t="s">
        <v>2327</v>
      </c>
      <c r="Y1231" s="761">
        <v>44711</v>
      </c>
      <c r="Z1231" s="761" t="s">
        <v>62</v>
      </c>
      <c r="AA1231" s="4"/>
      <c r="AB1231" s="4"/>
      <c r="AC1231" s="4"/>
      <c r="AD1231" s="4"/>
      <c r="AE1231" s="4"/>
      <c r="AF1231" s="4"/>
      <c r="AG1231" s="4" t="s">
        <v>3724</v>
      </c>
      <c r="AH1231" s="4"/>
      <c r="AI1231" s="4"/>
      <c r="AJ1231" s="4"/>
      <c r="AK1231" s="4"/>
      <c r="AL1231" s="4"/>
      <c r="AM1231" s="4">
        <v>4.74</v>
      </c>
    </row>
    <row r="1232" spans="1:39">
      <c r="B1232" s="895">
        <v>6</v>
      </c>
      <c r="C1232" s="853" t="s">
        <v>3454</v>
      </c>
      <c r="D1232" s="12" t="s">
        <v>3725</v>
      </c>
      <c r="E1232" s="12" t="s">
        <v>3726</v>
      </c>
      <c r="F1232" s="3">
        <v>2</v>
      </c>
      <c r="G1232" s="783" t="s">
        <v>932</v>
      </c>
      <c r="H1232" s="3" t="s">
        <v>1041</v>
      </c>
      <c r="I1232" s="3">
        <v>531.29999999999995</v>
      </c>
      <c r="J1232" s="878">
        <v>299.94</v>
      </c>
      <c r="K1232" s="3" t="s">
        <v>2327</v>
      </c>
      <c r="L1232" s="761">
        <v>44708</v>
      </c>
      <c r="M1232" s="761" t="s">
        <v>2327</v>
      </c>
      <c r="N1232" s="761">
        <v>44711</v>
      </c>
      <c r="O1232" s="761" t="s">
        <v>62</v>
      </c>
      <c r="P1232" s="762" t="s">
        <v>3727</v>
      </c>
      <c r="Q1232" s="3" t="s">
        <v>3728</v>
      </c>
      <c r="R1232" s="3"/>
      <c r="S1232" s="3" t="s">
        <v>1547</v>
      </c>
      <c r="T1232" s="3"/>
      <c r="U1232" s="3">
        <v>315.5</v>
      </c>
      <c r="V1232" s="4"/>
      <c r="W1232" s="761"/>
      <c r="X1232" s="761" t="s">
        <v>2327</v>
      </c>
      <c r="Y1232" s="761">
        <v>44711</v>
      </c>
      <c r="Z1232" s="761" t="s">
        <v>62</v>
      </c>
      <c r="AA1232" s="4"/>
      <c r="AB1232" s="4"/>
      <c r="AC1232" s="4"/>
      <c r="AD1232" s="4"/>
      <c r="AE1232" s="4"/>
      <c r="AF1232" s="4"/>
      <c r="AG1232" s="4" t="s">
        <v>3729</v>
      </c>
      <c r="AH1232" s="4"/>
      <c r="AI1232" s="4"/>
      <c r="AJ1232" s="4"/>
      <c r="AK1232" s="4"/>
      <c r="AL1232" s="4"/>
      <c r="AM1232" s="4">
        <v>4.6399999999999997</v>
      </c>
    </row>
    <row r="1233" spans="1:39">
      <c r="B1233" s="895">
        <v>6</v>
      </c>
      <c r="C1233" s="853" t="s">
        <v>3454</v>
      </c>
      <c r="D1233" s="12" t="s">
        <v>3730</v>
      </c>
      <c r="E1233" s="12" t="s">
        <v>3731</v>
      </c>
      <c r="F1233" s="3">
        <v>3</v>
      </c>
      <c r="G1233" s="2" t="s">
        <v>1041</v>
      </c>
      <c r="H1233" s="783" t="s">
        <v>932</v>
      </c>
      <c r="I1233" s="905">
        <v>534.4</v>
      </c>
      <c r="J1233" s="859">
        <v>307</v>
      </c>
      <c r="K1233" s="3" t="s">
        <v>2327</v>
      </c>
      <c r="L1233" s="761">
        <v>44711</v>
      </c>
      <c r="M1233" s="761" t="s">
        <v>2327</v>
      </c>
      <c r="N1233" s="761">
        <v>44711</v>
      </c>
      <c r="O1233" s="761" t="s">
        <v>62</v>
      </c>
      <c r="P1233" s="762" t="s">
        <v>3732</v>
      </c>
      <c r="Q1233" s="3" t="s">
        <v>3733</v>
      </c>
      <c r="R1233" s="3"/>
      <c r="S1233" s="3" t="s">
        <v>1547</v>
      </c>
      <c r="T1233" s="3"/>
      <c r="U1233" s="3">
        <v>322.60000000000002</v>
      </c>
      <c r="V1233" s="4"/>
      <c r="W1233" s="761"/>
      <c r="X1233" s="761" t="s">
        <v>2327</v>
      </c>
      <c r="Y1233" s="761">
        <v>44711</v>
      </c>
      <c r="Z1233" s="761" t="s">
        <v>62</v>
      </c>
      <c r="AA1233" s="4"/>
      <c r="AB1233" s="4"/>
      <c r="AC1233" s="4"/>
      <c r="AD1233" s="4"/>
      <c r="AE1233" s="4"/>
      <c r="AF1233" s="4"/>
      <c r="AG1233" s="4" t="s">
        <v>3734</v>
      </c>
      <c r="AH1233" s="4"/>
      <c r="AI1233" s="4"/>
      <c r="AJ1233" s="4"/>
      <c r="AK1233" s="4"/>
      <c r="AL1233" s="4"/>
      <c r="AM1233" s="4">
        <v>4.9000000000000004</v>
      </c>
    </row>
    <row r="1234" spans="1:39">
      <c r="B1234" s="895">
        <v>6</v>
      </c>
      <c r="C1234" s="853" t="s">
        <v>3454</v>
      </c>
      <c r="D1234" s="12" t="s">
        <v>3735</v>
      </c>
      <c r="E1234" s="12" t="s">
        <v>3736</v>
      </c>
      <c r="F1234" s="3">
        <v>4</v>
      </c>
      <c r="G1234" s="783" t="s">
        <v>1041</v>
      </c>
      <c r="H1234" s="3" t="s">
        <v>1041</v>
      </c>
      <c r="I1234" s="3">
        <v>537.5</v>
      </c>
      <c r="J1234" s="878">
        <v>302.98</v>
      </c>
      <c r="K1234" s="3" t="s">
        <v>2327</v>
      </c>
      <c r="L1234" s="761">
        <v>44711</v>
      </c>
      <c r="M1234" s="761" t="s">
        <v>2327</v>
      </c>
      <c r="N1234" s="761">
        <v>44712</v>
      </c>
      <c r="O1234" s="761" t="s">
        <v>62</v>
      </c>
      <c r="P1234" s="762" t="s">
        <v>3737</v>
      </c>
      <c r="Q1234" s="3" t="s">
        <v>3738</v>
      </c>
      <c r="R1234" s="3"/>
      <c r="S1234" s="3" t="s">
        <v>1547</v>
      </c>
      <c r="T1234" s="3"/>
      <c r="U1234" s="3">
        <v>319</v>
      </c>
      <c r="V1234" s="4"/>
      <c r="W1234" s="761"/>
      <c r="X1234" s="761" t="s">
        <v>2327</v>
      </c>
      <c r="Y1234" s="761">
        <v>44712</v>
      </c>
      <c r="Z1234" s="761" t="s">
        <v>62</v>
      </c>
      <c r="AA1234" s="4"/>
      <c r="AB1234" s="4"/>
      <c r="AC1234" s="4"/>
      <c r="AD1234" s="4"/>
      <c r="AE1234" s="4"/>
      <c r="AF1234" s="4"/>
      <c r="AG1234" s="4" t="s">
        <v>3739</v>
      </c>
      <c r="AH1234" s="4"/>
      <c r="AI1234" s="4"/>
      <c r="AJ1234" s="4"/>
      <c r="AK1234" s="4"/>
      <c r="AL1234" s="4"/>
      <c r="AM1234" s="4">
        <v>4.9400000000000004</v>
      </c>
    </row>
    <row r="1235" spans="1:39">
      <c r="B1235" s="895">
        <v>6</v>
      </c>
      <c r="C1235" s="853" t="s">
        <v>3454</v>
      </c>
      <c r="D1235" s="12" t="s">
        <v>3740</v>
      </c>
      <c r="E1235" s="12" t="s">
        <v>3741</v>
      </c>
      <c r="F1235" s="3">
        <v>5</v>
      </c>
      <c r="G1235" s="783" t="s">
        <v>932</v>
      </c>
      <c r="H1235" s="3" t="s">
        <v>1041</v>
      </c>
      <c r="I1235" s="3">
        <v>534.70000000000005</v>
      </c>
      <c r="J1235" s="878">
        <v>304.60000000000002</v>
      </c>
      <c r="K1235" s="3" t="s">
        <v>2327</v>
      </c>
      <c r="L1235" s="761">
        <v>44712</v>
      </c>
      <c r="M1235" s="761" t="s">
        <v>2327</v>
      </c>
      <c r="N1235" s="761">
        <v>44712</v>
      </c>
      <c r="O1235" s="761" t="s">
        <v>62</v>
      </c>
      <c r="P1235" s="762" t="s">
        <v>3742</v>
      </c>
      <c r="Q1235" s="3" t="s">
        <v>3743</v>
      </c>
      <c r="R1235" s="3"/>
      <c r="S1235" s="3" t="s">
        <v>1547</v>
      </c>
      <c r="T1235" s="3"/>
      <c r="U1235" s="3">
        <v>321</v>
      </c>
      <c r="V1235" s="4"/>
      <c r="W1235" s="761"/>
      <c r="X1235" s="761" t="s">
        <v>2327</v>
      </c>
      <c r="Y1235" s="761">
        <v>44712</v>
      </c>
      <c r="Z1235" s="761" t="s">
        <v>62</v>
      </c>
      <c r="AA1235" s="4"/>
      <c r="AB1235" s="4"/>
      <c r="AC1235" s="4"/>
      <c r="AD1235" s="4"/>
      <c r="AE1235" s="4"/>
      <c r="AF1235" s="4"/>
      <c r="AG1235" s="4" t="s">
        <v>3744</v>
      </c>
      <c r="AH1235" s="4"/>
      <c r="AI1235" s="4"/>
      <c r="AJ1235" s="4"/>
      <c r="AK1235" s="4"/>
      <c r="AL1235" s="4"/>
      <c r="AM1235" s="4">
        <v>4.78</v>
      </c>
    </row>
    <row r="1236" spans="1:39">
      <c r="B1236" s="895">
        <v>6</v>
      </c>
      <c r="C1236" s="853" t="s">
        <v>3454</v>
      </c>
      <c r="D1236" s="12" t="s">
        <v>3745</v>
      </c>
      <c r="E1236" s="12" t="s">
        <v>3746</v>
      </c>
      <c r="F1236" s="3">
        <v>6</v>
      </c>
      <c r="G1236" s="783" t="s">
        <v>60</v>
      </c>
      <c r="H1236" s="3" t="s">
        <v>1041</v>
      </c>
      <c r="I1236" s="3">
        <v>535</v>
      </c>
      <c r="J1236" s="878">
        <v>299.72000000000003</v>
      </c>
      <c r="K1236" s="3" t="s">
        <v>2327</v>
      </c>
      <c r="L1236" s="761">
        <v>44712</v>
      </c>
      <c r="M1236" s="761" t="s">
        <v>2411</v>
      </c>
      <c r="N1236" s="761">
        <v>44714</v>
      </c>
      <c r="O1236" s="761" t="s">
        <v>62</v>
      </c>
      <c r="P1236" s="762" t="s">
        <v>3747</v>
      </c>
      <c r="Q1236" s="3" t="s">
        <v>3748</v>
      </c>
      <c r="R1236" s="3"/>
      <c r="S1236" s="3" t="s">
        <v>1547</v>
      </c>
      <c r="T1236" s="3"/>
      <c r="U1236" s="3">
        <v>315.89999999999998</v>
      </c>
      <c r="V1236" s="4"/>
      <c r="W1236" s="761"/>
      <c r="X1236" s="761" t="s">
        <v>2411</v>
      </c>
      <c r="Y1236" s="761">
        <v>44715</v>
      </c>
      <c r="Z1236" s="761" t="s">
        <v>62</v>
      </c>
      <c r="AA1236" s="4"/>
      <c r="AB1236" s="4"/>
      <c r="AC1236" s="4"/>
      <c r="AD1236" s="4"/>
      <c r="AE1236" s="4"/>
      <c r="AF1236" s="4"/>
      <c r="AG1236" s="4" t="s">
        <v>3749</v>
      </c>
      <c r="AH1236" s="4"/>
      <c r="AI1236" s="4"/>
      <c r="AJ1236" s="4"/>
      <c r="AK1236" s="4"/>
      <c r="AL1236" s="4"/>
      <c r="AM1236" s="4">
        <v>4.29</v>
      </c>
    </row>
    <row r="1237" spans="1:39">
      <c r="B1237" s="895">
        <v>6</v>
      </c>
      <c r="C1237" s="853" t="s">
        <v>3454</v>
      </c>
      <c r="D1237" s="12" t="s">
        <v>3750</v>
      </c>
      <c r="E1237" s="12" t="s">
        <v>3751</v>
      </c>
      <c r="F1237" s="3">
        <v>7</v>
      </c>
      <c r="G1237" s="783" t="s">
        <v>932</v>
      </c>
      <c r="H1237" s="3" t="s">
        <v>1041</v>
      </c>
      <c r="I1237" s="3">
        <v>531.29999999999995</v>
      </c>
      <c r="J1237" s="878">
        <v>303.26</v>
      </c>
      <c r="K1237" s="3" t="s">
        <v>2411</v>
      </c>
      <c r="L1237" s="761">
        <v>44714</v>
      </c>
      <c r="M1237" s="761" t="s">
        <v>2411</v>
      </c>
      <c r="N1237" s="761">
        <v>44714</v>
      </c>
      <c r="O1237" s="761" t="s">
        <v>62</v>
      </c>
      <c r="P1237" s="762" t="s">
        <v>3752</v>
      </c>
      <c r="Q1237" s="3" t="s">
        <v>3753</v>
      </c>
      <c r="R1237" s="3"/>
      <c r="S1237" s="3" t="s">
        <v>1547</v>
      </c>
      <c r="T1237" s="3"/>
      <c r="U1237" s="3">
        <v>319.2</v>
      </c>
      <c r="V1237" s="4"/>
      <c r="W1237" s="761"/>
      <c r="X1237" s="761" t="s">
        <v>2411</v>
      </c>
      <c r="Y1237" s="761">
        <v>44715</v>
      </c>
      <c r="Z1237" s="761" t="s">
        <v>62</v>
      </c>
      <c r="AA1237" s="4"/>
      <c r="AB1237" s="4"/>
      <c r="AC1237" s="4"/>
      <c r="AD1237" s="4"/>
      <c r="AE1237" s="4"/>
      <c r="AF1237" s="4"/>
      <c r="AG1237" s="4" t="s">
        <v>3754</v>
      </c>
      <c r="AH1237" s="4"/>
      <c r="AI1237" s="4"/>
      <c r="AJ1237" s="4"/>
      <c r="AK1237" s="4"/>
      <c r="AL1237" s="4"/>
      <c r="AM1237" s="4">
        <v>4.5999999999999996</v>
      </c>
    </row>
    <row r="1238" spans="1:39">
      <c r="B1238" s="895">
        <v>6</v>
      </c>
      <c r="C1238" s="853" t="s">
        <v>3454</v>
      </c>
      <c r="D1238" s="12" t="s">
        <v>3755</v>
      </c>
      <c r="E1238" s="12" t="s">
        <v>3756</v>
      </c>
      <c r="F1238" s="3">
        <v>8</v>
      </c>
      <c r="G1238" s="783" t="s">
        <v>1041</v>
      </c>
      <c r="H1238" s="3" t="s">
        <v>1041</v>
      </c>
      <c r="I1238" s="3">
        <v>535.79999999999995</v>
      </c>
      <c r="J1238" s="878">
        <v>302.8</v>
      </c>
      <c r="K1238" s="3" t="s">
        <v>2411</v>
      </c>
      <c r="L1238" s="761">
        <v>44714</v>
      </c>
      <c r="M1238" s="761" t="s">
        <v>2411</v>
      </c>
      <c r="N1238" s="761">
        <v>44718</v>
      </c>
      <c r="O1238" s="761" t="s">
        <v>62</v>
      </c>
      <c r="P1238" s="762" t="s">
        <v>3757</v>
      </c>
      <c r="Q1238" s="3" t="s">
        <v>3758</v>
      </c>
      <c r="R1238" s="3"/>
      <c r="S1238" s="3" t="s">
        <v>1547</v>
      </c>
      <c r="T1238" s="3"/>
      <c r="U1238" s="3">
        <v>318.39999999999998</v>
      </c>
      <c r="V1238" s="4"/>
      <c r="W1238" s="761"/>
      <c r="X1238" s="761" t="s">
        <v>2411</v>
      </c>
      <c r="Y1238" s="761">
        <v>44718</v>
      </c>
      <c r="Z1238" s="761" t="s">
        <v>62</v>
      </c>
      <c r="AA1238" s="4"/>
      <c r="AB1238" s="4"/>
      <c r="AC1238" s="4"/>
      <c r="AD1238" s="4"/>
      <c r="AE1238" s="4"/>
      <c r="AF1238" s="4"/>
      <c r="AG1238" s="4" t="s">
        <v>3759</v>
      </c>
      <c r="AH1238" s="4"/>
      <c r="AI1238" s="4"/>
      <c r="AJ1238" s="4"/>
      <c r="AK1238" s="4"/>
      <c r="AL1238" s="4"/>
      <c r="AM1238" s="4">
        <v>4.46</v>
      </c>
    </row>
    <row r="1239" spans="1:39">
      <c r="B1239" s="895">
        <v>6</v>
      </c>
      <c r="C1239" s="853" t="s">
        <v>3454</v>
      </c>
      <c r="D1239" s="12" t="s">
        <v>3760</v>
      </c>
      <c r="E1239" s="12" t="s">
        <v>3761</v>
      </c>
      <c r="F1239" s="3">
        <v>9</v>
      </c>
      <c r="G1239" s="783" t="s">
        <v>932</v>
      </c>
      <c r="H1239" s="3" t="s">
        <v>1041</v>
      </c>
      <c r="I1239" s="3">
        <v>527.5</v>
      </c>
      <c r="J1239" s="878">
        <v>304.48</v>
      </c>
      <c r="K1239" s="3" t="s">
        <v>2411</v>
      </c>
      <c r="L1239" s="761">
        <v>44718</v>
      </c>
      <c r="M1239" s="761" t="s">
        <v>2411</v>
      </c>
      <c r="N1239" s="761">
        <v>44718</v>
      </c>
      <c r="O1239" s="761" t="s">
        <v>62</v>
      </c>
      <c r="P1239" s="762" t="s">
        <v>3762</v>
      </c>
      <c r="Q1239" s="3" t="s">
        <v>3763</v>
      </c>
      <c r="R1239" s="3"/>
      <c r="S1239" s="3" t="s">
        <v>1547</v>
      </c>
      <c r="T1239" s="3"/>
      <c r="U1239" s="3">
        <v>320.8</v>
      </c>
      <c r="V1239" s="4"/>
      <c r="W1239" s="761"/>
      <c r="X1239" s="761" t="s">
        <v>2411</v>
      </c>
      <c r="Y1239" s="761">
        <v>44718</v>
      </c>
      <c r="Z1239" s="761" t="s">
        <v>62</v>
      </c>
      <c r="AA1239" s="4"/>
      <c r="AB1239" s="4"/>
      <c r="AC1239" s="4"/>
      <c r="AD1239" s="4"/>
      <c r="AE1239" s="4"/>
      <c r="AF1239" s="4"/>
      <c r="AG1239" s="4" t="s">
        <v>3764</v>
      </c>
      <c r="AH1239" s="4"/>
      <c r="AI1239" s="4"/>
      <c r="AJ1239" s="4"/>
      <c r="AK1239" s="4"/>
      <c r="AL1239" s="4"/>
      <c r="AM1239" s="4">
        <v>4.42</v>
      </c>
    </row>
    <row r="1240" spans="1:39">
      <c r="B1240" s="895">
        <v>6</v>
      </c>
      <c r="C1240" s="853" t="s">
        <v>3454</v>
      </c>
      <c r="D1240" s="12" t="s">
        <v>3765</v>
      </c>
      <c r="E1240" s="11">
        <v>61232</v>
      </c>
      <c r="F1240" s="3">
        <v>10</v>
      </c>
      <c r="G1240" s="783" t="s">
        <v>932</v>
      </c>
      <c r="H1240" s="3" t="s">
        <v>932</v>
      </c>
      <c r="I1240" s="3">
        <v>535.79999999999995</v>
      </c>
      <c r="J1240" s="878">
        <v>301.58</v>
      </c>
      <c r="K1240" s="3" t="s">
        <v>2411</v>
      </c>
      <c r="L1240" s="761">
        <v>44718</v>
      </c>
      <c r="M1240" s="761" t="s">
        <v>2411</v>
      </c>
      <c r="N1240" s="761">
        <v>44719</v>
      </c>
      <c r="O1240" s="761" t="s">
        <v>62</v>
      </c>
      <c r="P1240" s="762" t="s">
        <v>3766</v>
      </c>
      <c r="Q1240" s="3" t="s">
        <v>3767</v>
      </c>
      <c r="R1240" s="3"/>
      <c r="S1240" s="3" t="s">
        <v>1547</v>
      </c>
      <c r="T1240" s="3"/>
      <c r="U1240" s="3">
        <v>317.39999999999998</v>
      </c>
      <c r="V1240" s="4"/>
      <c r="W1240" s="761"/>
      <c r="X1240" s="761" t="s">
        <v>2411</v>
      </c>
      <c r="Y1240" s="761">
        <v>44719</v>
      </c>
      <c r="Z1240" s="761" t="s">
        <v>62</v>
      </c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</row>
    <row r="1241" spans="1:39">
      <c r="B1241" s="895">
        <v>6</v>
      </c>
      <c r="C1241" s="807" t="s">
        <v>3454</v>
      </c>
      <c r="D1241" s="787" t="s">
        <v>3768</v>
      </c>
      <c r="E1241" s="11">
        <v>61242</v>
      </c>
      <c r="F1241" s="3">
        <v>11</v>
      </c>
      <c r="G1241" s="3" t="s">
        <v>932</v>
      </c>
      <c r="H1241" s="3" t="s">
        <v>932</v>
      </c>
      <c r="I1241" s="3">
        <v>532.29999999999995</v>
      </c>
      <c r="J1241" s="878">
        <v>305.98</v>
      </c>
      <c r="K1241" s="3" t="s">
        <v>2411</v>
      </c>
      <c r="L1241" s="761">
        <v>44720</v>
      </c>
      <c r="M1241" s="761" t="s">
        <v>2411</v>
      </c>
      <c r="N1241" s="761">
        <v>44719</v>
      </c>
      <c r="O1241" s="3" t="s">
        <v>62</v>
      </c>
      <c r="P1241" s="762" t="s">
        <v>3769</v>
      </c>
      <c r="Q1241" s="3" t="s">
        <v>3770</v>
      </c>
      <c r="R1241" s="3"/>
      <c r="S1241" s="3" t="s">
        <v>1547</v>
      </c>
      <c r="T1241" s="3"/>
      <c r="U1241" s="3">
        <v>321.8</v>
      </c>
      <c r="V1241" s="4"/>
      <c r="W1241" s="761"/>
      <c r="X1241" s="761" t="s">
        <v>2411</v>
      </c>
      <c r="Y1241" s="761">
        <v>44719</v>
      </c>
      <c r="Z1241" s="3" t="s">
        <v>62</v>
      </c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</row>
    <row r="1242" spans="1:39">
      <c r="B1242" s="895">
        <v>6</v>
      </c>
      <c r="C1242" s="807" t="s">
        <v>3454</v>
      </c>
      <c r="D1242" s="787" t="s">
        <v>3771</v>
      </c>
      <c r="E1242" s="11">
        <v>61252</v>
      </c>
      <c r="F1242" s="3">
        <v>12</v>
      </c>
      <c r="G1242" s="3" t="s">
        <v>932</v>
      </c>
      <c r="H1242" s="3" t="s">
        <v>932</v>
      </c>
      <c r="I1242" s="3">
        <v>532.1</v>
      </c>
      <c r="J1242" s="878">
        <v>303.10000000000002</v>
      </c>
      <c r="K1242" s="3" t="s">
        <v>2411</v>
      </c>
      <c r="L1242" s="761">
        <v>44720</v>
      </c>
      <c r="M1242" s="761" t="s">
        <v>2411</v>
      </c>
      <c r="N1242" s="761">
        <v>44720</v>
      </c>
      <c r="O1242" s="3" t="s">
        <v>62</v>
      </c>
      <c r="P1242" s="787" t="s">
        <v>3772</v>
      </c>
      <c r="Q1242" s="11" t="s">
        <v>3773</v>
      </c>
      <c r="R1242" s="3"/>
      <c r="S1242" s="3" t="s">
        <v>1547</v>
      </c>
      <c r="T1242" s="3"/>
      <c r="U1242" s="3">
        <v>318.8</v>
      </c>
      <c r="V1242" s="4"/>
      <c r="W1242" s="761"/>
      <c r="X1242" s="761" t="s">
        <v>2411</v>
      </c>
      <c r="Y1242" s="761">
        <v>44720</v>
      </c>
      <c r="Z1242" s="3" t="s">
        <v>62</v>
      </c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</row>
    <row r="1243" spans="1:39">
      <c r="B1243" s="895">
        <v>6</v>
      </c>
      <c r="C1243" s="807" t="s">
        <v>3454</v>
      </c>
      <c r="D1243" s="787" t="s">
        <v>3774</v>
      </c>
      <c r="E1243" s="11">
        <v>61382</v>
      </c>
      <c r="F1243" s="3">
        <v>13</v>
      </c>
      <c r="G1243" s="3" t="s">
        <v>932</v>
      </c>
      <c r="H1243" s="3" t="s">
        <v>932</v>
      </c>
      <c r="I1243" s="3">
        <v>536.24</v>
      </c>
      <c r="J1243" s="878">
        <v>305.88</v>
      </c>
      <c r="K1243" s="3" t="s">
        <v>2411</v>
      </c>
      <c r="L1243" s="761">
        <v>44720</v>
      </c>
      <c r="M1243" s="761" t="s">
        <v>2411</v>
      </c>
      <c r="N1243" s="761">
        <v>44720</v>
      </c>
      <c r="O1243" s="3" t="s">
        <v>62</v>
      </c>
      <c r="P1243" s="787" t="s">
        <v>3775</v>
      </c>
      <c r="Q1243" s="11" t="s">
        <v>3776</v>
      </c>
      <c r="R1243" s="3"/>
      <c r="S1243" s="3" t="s">
        <v>1547</v>
      </c>
      <c r="T1243" s="3"/>
      <c r="U1243" s="3">
        <v>321.60000000000002</v>
      </c>
      <c r="V1243" s="4"/>
      <c r="W1243" s="761"/>
      <c r="X1243" s="761" t="s">
        <v>2411</v>
      </c>
      <c r="Y1243" s="761">
        <v>44720</v>
      </c>
      <c r="Z1243" s="3" t="s">
        <v>62</v>
      </c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</row>
    <row r="1244" spans="1:39">
      <c r="B1244" s="895">
        <v>6</v>
      </c>
      <c r="C1244" s="807" t="s">
        <v>3454</v>
      </c>
      <c r="D1244" s="787" t="s">
        <v>3777</v>
      </c>
      <c r="E1244" s="11">
        <v>62552</v>
      </c>
      <c r="F1244" s="3">
        <v>14</v>
      </c>
      <c r="G1244" s="3" t="s">
        <v>932</v>
      </c>
      <c r="H1244" s="3" t="s">
        <v>932</v>
      </c>
      <c r="I1244" s="3">
        <v>536</v>
      </c>
      <c r="J1244" s="878">
        <v>303.89999999999998</v>
      </c>
      <c r="K1244" s="3" t="s">
        <v>2411</v>
      </c>
      <c r="L1244" s="761">
        <v>44721</v>
      </c>
      <c r="M1244" s="761" t="s">
        <v>2411</v>
      </c>
      <c r="N1244" s="761">
        <v>44721</v>
      </c>
      <c r="O1244" s="3" t="s">
        <v>62</v>
      </c>
      <c r="P1244" s="787" t="s">
        <v>3778</v>
      </c>
      <c r="Q1244" s="11" t="s">
        <v>3779</v>
      </c>
      <c r="R1244" s="3"/>
      <c r="S1244" s="3" t="s">
        <v>1547</v>
      </c>
      <c r="T1244" s="3"/>
      <c r="U1244" s="3">
        <v>319.60000000000002</v>
      </c>
      <c r="V1244" s="4"/>
      <c r="W1244" s="761"/>
      <c r="X1244" s="761" t="s">
        <v>2411</v>
      </c>
      <c r="Y1244" s="761">
        <v>44721</v>
      </c>
      <c r="Z1244" s="3" t="s">
        <v>62</v>
      </c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</row>
    <row r="1245" spans="1:39">
      <c r="B1245" s="895">
        <v>6</v>
      </c>
      <c r="C1245" s="807" t="s">
        <v>3454</v>
      </c>
      <c r="D1245" s="787" t="s">
        <v>3780</v>
      </c>
      <c r="E1245" s="11">
        <v>62562</v>
      </c>
      <c r="F1245" s="3">
        <v>15</v>
      </c>
      <c r="G1245" s="3" t="s">
        <v>932</v>
      </c>
      <c r="H1245" s="3" t="s">
        <v>128</v>
      </c>
      <c r="I1245" s="3">
        <v>537.55999999999995</v>
      </c>
      <c r="J1245" s="878">
        <v>305.42</v>
      </c>
      <c r="K1245" s="3" t="s">
        <v>2411</v>
      </c>
      <c r="L1245" s="761">
        <v>44721</v>
      </c>
      <c r="M1245" s="761" t="s">
        <v>2411</v>
      </c>
      <c r="N1245" s="761">
        <v>44728</v>
      </c>
      <c r="O1245" s="3" t="s">
        <v>62</v>
      </c>
      <c r="P1245" s="787" t="s">
        <v>3781</v>
      </c>
      <c r="Q1245" s="11" t="s">
        <v>3549</v>
      </c>
      <c r="R1245" s="3"/>
      <c r="S1245" s="3" t="s">
        <v>1547</v>
      </c>
      <c r="T1245" s="3"/>
      <c r="U1245" s="3">
        <v>321.5</v>
      </c>
      <c r="V1245" s="4"/>
      <c r="W1245" s="761"/>
      <c r="X1245" s="761" t="s">
        <v>2411</v>
      </c>
      <c r="Y1245" s="761">
        <v>44729</v>
      </c>
      <c r="Z1245" s="3" t="s">
        <v>62</v>
      </c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</row>
    <row r="1246" spans="1:39">
      <c r="B1246" s="899">
        <v>6</v>
      </c>
      <c r="C1246" s="807" t="s">
        <v>3454</v>
      </c>
      <c r="D1246" s="787" t="s">
        <v>3782</v>
      </c>
      <c r="E1246" s="11">
        <v>62572</v>
      </c>
      <c r="F1246" s="3">
        <v>16</v>
      </c>
      <c r="G1246" s="3" t="s">
        <v>932</v>
      </c>
      <c r="H1246" s="3" t="s">
        <v>128</v>
      </c>
      <c r="I1246" s="3">
        <v>532.9</v>
      </c>
      <c r="J1246" s="878">
        <v>307.72000000000003</v>
      </c>
      <c r="K1246" s="3" t="s">
        <v>2411</v>
      </c>
      <c r="L1246" s="761">
        <v>44727</v>
      </c>
      <c r="M1246" s="761" t="s">
        <v>2411</v>
      </c>
      <c r="N1246" s="761">
        <v>44728</v>
      </c>
      <c r="O1246" s="3" t="s">
        <v>62</v>
      </c>
      <c r="P1246" s="787" t="s">
        <v>3783</v>
      </c>
      <c r="Q1246" s="11" t="s">
        <v>3784</v>
      </c>
      <c r="R1246" s="3"/>
      <c r="S1246" s="3" t="s">
        <v>1547</v>
      </c>
      <c r="T1246" s="3"/>
      <c r="U1246" s="3">
        <v>324</v>
      </c>
      <c r="V1246" s="4"/>
      <c r="W1246" s="761"/>
      <c r="X1246" s="761" t="s">
        <v>2411</v>
      </c>
      <c r="Y1246" s="761">
        <v>44729</v>
      </c>
      <c r="Z1246" s="3" t="s">
        <v>62</v>
      </c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</row>
    <row r="1247" spans="1:39">
      <c r="B1247" s="900">
        <v>6</v>
      </c>
      <c r="C1247" s="807" t="s">
        <v>3454</v>
      </c>
      <c r="D1247" s="787" t="s">
        <v>3785</v>
      </c>
      <c r="E1247" s="11">
        <v>62582</v>
      </c>
      <c r="F1247" s="3">
        <v>17</v>
      </c>
      <c r="G1247" s="3" t="s">
        <v>932</v>
      </c>
      <c r="H1247" s="3" t="s">
        <v>128</v>
      </c>
      <c r="I1247" s="3">
        <v>538.5</v>
      </c>
      <c r="J1247" s="878">
        <v>303.49</v>
      </c>
      <c r="K1247" s="3" t="s">
        <v>2411</v>
      </c>
      <c r="L1247" s="761">
        <v>44727</v>
      </c>
      <c r="M1247" s="761" t="s">
        <v>2411</v>
      </c>
      <c r="N1247" s="761">
        <v>44733</v>
      </c>
      <c r="O1247" s="3" t="s">
        <v>62</v>
      </c>
      <c r="P1247" s="787" t="s">
        <v>3786</v>
      </c>
      <c r="Q1247" s="11" t="s">
        <v>3787</v>
      </c>
      <c r="R1247" s="3"/>
      <c r="S1247" s="3" t="s">
        <v>1547</v>
      </c>
      <c r="T1247" s="3"/>
      <c r="U1247" s="3">
        <v>319</v>
      </c>
      <c r="V1247" s="4"/>
      <c r="W1247" s="761"/>
      <c r="X1247" s="761" t="s">
        <v>2411</v>
      </c>
      <c r="Y1247" s="761">
        <v>44733</v>
      </c>
      <c r="Z1247" s="3" t="s">
        <v>62</v>
      </c>
      <c r="AA1247" s="4"/>
      <c r="AB1247" s="4"/>
      <c r="AC1247" s="4"/>
      <c r="AD1247" s="4"/>
      <c r="AE1247" s="4"/>
      <c r="AF1247" s="4"/>
      <c r="AG1247" s="4" t="s">
        <v>3788</v>
      </c>
      <c r="AH1247" s="4"/>
      <c r="AI1247" s="4"/>
      <c r="AJ1247" s="4"/>
      <c r="AK1247" s="4"/>
      <c r="AL1247" s="4"/>
      <c r="AM1247" s="4">
        <v>4.78</v>
      </c>
    </row>
    <row r="1248" spans="1:39" s="707" customFormat="1">
      <c r="A1248"/>
      <c r="B1248" s="901" t="s">
        <v>13</v>
      </c>
      <c r="C1248" s="807" t="s">
        <v>1764</v>
      </c>
      <c r="D1248" s="902"/>
      <c r="E1248" s="874"/>
      <c r="F1248" s="807"/>
      <c r="G1248" s="807"/>
      <c r="H1248" s="807"/>
      <c r="I1248" s="807"/>
      <c r="J1248" s="881"/>
      <c r="K1248" s="807"/>
      <c r="L1248" s="819"/>
      <c r="M1248" s="819"/>
      <c r="N1248" s="819"/>
      <c r="O1248" s="807"/>
      <c r="P1248" s="876"/>
      <c r="Q1248" s="874"/>
      <c r="R1248" s="807"/>
      <c r="S1248" s="807"/>
      <c r="T1248" s="807"/>
      <c r="U1248" s="807"/>
      <c r="V1248" s="710"/>
      <c r="W1248" s="819"/>
      <c r="X1248" s="819"/>
      <c r="Y1248" s="819"/>
      <c r="Z1248" s="807"/>
      <c r="AA1248" s="710"/>
      <c r="AB1248" s="710"/>
      <c r="AC1248" s="710"/>
      <c r="AD1248" s="710"/>
      <c r="AE1248" s="710"/>
      <c r="AF1248" s="710"/>
      <c r="AG1248" s="710"/>
      <c r="AH1248" s="710"/>
      <c r="AI1248" s="710"/>
      <c r="AJ1248" s="710"/>
      <c r="AK1248" s="710"/>
      <c r="AL1248" s="710"/>
      <c r="AM1248" s="710"/>
    </row>
    <row r="1249" spans="1:39">
      <c r="B1249" s="900">
        <v>7</v>
      </c>
      <c r="C1249" s="807" t="s">
        <v>3454</v>
      </c>
      <c r="D1249" s="781" t="s">
        <v>3789</v>
      </c>
      <c r="E1249" s="11">
        <v>70052</v>
      </c>
      <c r="F1249" s="3">
        <v>1</v>
      </c>
      <c r="G1249" s="3" t="s">
        <v>60</v>
      </c>
      <c r="H1249" s="3" t="s">
        <v>128</v>
      </c>
      <c r="I1249" s="3">
        <v>522.1</v>
      </c>
      <c r="J1249" s="878">
        <v>302.67</v>
      </c>
      <c r="K1249" s="3" t="s">
        <v>3373</v>
      </c>
      <c r="L1249" s="761">
        <v>44729</v>
      </c>
      <c r="M1249" s="761" t="s">
        <v>2411</v>
      </c>
      <c r="N1249" s="761">
        <v>44733</v>
      </c>
      <c r="O1249" s="3" t="s">
        <v>62</v>
      </c>
      <c r="P1249" s="787" t="s">
        <v>3790</v>
      </c>
      <c r="Q1249" s="11" t="s">
        <v>3791</v>
      </c>
      <c r="R1249" s="3"/>
      <c r="S1249" s="3" t="s">
        <v>1547</v>
      </c>
      <c r="T1249" s="3"/>
      <c r="U1249" s="3">
        <v>318.7</v>
      </c>
      <c r="V1249" s="4"/>
      <c r="W1249" s="761"/>
      <c r="X1249" s="761" t="s">
        <v>3373</v>
      </c>
      <c r="Y1249" s="761">
        <v>44733</v>
      </c>
      <c r="Z1249" s="3" t="s">
        <v>62</v>
      </c>
      <c r="AA1249" s="4"/>
      <c r="AB1249" s="4"/>
      <c r="AC1249" s="4"/>
      <c r="AD1249" s="4"/>
      <c r="AE1249" s="4"/>
      <c r="AF1249" s="4"/>
      <c r="AG1249" s="4" t="s">
        <v>3792</v>
      </c>
      <c r="AH1249" s="4"/>
      <c r="AI1249" s="4"/>
      <c r="AJ1249" s="4"/>
      <c r="AK1249" s="4"/>
      <c r="AL1249" s="4"/>
      <c r="AM1249" s="4">
        <v>4.2</v>
      </c>
    </row>
    <row r="1250" spans="1:39">
      <c r="B1250" s="900">
        <v>7</v>
      </c>
      <c r="C1250" s="807" t="s">
        <v>3454</v>
      </c>
      <c r="D1250" s="781" t="s">
        <v>3793</v>
      </c>
      <c r="E1250" s="11">
        <v>70062</v>
      </c>
      <c r="F1250" s="3">
        <v>2</v>
      </c>
      <c r="G1250" s="3" t="s">
        <v>60</v>
      </c>
      <c r="H1250" s="3" t="s">
        <v>60</v>
      </c>
      <c r="I1250" s="3">
        <v>537.29999999999995</v>
      </c>
      <c r="J1250" s="878">
        <v>305.31</v>
      </c>
      <c r="K1250" s="3" t="s">
        <v>3373</v>
      </c>
      <c r="L1250" s="761">
        <v>44729</v>
      </c>
      <c r="M1250" s="761" t="s">
        <v>2411</v>
      </c>
      <c r="N1250" s="761">
        <v>44733</v>
      </c>
      <c r="O1250" s="3" t="s">
        <v>62</v>
      </c>
      <c r="P1250" s="787" t="s">
        <v>3794</v>
      </c>
      <c r="Q1250" s="11" t="s">
        <v>3795</v>
      </c>
      <c r="R1250" s="3"/>
      <c r="S1250" s="3" t="s">
        <v>1547</v>
      </c>
      <c r="T1250" s="3"/>
      <c r="U1250" s="3">
        <v>321.39999999999998</v>
      </c>
      <c r="V1250" s="4"/>
      <c r="W1250" s="761"/>
      <c r="X1250" s="761" t="s">
        <v>3373</v>
      </c>
      <c r="Y1250" s="761">
        <v>44733</v>
      </c>
      <c r="Z1250" s="3" t="s">
        <v>62</v>
      </c>
      <c r="AA1250" s="4"/>
      <c r="AB1250" s="4"/>
      <c r="AC1250" s="4"/>
      <c r="AD1250" s="4"/>
      <c r="AE1250" s="4"/>
      <c r="AF1250" s="4"/>
      <c r="AG1250" s="4" t="s">
        <v>3796</v>
      </c>
      <c r="AH1250" s="4"/>
      <c r="AI1250" s="4"/>
      <c r="AJ1250" s="4"/>
      <c r="AK1250" s="4"/>
      <c r="AL1250" s="4"/>
      <c r="AM1250" s="4">
        <v>4.49</v>
      </c>
    </row>
    <row r="1251" spans="1:39">
      <c r="B1251" s="900">
        <v>7</v>
      </c>
      <c r="C1251" s="807" t="s">
        <v>3454</v>
      </c>
      <c r="D1251" s="781" t="s">
        <v>3797</v>
      </c>
      <c r="E1251" s="11">
        <v>70072</v>
      </c>
      <c r="F1251" s="3">
        <v>3</v>
      </c>
      <c r="G1251" s="3" t="s">
        <v>60</v>
      </c>
      <c r="H1251" s="3" t="s">
        <v>128</v>
      </c>
      <c r="I1251" s="878">
        <v>530.1</v>
      </c>
      <c r="J1251" s="3">
        <v>306.99</v>
      </c>
      <c r="K1251" s="3" t="s">
        <v>3373</v>
      </c>
      <c r="L1251" s="761">
        <v>44733</v>
      </c>
      <c r="M1251" s="761" t="s">
        <v>2411</v>
      </c>
      <c r="N1251" s="761">
        <v>44733</v>
      </c>
      <c r="O1251" s="3" t="s">
        <v>62</v>
      </c>
      <c r="P1251" s="787" t="s">
        <v>3798</v>
      </c>
      <c r="Q1251" s="11" t="s">
        <v>3799</v>
      </c>
      <c r="R1251" s="3"/>
      <c r="S1251" s="3" t="s">
        <v>1547</v>
      </c>
      <c r="T1251" s="3"/>
      <c r="U1251" s="3">
        <v>322.5</v>
      </c>
      <c r="V1251" s="4"/>
      <c r="W1251" s="761"/>
      <c r="X1251" s="761" t="s">
        <v>3373</v>
      </c>
      <c r="Y1251" s="761">
        <v>44733</v>
      </c>
      <c r="Z1251" s="3" t="s">
        <v>62</v>
      </c>
      <c r="AA1251" s="4"/>
      <c r="AB1251" s="4"/>
      <c r="AC1251" s="4"/>
      <c r="AD1251" s="4"/>
      <c r="AE1251" s="4"/>
      <c r="AF1251" s="4"/>
      <c r="AG1251" s="4" t="s">
        <v>3800</v>
      </c>
      <c r="AH1251" s="4"/>
      <c r="AI1251" s="4"/>
      <c r="AJ1251" s="4"/>
      <c r="AK1251" s="4"/>
      <c r="AL1251" s="4"/>
      <c r="AM1251" s="4">
        <v>4.49</v>
      </c>
    </row>
    <row r="1252" spans="1:39">
      <c r="B1252" s="900">
        <v>7</v>
      </c>
      <c r="C1252" s="807" t="s">
        <v>3454</v>
      </c>
      <c r="D1252" s="781" t="s">
        <v>3801</v>
      </c>
      <c r="E1252" s="11">
        <v>70082</v>
      </c>
      <c r="F1252" s="3">
        <v>4</v>
      </c>
      <c r="G1252" s="3" t="s">
        <v>60</v>
      </c>
      <c r="H1252" s="3" t="s">
        <v>60</v>
      </c>
      <c r="I1252" s="878">
        <v>535.4</v>
      </c>
      <c r="J1252" s="878">
        <v>301.95999999999998</v>
      </c>
      <c r="K1252" s="3" t="s">
        <v>3373</v>
      </c>
      <c r="L1252" s="761">
        <v>44734</v>
      </c>
      <c r="M1252" s="761" t="s">
        <v>2411</v>
      </c>
      <c r="N1252" s="761">
        <v>44734</v>
      </c>
      <c r="O1252" s="3" t="s">
        <v>62</v>
      </c>
      <c r="P1252" s="787" t="s">
        <v>3802</v>
      </c>
      <c r="Q1252" s="11" t="s">
        <v>713</v>
      </c>
      <c r="R1252" s="3"/>
      <c r="S1252" s="3" t="s">
        <v>1547</v>
      </c>
      <c r="T1252" s="3"/>
      <c r="U1252" s="3">
        <v>317.19</v>
      </c>
      <c r="V1252" s="4"/>
      <c r="W1252" s="761"/>
      <c r="X1252" s="761" t="s">
        <v>3373</v>
      </c>
      <c r="Y1252" s="761">
        <v>44734</v>
      </c>
      <c r="Z1252" s="3" t="s">
        <v>62</v>
      </c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</row>
    <row r="1253" spans="1:39">
      <c r="B1253" s="900">
        <v>7</v>
      </c>
      <c r="C1253" s="807" t="s">
        <v>3454</v>
      </c>
      <c r="D1253" s="781" t="s">
        <v>3803</v>
      </c>
      <c r="E1253" s="11">
        <v>70092</v>
      </c>
      <c r="F1253" s="3">
        <v>5</v>
      </c>
      <c r="G1253" s="3" t="s">
        <v>60</v>
      </c>
      <c r="H1253" s="3" t="s">
        <v>60</v>
      </c>
      <c r="I1253" s="3">
        <v>543.16999999999996</v>
      </c>
      <c r="J1253" s="878">
        <v>307.42</v>
      </c>
      <c r="K1253" s="3" t="s">
        <v>3373</v>
      </c>
      <c r="L1253" s="761">
        <v>44734</v>
      </c>
      <c r="M1253" s="761" t="s">
        <v>2411</v>
      </c>
      <c r="N1253" s="761">
        <v>44734</v>
      </c>
      <c r="O1253" s="3" t="s">
        <v>62</v>
      </c>
      <c r="P1253" s="787" t="s">
        <v>3804</v>
      </c>
      <c r="Q1253" s="11" t="s">
        <v>3805</v>
      </c>
      <c r="R1253" s="3"/>
      <c r="S1253" s="3" t="s">
        <v>1547</v>
      </c>
      <c r="T1253" s="3"/>
      <c r="U1253" s="3">
        <v>323.60000000000002</v>
      </c>
      <c r="V1253" s="4"/>
      <c r="W1253" s="761"/>
      <c r="X1253" s="761" t="s">
        <v>3373</v>
      </c>
      <c r="Y1253" s="761">
        <v>44734</v>
      </c>
      <c r="Z1253" s="3" t="s">
        <v>62</v>
      </c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</row>
    <row r="1254" spans="1:39">
      <c r="B1254" s="900">
        <v>7</v>
      </c>
      <c r="C1254" s="807" t="s">
        <v>3454</v>
      </c>
      <c r="D1254" s="781" t="s">
        <v>3806</v>
      </c>
      <c r="E1254" s="11">
        <v>70102</v>
      </c>
      <c r="F1254" s="3">
        <v>6</v>
      </c>
      <c r="G1254" s="3" t="s">
        <v>128</v>
      </c>
      <c r="H1254" s="3" t="s">
        <v>60</v>
      </c>
      <c r="I1254" s="3">
        <v>535.1</v>
      </c>
      <c r="J1254" s="878">
        <v>301.13</v>
      </c>
      <c r="K1254" s="3" t="s">
        <v>3373</v>
      </c>
      <c r="L1254" s="761">
        <v>44735</v>
      </c>
      <c r="M1254" s="761" t="s">
        <v>2411</v>
      </c>
      <c r="N1254" s="761">
        <v>44735</v>
      </c>
      <c r="O1254" s="3" t="s">
        <v>62</v>
      </c>
      <c r="P1254" s="787" t="s">
        <v>3807</v>
      </c>
      <c r="Q1254" s="787" t="s">
        <v>3808</v>
      </c>
      <c r="R1254" s="3"/>
      <c r="S1254" s="3" t="s">
        <v>1547</v>
      </c>
      <c r="T1254" s="3"/>
      <c r="U1254" s="3">
        <v>316.89999999999998</v>
      </c>
      <c r="V1254" s="4"/>
      <c r="W1254" s="761"/>
      <c r="X1254" s="761" t="s">
        <v>3373</v>
      </c>
      <c r="Y1254" s="761">
        <v>44735</v>
      </c>
      <c r="Z1254" s="3" t="s">
        <v>62</v>
      </c>
      <c r="AA1254" s="4"/>
      <c r="AB1254" s="4"/>
      <c r="AC1254" s="4"/>
      <c r="AD1254" s="4"/>
      <c r="AE1254" s="4"/>
      <c r="AF1254" s="4"/>
      <c r="AG1254" s="4" t="s">
        <v>3809</v>
      </c>
      <c r="AH1254" s="4"/>
      <c r="AI1254" s="4"/>
      <c r="AJ1254" s="4"/>
      <c r="AK1254" s="4"/>
      <c r="AL1254" s="4"/>
      <c r="AM1254" s="4">
        <v>4.92</v>
      </c>
    </row>
    <row r="1255" spans="1:39">
      <c r="B1255" s="900">
        <v>7</v>
      </c>
      <c r="C1255" s="807" t="s">
        <v>3454</v>
      </c>
      <c r="D1255" s="781" t="s">
        <v>3810</v>
      </c>
      <c r="E1255" s="11">
        <v>70642</v>
      </c>
      <c r="F1255" s="3">
        <v>7</v>
      </c>
      <c r="G1255" s="3" t="s">
        <v>1041</v>
      </c>
      <c r="H1255" s="3" t="s">
        <v>932</v>
      </c>
      <c r="I1255" s="3">
        <v>535.9</v>
      </c>
      <c r="J1255" s="878">
        <v>304.75</v>
      </c>
      <c r="K1255" s="3" t="s">
        <v>3811</v>
      </c>
      <c r="L1255" s="761">
        <v>44743</v>
      </c>
      <c r="M1255" s="761" t="s">
        <v>2512</v>
      </c>
      <c r="N1255" s="761">
        <v>44743</v>
      </c>
      <c r="O1255" s="3" t="s">
        <v>62</v>
      </c>
      <c r="P1255" s="787" t="s">
        <v>3812</v>
      </c>
      <c r="Q1255" s="11" t="s">
        <v>3813</v>
      </c>
      <c r="R1255" s="3"/>
      <c r="S1255" s="3" t="s">
        <v>1547</v>
      </c>
      <c r="T1255" s="3"/>
      <c r="U1255" s="3">
        <v>320.7</v>
      </c>
      <c r="V1255" s="4"/>
      <c r="W1255" s="761"/>
      <c r="X1255" s="761" t="s">
        <v>3811</v>
      </c>
      <c r="Y1255" s="761">
        <v>44743</v>
      </c>
      <c r="Z1255" s="3" t="s">
        <v>62</v>
      </c>
      <c r="AA1255" s="4"/>
      <c r="AB1255" s="4"/>
      <c r="AC1255" s="4"/>
      <c r="AD1255" s="4"/>
      <c r="AE1255" s="4"/>
      <c r="AF1255" s="4"/>
      <c r="AG1255" s="4" t="s">
        <v>3814</v>
      </c>
      <c r="AH1255" s="4"/>
      <c r="AI1255" s="4"/>
      <c r="AJ1255" s="4"/>
      <c r="AK1255" s="4"/>
      <c r="AL1255" s="4"/>
      <c r="AM1255" s="4"/>
    </row>
    <row r="1256" spans="1:39">
      <c r="B1256" s="900">
        <v>7</v>
      </c>
      <c r="C1256" s="807" t="s">
        <v>3454</v>
      </c>
      <c r="D1256" s="781" t="s">
        <v>3815</v>
      </c>
      <c r="E1256" s="11">
        <v>70652</v>
      </c>
      <c r="F1256" s="3">
        <v>8</v>
      </c>
      <c r="G1256" s="3" t="s">
        <v>1041</v>
      </c>
      <c r="H1256" s="3" t="s">
        <v>932</v>
      </c>
      <c r="I1256" s="3">
        <v>536.4</v>
      </c>
      <c r="J1256" s="878">
        <v>306.77999999999997</v>
      </c>
      <c r="K1256" s="3" t="s">
        <v>3811</v>
      </c>
      <c r="L1256" s="761">
        <v>44743</v>
      </c>
      <c r="M1256" s="761" t="s">
        <v>2512</v>
      </c>
      <c r="N1256" s="761">
        <v>44743</v>
      </c>
      <c r="O1256" s="3" t="s">
        <v>62</v>
      </c>
      <c r="P1256" s="787" t="s">
        <v>3816</v>
      </c>
      <c r="Q1256" s="11" t="s">
        <v>3817</v>
      </c>
      <c r="R1256" s="3"/>
      <c r="S1256" s="3" t="s">
        <v>1547</v>
      </c>
      <c r="T1256" s="3"/>
      <c r="U1256" s="3">
        <v>322.60000000000002</v>
      </c>
      <c r="V1256" s="4"/>
      <c r="W1256" s="761"/>
      <c r="X1256" s="761" t="s">
        <v>3811</v>
      </c>
      <c r="Y1256" s="761">
        <v>44743</v>
      </c>
      <c r="Z1256" s="3" t="s">
        <v>62</v>
      </c>
      <c r="AA1256" s="4"/>
      <c r="AB1256" s="4"/>
      <c r="AC1256" s="4"/>
      <c r="AD1256" s="4"/>
      <c r="AE1256" s="4"/>
      <c r="AF1256" s="4"/>
      <c r="AG1256" s="4" t="s">
        <v>3818</v>
      </c>
      <c r="AH1256" s="4"/>
      <c r="AI1256" s="4"/>
      <c r="AJ1256" s="4"/>
      <c r="AK1256" s="4"/>
      <c r="AL1256" s="4"/>
      <c r="AM1256" s="4"/>
    </row>
    <row r="1257" spans="1:39">
      <c r="B1257" s="900">
        <v>7</v>
      </c>
      <c r="C1257" s="807" t="s">
        <v>3454</v>
      </c>
      <c r="D1257" s="781" t="s">
        <v>3819</v>
      </c>
      <c r="E1257" s="11">
        <v>70662</v>
      </c>
      <c r="F1257" s="3">
        <v>9</v>
      </c>
      <c r="G1257" s="3" t="s">
        <v>932</v>
      </c>
      <c r="H1257" s="3" t="s">
        <v>932</v>
      </c>
      <c r="I1257" s="3">
        <v>533.58000000000004</v>
      </c>
      <c r="J1257" s="878">
        <v>301.33</v>
      </c>
      <c r="K1257" s="3" t="s">
        <v>3373</v>
      </c>
      <c r="L1257" s="761">
        <v>44742</v>
      </c>
      <c r="M1257" s="761" t="s">
        <v>2512</v>
      </c>
      <c r="N1257" s="761">
        <v>44743</v>
      </c>
      <c r="O1257" s="3" t="s">
        <v>62</v>
      </c>
      <c r="P1257" s="787" t="s">
        <v>3820</v>
      </c>
      <c r="Q1257" s="11" t="s">
        <v>3821</v>
      </c>
      <c r="R1257" s="3"/>
      <c r="S1257" s="3" t="s">
        <v>1547</v>
      </c>
      <c r="T1257" s="3"/>
      <c r="U1257" s="3">
        <v>317.2</v>
      </c>
      <c r="V1257" s="4"/>
      <c r="W1257" s="761"/>
      <c r="X1257" s="761" t="s">
        <v>3811</v>
      </c>
      <c r="Y1257" s="761">
        <v>44743</v>
      </c>
      <c r="Z1257" s="3" t="s">
        <v>62</v>
      </c>
      <c r="AA1257" s="4"/>
      <c r="AB1257" s="4"/>
      <c r="AC1257" s="4"/>
      <c r="AD1257" s="4"/>
      <c r="AE1257" s="4"/>
      <c r="AF1257" s="4"/>
      <c r="AG1257" s="4" t="s">
        <v>3822</v>
      </c>
      <c r="AH1257" s="4"/>
      <c r="AI1257" s="4"/>
      <c r="AJ1257" s="4"/>
      <c r="AK1257" s="4"/>
      <c r="AL1257" s="4"/>
      <c r="AM1257" s="4"/>
    </row>
    <row r="1258" spans="1:39" s="707" customFormat="1">
      <c r="A1258"/>
      <c r="B1258" s="901" t="s">
        <v>13</v>
      </c>
      <c r="C1258" s="807" t="s">
        <v>1761</v>
      </c>
      <c r="D1258" s="902"/>
      <c r="E1258" s="874"/>
      <c r="F1258" s="807"/>
      <c r="G1258" s="807"/>
      <c r="H1258" s="807"/>
      <c r="I1258" s="807"/>
      <c r="J1258" s="881"/>
      <c r="K1258" s="807"/>
      <c r="L1258" s="819"/>
      <c r="M1258" s="819"/>
      <c r="N1258" s="819"/>
      <c r="O1258" s="807"/>
      <c r="P1258" s="876"/>
      <c r="Q1258" s="874"/>
      <c r="R1258" s="807"/>
      <c r="S1258" s="807"/>
      <c r="T1258" s="807"/>
      <c r="U1258" s="807"/>
      <c r="V1258" s="710"/>
      <c r="W1258" s="819"/>
      <c r="X1258" s="819"/>
      <c r="Y1258" s="819"/>
      <c r="Z1258" s="807"/>
      <c r="AA1258" s="710"/>
      <c r="AB1258" s="710"/>
      <c r="AC1258" s="710"/>
      <c r="AD1258" s="710"/>
      <c r="AE1258" s="710"/>
      <c r="AF1258" s="710"/>
      <c r="AG1258" s="710"/>
      <c r="AH1258" s="710"/>
      <c r="AI1258" s="710"/>
      <c r="AJ1258" s="710"/>
      <c r="AK1258" s="710"/>
      <c r="AL1258" s="710"/>
      <c r="AM1258" s="710"/>
    </row>
    <row r="1259" spans="1:39">
      <c r="B1259" s="900">
        <v>8</v>
      </c>
      <c r="C1259" s="807" t="s">
        <v>3454</v>
      </c>
      <c r="D1259" s="781" t="s">
        <v>3823</v>
      </c>
      <c r="E1259" s="11">
        <v>80212</v>
      </c>
      <c r="F1259" s="3">
        <v>1</v>
      </c>
      <c r="G1259" s="3" t="s">
        <v>60</v>
      </c>
      <c r="H1259" s="3" t="s">
        <v>932</v>
      </c>
      <c r="I1259" s="3">
        <v>536.37</v>
      </c>
      <c r="J1259" s="878">
        <v>299.64999999999998</v>
      </c>
      <c r="K1259" s="3" t="s">
        <v>2512</v>
      </c>
      <c r="L1259" s="761">
        <v>44762</v>
      </c>
      <c r="M1259" s="761" t="s">
        <v>2512</v>
      </c>
      <c r="N1259" s="761">
        <v>44763</v>
      </c>
      <c r="O1259" s="3" t="s">
        <v>62</v>
      </c>
      <c r="P1259" s="787" t="s">
        <v>3824</v>
      </c>
      <c r="Q1259" s="11" t="s">
        <v>3825</v>
      </c>
      <c r="R1259" s="3"/>
      <c r="S1259" s="3" t="s">
        <v>1547</v>
      </c>
      <c r="T1259" s="3"/>
      <c r="U1259" s="3">
        <v>320.89999999999998</v>
      </c>
      <c r="V1259" s="4"/>
      <c r="W1259" s="761"/>
      <c r="X1259" s="761" t="s">
        <v>2512</v>
      </c>
      <c r="Y1259" s="761">
        <v>44764</v>
      </c>
      <c r="Z1259" s="3" t="s">
        <v>62</v>
      </c>
      <c r="AA1259" s="4"/>
      <c r="AB1259" s="4"/>
      <c r="AC1259" s="4"/>
      <c r="AD1259" s="4"/>
      <c r="AE1259" s="4"/>
      <c r="AF1259" s="4"/>
      <c r="AG1259" s="4" t="s">
        <v>3826</v>
      </c>
      <c r="AH1259" s="4"/>
      <c r="AI1259" s="4"/>
      <c r="AJ1259" s="4"/>
      <c r="AK1259" s="4"/>
      <c r="AL1259" s="4"/>
      <c r="AM1259" s="4">
        <v>4.66</v>
      </c>
    </row>
    <row r="1260" spans="1:39">
      <c r="B1260" s="900">
        <v>8</v>
      </c>
      <c r="C1260" s="807" t="s">
        <v>3454</v>
      </c>
      <c r="D1260" s="781" t="s">
        <v>3827</v>
      </c>
      <c r="E1260" s="11">
        <v>80932</v>
      </c>
      <c r="F1260" s="3">
        <v>2</v>
      </c>
      <c r="G1260" s="3" t="s">
        <v>932</v>
      </c>
      <c r="H1260" s="3" t="s">
        <v>932</v>
      </c>
      <c r="I1260" s="3">
        <v>527.79999999999995</v>
      </c>
      <c r="J1260" s="785">
        <v>306.73</v>
      </c>
      <c r="K1260" s="3" t="s">
        <v>2512</v>
      </c>
      <c r="L1260" s="761">
        <v>44762</v>
      </c>
      <c r="M1260" s="761" t="s">
        <v>2512</v>
      </c>
      <c r="N1260" s="761">
        <v>44763</v>
      </c>
      <c r="O1260" s="3" t="s">
        <v>62</v>
      </c>
      <c r="P1260" s="787" t="s">
        <v>3828</v>
      </c>
      <c r="Q1260" s="11" t="s">
        <v>3829</v>
      </c>
      <c r="R1260" s="3"/>
      <c r="S1260" s="3" t="s">
        <v>1547</v>
      </c>
      <c r="T1260" s="3"/>
      <c r="U1260" s="3">
        <v>321.8</v>
      </c>
      <c r="V1260" s="4"/>
      <c r="W1260" s="761"/>
      <c r="X1260" s="761" t="s">
        <v>2512</v>
      </c>
      <c r="Y1260" s="761">
        <v>44764</v>
      </c>
      <c r="Z1260" s="3" t="s">
        <v>62</v>
      </c>
      <c r="AA1260" s="4"/>
      <c r="AB1260" s="4"/>
      <c r="AC1260" s="4"/>
      <c r="AD1260" s="4"/>
      <c r="AE1260" s="4"/>
      <c r="AF1260" s="4"/>
      <c r="AG1260" s="4" t="s">
        <v>3830</v>
      </c>
      <c r="AH1260" s="4"/>
      <c r="AI1260" s="4"/>
      <c r="AJ1260" s="4"/>
      <c r="AK1260" s="4"/>
      <c r="AL1260" s="4"/>
      <c r="AM1260" s="4">
        <v>5.05</v>
      </c>
    </row>
    <row r="1261" spans="1:39">
      <c r="B1261" s="900">
        <v>8</v>
      </c>
      <c r="C1261" s="807" t="s">
        <v>3454</v>
      </c>
      <c r="D1261" s="781" t="s">
        <v>3831</v>
      </c>
      <c r="E1261" s="11">
        <v>80942</v>
      </c>
      <c r="F1261" s="3">
        <v>3</v>
      </c>
      <c r="G1261" s="3" t="s">
        <v>932</v>
      </c>
      <c r="H1261" s="3" t="s">
        <v>932</v>
      </c>
      <c r="I1261" s="3">
        <v>539.35</v>
      </c>
      <c r="J1261" s="785">
        <v>305.02</v>
      </c>
      <c r="K1261" s="3" t="s">
        <v>2512</v>
      </c>
      <c r="L1261" s="761">
        <v>44762</v>
      </c>
      <c r="M1261" s="761" t="s">
        <v>2512</v>
      </c>
      <c r="N1261" s="761">
        <v>44763</v>
      </c>
      <c r="O1261" s="3" t="s">
        <v>62</v>
      </c>
      <c r="P1261" s="787" t="s">
        <v>3832</v>
      </c>
      <c r="Q1261" s="3" t="s">
        <v>3833</v>
      </c>
      <c r="R1261" s="3"/>
      <c r="S1261" s="3" t="s">
        <v>1547</v>
      </c>
      <c r="T1261" s="3"/>
      <c r="U1261" s="3">
        <v>320.60000000000002</v>
      </c>
      <c r="V1261" s="4"/>
      <c r="W1261" s="761"/>
      <c r="X1261" s="761" t="s">
        <v>2512</v>
      </c>
      <c r="Y1261" s="761">
        <v>44767</v>
      </c>
      <c r="Z1261" s="3" t="s">
        <v>62</v>
      </c>
      <c r="AA1261" s="4"/>
      <c r="AB1261" s="4"/>
      <c r="AC1261" s="4"/>
      <c r="AD1261" s="4"/>
      <c r="AE1261" s="4"/>
      <c r="AF1261" s="4"/>
      <c r="AG1261" s="4" t="s">
        <v>3834</v>
      </c>
      <c r="AH1261" s="4"/>
      <c r="AI1261" s="4"/>
      <c r="AJ1261" s="4"/>
      <c r="AK1261" s="4"/>
      <c r="AL1261" s="4"/>
      <c r="AM1261" s="4">
        <v>4.3</v>
      </c>
    </row>
    <row r="1262" spans="1:39">
      <c r="B1262" s="900">
        <v>8</v>
      </c>
      <c r="C1262" s="807" t="s">
        <v>3454</v>
      </c>
      <c r="D1262" s="781" t="s">
        <v>3835</v>
      </c>
      <c r="E1262" s="11">
        <v>80952</v>
      </c>
      <c r="F1262" s="3">
        <v>4</v>
      </c>
      <c r="G1262" s="3" t="s">
        <v>932</v>
      </c>
      <c r="H1262" s="3" t="s">
        <v>60</v>
      </c>
      <c r="I1262" s="3">
        <v>532.1</v>
      </c>
      <c r="J1262" s="785">
        <v>304.49</v>
      </c>
      <c r="K1262" s="3" t="s">
        <v>2512</v>
      </c>
      <c r="L1262" s="761">
        <v>44767</v>
      </c>
      <c r="M1262" s="761" t="s">
        <v>2512</v>
      </c>
      <c r="N1262" s="761">
        <v>44768</v>
      </c>
      <c r="O1262" s="3" t="s">
        <v>62</v>
      </c>
      <c r="P1262" s="3" t="s">
        <v>3836</v>
      </c>
      <c r="Q1262" s="3" t="s">
        <v>3837</v>
      </c>
      <c r="R1262" s="3"/>
      <c r="S1262" s="3" t="s">
        <v>1547</v>
      </c>
      <c r="T1262" s="3"/>
      <c r="U1262" s="3">
        <v>320.60000000000002</v>
      </c>
      <c r="V1262" s="4"/>
      <c r="W1262" s="761"/>
      <c r="X1262" s="761" t="s">
        <v>2512</v>
      </c>
      <c r="Y1262" s="761">
        <v>44768</v>
      </c>
      <c r="Z1262" s="3" t="s">
        <v>62</v>
      </c>
      <c r="AA1262" s="4"/>
      <c r="AB1262" s="4"/>
      <c r="AC1262" s="4"/>
      <c r="AD1262" s="4"/>
      <c r="AE1262" s="4"/>
      <c r="AF1262" s="4"/>
      <c r="AG1262" s="4" t="s">
        <v>3838</v>
      </c>
      <c r="AH1262" s="4"/>
      <c r="AI1262" s="4"/>
      <c r="AJ1262" s="4"/>
      <c r="AK1262" s="4"/>
      <c r="AL1262" s="4"/>
      <c r="AM1262" s="4">
        <v>4.45</v>
      </c>
    </row>
    <row r="1263" spans="1:39">
      <c r="B1263" s="900">
        <v>8</v>
      </c>
      <c r="C1263" s="807" t="s">
        <v>3454</v>
      </c>
      <c r="D1263" s="781" t="s">
        <v>3839</v>
      </c>
      <c r="E1263" s="11">
        <v>80962</v>
      </c>
      <c r="F1263" s="3">
        <v>5</v>
      </c>
      <c r="G1263" s="3" t="s">
        <v>932</v>
      </c>
      <c r="H1263" s="3" t="s">
        <v>60</v>
      </c>
      <c r="I1263" s="3">
        <v>540.29999999999995</v>
      </c>
      <c r="J1263" s="3">
        <v>307.13</v>
      </c>
      <c r="K1263" s="3" t="s">
        <v>2512</v>
      </c>
      <c r="L1263" s="761">
        <v>44767</v>
      </c>
      <c r="M1263" s="761" t="s">
        <v>2512</v>
      </c>
      <c r="N1263" s="761">
        <v>44768</v>
      </c>
      <c r="O1263" s="3" t="s">
        <v>62</v>
      </c>
      <c r="P1263" s="3" t="s">
        <v>3840</v>
      </c>
      <c r="Q1263" s="3" t="s">
        <v>3841</v>
      </c>
      <c r="R1263" s="3"/>
      <c r="S1263" s="3" t="s">
        <v>1547</v>
      </c>
      <c r="T1263" s="3"/>
      <c r="U1263" s="3">
        <v>323.10000000000002</v>
      </c>
      <c r="V1263" s="4"/>
      <c r="W1263" s="761"/>
      <c r="X1263" s="761" t="s">
        <v>2512</v>
      </c>
      <c r="Y1263" s="761">
        <v>44768</v>
      </c>
      <c r="Z1263" s="3" t="s">
        <v>62</v>
      </c>
      <c r="AA1263" s="4"/>
      <c r="AB1263" s="4"/>
      <c r="AC1263" s="4"/>
      <c r="AD1263" s="4"/>
      <c r="AE1263" s="4"/>
      <c r="AF1263" s="4"/>
      <c r="AG1263" s="4" t="s">
        <v>1307</v>
      </c>
      <c r="AH1263" s="4"/>
      <c r="AI1263" s="4"/>
      <c r="AJ1263" s="4"/>
      <c r="AK1263" s="4"/>
      <c r="AL1263" s="4"/>
      <c r="AM1263" s="4">
        <v>4.68</v>
      </c>
    </row>
    <row r="1264" spans="1:39">
      <c r="B1264" s="900">
        <v>8</v>
      </c>
      <c r="C1264" s="807" t="s">
        <v>3454</v>
      </c>
      <c r="D1264" s="781" t="s">
        <v>3842</v>
      </c>
      <c r="E1264" s="11">
        <v>80972</v>
      </c>
      <c r="F1264" s="3">
        <v>6</v>
      </c>
      <c r="G1264" s="3" t="s">
        <v>932</v>
      </c>
      <c r="H1264" s="3" t="s">
        <v>60</v>
      </c>
      <c r="I1264" s="3">
        <v>534.9</v>
      </c>
      <c r="J1264" s="785">
        <v>302.39999999999998</v>
      </c>
      <c r="K1264" s="3" t="s">
        <v>2512</v>
      </c>
      <c r="L1264" s="761">
        <v>44767</v>
      </c>
      <c r="M1264" s="761" t="s">
        <v>2512</v>
      </c>
      <c r="N1264" s="761">
        <v>44769</v>
      </c>
      <c r="O1264" s="3" t="s">
        <v>62</v>
      </c>
      <c r="P1264" s="3" t="s">
        <v>3843</v>
      </c>
      <c r="Q1264" s="3" t="s">
        <v>3844</v>
      </c>
      <c r="R1264" s="3"/>
      <c r="S1264" s="3" t="s">
        <v>1547</v>
      </c>
      <c r="T1264" s="3"/>
      <c r="U1264" s="785">
        <v>318.7</v>
      </c>
      <c r="V1264" s="4"/>
      <c r="W1264" s="761"/>
      <c r="X1264" s="761" t="s">
        <v>2512</v>
      </c>
      <c r="Y1264" s="761">
        <v>44769</v>
      </c>
      <c r="Z1264" s="3" t="s">
        <v>62</v>
      </c>
      <c r="AA1264" s="4"/>
      <c r="AB1264" s="4"/>
      <c r="AC1264" s="4"/>
      <c r="AD1264" s="4"/>
      <c r="AE1264" s="4"/>
      <c r="AF1264" s="4"/>
      <c r="AG1264" s="4" t="s">
        <v>3845</v>
      </c>
      <c r="AH1264" s="4"/>
      <c r="AI1264" s="4"/>
      <c r="AJ1264" s="4"/>
      <c r="AK1264" s="4"/>
      <c r="AL1264" s="4"/>
      <c r="AM1264" s="4">
        <v>5.03</v>
      </c>
    </row>
    <row r="1265" spans="1:39">
      <c r="B1265" s="900">
        <v>8</v>
      </c>
      <c r="C1265" s="807" t="s">
        <v>3454</v>
      </c>
      <c r="D1265" s="781" t="s">
        <v>3846</v>
      </c>
      <c r="E1265" s="11">
        <v>80982</v>
      </c>
      <c r="F1265" s="3">
        <v>7</v>
      </c>
      <c r="G1265" s="3" t="s">
        <v>60</v>
      </c>
      <c r="H1265" s="3" t="s">
        <v>60</v>
      </c>
      <c r="I1265" s="3">
        <v>537.79999999999995</v>
      </c>
      <c r="J1265" s="785">
        <v>305.68</v>
      </c>
      <c r="K1265" s="3" t="s">
        <v>2512</v>
      </c>
      <c r="L1265" s="761">
        <v>44768</v>
      </c>
      <c r="M1265" s="761" t="s">
        <v>2512</v>
      </c>
      <c r="N1265" s="761">
        <v>44769</v>
      </c>
      <c r="O1265" s="3" t="s">
        <v>62</v>
      </c>
      <c r="P1265" s="3" t="s">
        <v>3847</v>
      </c>
      <c r="Q1265" s="3" t="s">
        <v>3848</v>
      </c>
      <c r="R1265" s="3"/>
      <c r="S1265" s="3" t="s">
        <v>1547</v>
      </c>
      <c r="T1265" s="3"/>
      <c r="U1265" s="785">
        <v>321.89999999999998</v>
      </c>
      <c r="V1265" s="4"/>
      <c r="W1265" s="761"/>
      <c r="X1265" s="761" t="s">
        <v>2512</v>
      </c>
      <c r="Y1265" s="761">
        <v>44769</v>
      </c>
      <c r="Z1265" s="3" t="s">
        <v>62</v>
      </c>
      <c r="AA1265" s="4"/>
      <c r="AB1265" s="4"/>
      <c r="AC1265" s="4"/>
      <c r="AD1265" s="4"/>
      <c r="AE1265" s="4"/>
      <c r="AF1265" s="4"/>
      <c r="AG1265" s="4" t="s">
        <v>3849</v>
      </c>
      <c r="AH1265" s="4"/>
      <c r="AI1265" s="4"/>
      <c r="AJ1265" s="4"/>
      <c r="AK1265" s="4"/>
      <c r="AL1265" s="4"/>
      <c r="AM1265" s="4">
        <v>4.5199999999999996</v>
      </c>
    </row>
    <row r="1266" spans="1:39">
      <c r="B1266" s="900">
        <v>8</v>
      </c>
      <c r="C1266" s="807" t="s">
        <v>3454</v>
      </c>
      <c r="D1266" s="781" t="s">
        <v>3850</v>
      </c>
      <c r="E1266" s="11">
        <v>80992</v>
      </c>
      <c r="F1266" s="3">
        <v>8</v>
      </c>
      <c r="G1266" s="3" t="s">
        <v>60</v>
      </c>
      <c r="H1266" s="3" t="s">
        <v>60</v>
      </c>
      <c r="I1266" s="785">
        <v>537.5</v>
      </c>
      <c r="J1266" s="785">
        <v>304.45</v>
      </c>
      <c r="K1266" s="3" t="s">
        <v>2512</v>
      </c>
      <c r="L1266" s="761">
        <v>44770</v>
      </c>
      <c r="M1266" s="761" t="s">
        <v>2512</v>
      </c>
      <c r="N1266" s="761">
        <v>44770</v>
      </c>
      <c r="O1266" s="3" t="s">
        <v>62</v>
      </c>
      <c r="P1266" s="3" t="s">
        <v>3851</v>
      </c>
      <c r="Q1266" s="3" t="s">
        <v>3852</v>
      </c>
      <c r="R1266" s="3"/>
      <c r="S1266" s="3" t="s">
        <v>1547</v>
      </c>
      <c r="T1266" s="3"/>
      <c r="U1266" s="3">
        <v>320.3</v>
      </c>
      <c r="V1266" s="4"/>
      <c r="W1266" s="761"/>
      <c r="X1266" s="761" t="s">
        <v>2512</v>
      </c>
      <c r="Y1266" s="761">
        <v>44770</v>
      </c>
      <c r="Z1266" s="3" t="s">
        <v>62</v>
      </c>
      <c r="AA1266" s="4"/>
      <c r="AB1266" s="4"/>
      <c r="AC1266" s="4"/>
      <c r="AD1266" s="4"/>
      <c r="AE1266" s="4"/>
      <c r="AF1266" s="4"/>
      <c r="AG1266" s="4" t="s">
        <v>3853</v>
      </c>
      <c r="AH1266" s="4"/>
      <c r="AI1266" s="4"/>
      <c r="AJ1266" s="4"/>
      <c r="AK1266" s="4"/>
      <c r="AL1266" s="4"/>
      <c r="AM1266" s="4">
        <v>4.82</v>
      </c>
    </row>
    <row r="1267" spans="1:39">
      <c r="B1267" s="900">
        <v>8</v>
      </c>
      <c r="C1267" s="807" t="s">
        <v>3454</v>
      </c>
      <c r="D1267" s="781" t="s">
        <v>3854</v>
      </c>
      <c r="E1267" s="11">
        <v>81082</v>
      </c>
      <c r="F1267" s="3">
        <v>9</v>
      </c>
      <c r="G1267" s="3" t="s">
        <v>60</v>
      </c>
      <c r="H1267" s="3" t="s">
        <v>60</v>
      </c>
      <c r="I1267" s="785">
        <v>536.1</v>
      </c>
      <c r="J1267" s="785">
        <v>304.77999999999997</v>
      </c>
      <c r="K1267" s="3" t="s">
        <v>2512</v>
      </c>
      <c r="L1267" s="761">
        <v>44771</v>
      </c>
      <c r="M1267" s="761" t="s">
        <v>2512</v>
      </c>
      <c r="N1267" s="761">
        <v>44770</v>
      </c>
      <c r="O1267" s="3" t="s">
        <v>62</v>
      </c>
      <c r="P1267" s="3" t="s">
        <v>3855</v>
      </c>
      <c r="Q1267" s="3" t="s">
        <v>3856</v>
      </c>
      <c r="R1267" s="3"/>
      <c r="S1267" s="3" t="s">
        <v>1547</v>
      </c>
      <c r="T1267" s="3"/>
      <c r="U1267" s="3">
        <v>320.2</v>
      </c>
      <c r="V1267" s="4"/>
      <c r="W1267" s="761"/>
      <c r="X1267" s="761" t="s">
        <v>2512</v>
      </c>
      <c r="Y1267" s="761">
        <v>44770</v>
      </c>
      <c r="Z1267" s="3" t="s">
        <v>62</v>
      </c>
      <c r="AA1267" s="4"/>
      <c r="AB1267" s="4"/>
      <c r="AC1267" s="4"/>
      <c r="AD1267" s="4"/>
      <c r="AE1267" s="4"/>
      <c r="AF1267" s="4"/>
      <c r="AG1267" s="4" t="s">
        <v>3857</v>
      </c>
      <c r="AH1267" s="4"/>
      <c r="AI1267" s="4"/>
      <c r="AJ1267" s="4"/>
      <c r="AK1267" s="4"/>
      <c r="AL1267" s="4"/>
      <c r="AM1267" s="4">
        <v>4.6900000000000004</v>
      </c>
    </row>
    <row r="1268" spans="1:39">
      <c r="B1268" s="900">
        <v>8</v>
      </c>
      <c r="C1268" s="807" t="s">
        <v>3454</v>
      </c>
      <c r="D1268" s="781" t="s">
        <v>3858</v>
      </c>
      <c r="E1268" s="11">
        <v>81092</v>
      </c>
      <c r="F1268" s="3">
        <v>10</v>
      </c>
      <c r="G1268" s="3" t="s">
        <v>60</v>
      </c>
      <c r="H1268" s="3" t="s">
        <v>60</v>
      </c>
      <c r="I1268" s="785">
        <v>531.6</v>
      </c>
      <c r="J1268" s="785">
        <v>306.27</v>
      </c>
      <c r="K1268" s="3" t="s">
        <v>2512</v>
      </c>
      <c r="L1268" s="761">
        <v>44771</v>
      </c>
      <c r="M1268" s="761" t="s">
        <v>2512</v>
      </c>
      <c r="N1268" s="761">
        <v>44770</v>
      </c>
      <c r="O1268" s="3" t="s">
        <v>62</v>
      </c>
      <c r="P1268" s="3" t="s">
        <v>3859</v>
      </c>
      <c r="Q1268" s="3" t="s">
        <v>740</v>
      </c>
      <c r="R1268" s="3"/>
      <c r="S1268" s="3" t="s">
        <v>1547</v>
      </c>
      <c r="T1268" s="3"/>
      <c r="U1268" s="3">
        <v>322.10000000000002</v>
      </c>
      <c r="V1268" s="4"/>
      <c r="W1268" s="761"/>
      <c r="X1268" s="761" t="s">
        <v>2512</v>
      </c>
      <c r="Y1268" s="761">
        <v>44771</v>
      </c>
      <c r="Z1268" s="3" t="s">
        <v>62</v>
      </c>
      <c r="AA1268" s="4"/>
      <c r="AB1268" s="4"/>
      <c r="AC1268" s="4"/>
      <c r="AD1268" s="4"/>
      <c r="AE1268" s="4"/>
      <c r="AF1268" s="4"/>
      <c r="AG1268" s="4" t="s">
        <v>3860</v>
      </c>
      <c r="AH1268" s="4"/>
      <c r="AI1268" s="4"/>
      <c r="AJ1268" s="4"/>
      <c r="AK1268" s="4"/>
      <c r="AL1268" s="4"/>
      <c r="AM1268" s="4">
        <v>4.74</v>
      </c>
    </row>
    <row r="1269" spans="1:39" s="707" customFormat="1">
      <c r="A1269"/>
      <c r="B1269" s="903" t="s">
        <v>13</v>
      </c>
      <c r="C1269" s="807" t="s">
        <v>1899</v>
      </c>
      <c r="D1269" s="902"/>
      <c r="E1269" s="874"/>
      <c r="F1269" s="807"/>
      <c r="G1269" s="807"/>
      <c r="H1269" s="807"/>
      <c r="I1269" s="807"/>
      <c r="J1269" s="807"/>
      <c r="K1269" s="807"/>
      <c r="L1269" s="819"/>
      <c r="M1269" s="819"/>
      <c r="N1269" s="819"/>
      <c r="O1269" s="807"/>
      <c r="P1269" s="807"/>
      <c r="Q1269" s="807"/>
      <c r="R1269" s="807"/>
      <c r="S1269" s="807"/>
      <c r="T1269" s="807"/>
      <c r="U1269" s="807"/>
      <c r="V1269" s="710"/>
      <c r="W1269" s="819"/>
      <c r="X1269" s="819"/>
      <c r="Y1269" s="819"/>
      <c r="Z1269" s="807"/>
      <c r="AA1269" s="710"/>
      <c r="AB1269" s="710"/>
      <c r="AC1269" s="710"/>
      <c r="AD1269" s="710"/>
      <c r="AE1269" s="710"/>
      <c r="AF1269" s="710"/>
      <c r="AG1269" s="710"/>
      <c r="AH1269" s="710"/>
      <c r="AI1269" s="710"/>
      <c r="AJ1269" s="710"/>
      <c r="AK1269" s="710"/>
      <c r="AL1269" s="710"/>
      <c r="AM1269" s="710"/>
    </row>
    <row r="1270" spans="1:39">
      <c r="B1270" s="904">
        <v>10</v>
      </c>
      <c r="C1270" s="807" t="s">
        <v>3454</v>
      </c>
      <c r="D1270" s="781" t="s">
        <v>3861</v>
      </c>
      <c r="E1270" s="11">
        <v>100632</v>
      </c>
      <c r="F1270" s="3">
        <v>1</v>
      </c>
      <c r="G1270" s="3" t="s">
        <v>60</v>
      </c>
      <c r="H1270" s="3" t="s">
        <v>128</v>
      </c>
      <c r="I1270" s="786">
        <v>534.20000000000005</v>
      </c>
      <c r="J1270" s="786">
        <v>302.83999999999997</v>
      </c>
      <c r="K1270" s="3" t="s">
        <v>2661</v>
      </c>
      <c r="L1270" s="761">
        <v>44831</v>
      </c>
      <c r="M1270" s="761" t="s">
        <v>2661</v>
      </c>
      <c r="N1270" s="761">
        <v>44831</v>
      </c>
      <c r="O1270" s="3" t="s">
        <v>62</v>
      </c>
      <c r="P1270" s="3" t="s">
        <v>3862</v>
      </c>
      <c r="Q1270" s="3" t="s">
        <v>3863</v>
      </c>
      <c r="R1270" s="3"/>
      <c r="S1270" s="3" t="s">
        <v>1547</v>
      </c>
      <c r="T1270" s="3"/>
      <c r="U1270" s="762">
        <v>318.5</v>
      </c>
      <c r="V1270" s="4"/>
      <c r="W1270" s="761"/>
      <c r="X1270" s="761" t="str">
        <f>TEXT(Y1270,"mmmm")</f>
        <v>September</v>
      </c>
      <c r="Y1270" s="761">
        <v>44831</v>
      </c>
      <c r="Z1270" s="3" t="s">
        <v>62</v>
      </c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</row>
    <row r="1271" spans="1:39">
      <c r="B1271" s="904">
        <v>10</v>
      </c>
      <c r="C1271" s="807" t="s">
        <v>3454</v>
      </c>
      <c r="D1271" s="781" t="s">
        <v>3864</v>
      </c>
      <c r="E1271" s="11">
        <v>100642</v>
      </c>
      <c r="F1271" s="3">
        <v>2</v>
      </c>
      <c r="G1271" s="3" t="s">
        <v>60</v>
      </c>
      <c r="H1271" s="3" t="s">
        <v>128</v>
      </c>
      <c r="I1271" s="762">
        <v>539</v>
      </c>
      <c r="J1271" s="762">
        <v>303.57</v>
      </c>
      <c r="K1271" s="3" t="s">
        <v>2661</v>
      </c>
      <c r="L1271" s="761">
        <v>44831</v>
      </c>
      <c r="M1271" s="761" t="s">
        <v>2661</v>
      </c>
      <c r="N1271" s="761">
        <v>44831</v>
      </c>
      <c r="O1271" s="3" t="s">
        <v>62</v>
      </c>
      <c r="P1271" s="3" t="s">
        <v>3865</v>
      </c>
      <c r="Q1271" s="3" t="s">
        <v>3866</v>
      </c>
      <c r="R1271" s="3"/>
      <c r="S1271" s="3" t="s">
        <v>1547</v>
      </c>
      <c r="T1271" s="3"/>
      <c r="U1271" s="762">
        <v>319.3</v>
      </c>
      <c r="V1271" s="4"/>
      <c r="W1271" s="761"/>
      <c r="X1271" s="761" t="str">
        <f>TEXT(Y1271,"mmmm")</f>
        <v>September</v>
      </c>
      <c r="Y1271" s="761">
        <v>44831</v>
      </c>
      <c r="Z1271" s="3" t="s">
        <v>62</v>
      </c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</row>
    <row r="1272" spans="1:39">
      <c r="B1272" s="904">
        <v>10</v>
      </c>
      <c r="C1272" s="807" t="s">
        <v>3454</v>
      </c>
      <c r="D1272" s="781" t="s">
        <v>3867</v>
      </c>
      <c r="E1272" s="11">
        <v>100652</v>
      </c>
      <c r="F1272" s="3">
        <v>3</v>
      </c>
      <c r="G1272" s="3" t="s">
        <v>60</v>
      </c>
      <c r="H1272" s="3" t="s">
        <v>60</v>
      </c>
      <c r="I1272" s="762">
        <v>541.5</v>
      </c>
      <c r="J1272" s="786">
        <v>305.22000000000003</v>
      </c>
      <c r="K1272" s="3" t="s">
        <v>2661</v>
      </c>
      <c r="L1272" s="761">
        <v>44831</v>
      </c>
      <c r="M1272" s="761" t="s">
        <v>2661</v>
      </c>
      <c r="N1272" s="761">
        <v>44832</v>
      </c>
      <c r="O1272" s="3" t="s">
        <v>62</v>
      </c>
      <c r="P1272" s="3" t="s">
        <v>3868</v>
      </c>
      <c r="Q1272" s="3" t="s">
        <v>3869</v>
      </c>
      <c r="R1272" s="3"/>
      <c r="S1272" s="3" t="s">
        <v>1547</v>
      </c>
      <c r="T1272" s="3"/>
      <c r="U1272" s="786">
        <v>321</v>
      </c>
      <c r="V1272" s="4"/>
      <c r="W1272" s="761"/>
      <c r="X1272" s="761" t="str">
        <f>TEXT(Y1272,"mmmm")</f>
        <v>September</v>
      </c>
      <c r="Y1272" s="761">
        <v>44831</v>
      </c>
      <c r="Z1272" s="3" t="s">
        <v>62</v>
      </c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</row>
    <row r="1273" spans="1:39">
      <c r="B1273" s="904">
        <v>10</v>
      </c>
      <c r="C1273" s="807" t="s">
        <v>3454</v>
      </c>
      <c r="D1273" s="781" t="s">
        <v>3870</v>
      </c>
      <c r="E1273" s="11">
        <v>100662</v>
      </c>
      <c r="F1273" s="3">
        <v>4</v>
      </c>
      <c r="G1273" s="3" t="s">
        <v>60</v>
      </c>
      <c r="H1273" s="3" t="s">
        <v>60</v>
      </c>
      <c r="I1273" s="786">
        <v>534.71</v>
      </c>
      <c r="J1273" s="3">
        <v>302.70999999999998</v>
      </c>
      <c r="K1273" s="3" t="s">
        <v>2661</v>
      </c>
      <c r="L1273" s="761">
        <v>44833</v>
      </c>
      <c r="M1273" s="761" t="s">
        <v>2661</v>
      </c>
      <c r="N1273" s="761">
        <v>44832</v>
      </c>
      <c r="O1273" s="3" t="s">
        <v>62</v>
      </c>
      <c r="P1273" s="3" t="s">
        <v>3871</v>
      </c>
      <c r="Q1273" s="3" t="s">
        <v>3872</v>
      </c>
      <c r="R1273" s="3"/>
      <c r="S1273" s="3" t="s">
        <v>1547</v>
      </c>
      <c r="T1273" s="3"/>
      <c r="U1273" s="3">
        <v>378.6</v>
      </c>
      <c r="V1273" s="4"/>
      <c r="W1273" s="761"/>
      <c r="X1273" s="761" t="s">
        <v>2661</v>
      </c>
      <c r="Y1273" s="761">
        <v>44831</v>
      </c>
      <c r="Z1273" s="3" t="s">
        <v>62</v>
      </c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</row>
    <row r="1274" spans="1:39">
      <c r="B1274" s="904">
        <v>10</v>
      </c>
      <c r="C1274" s="807" t="s">
        <v>3454</v>
      </c>
      <c r="D1274" s="781" t="s">
        <v>3873</v>
      </c>
      <c r="E1274" s="11">
        <v>100672</v>
      </c>
      <c r="F1274" s="3">
        <v>5</v>
      </c>
      <c r="G1274" s="3" t="s">
        <v>60</v>
      </c>
      <c r="H1274" s="3" t="s">
        <v>60</v>
      </c>
      <c r="I1274" s="786">
        <v>539.46</v>
      </c>
      <c r="J1274" s="786">
        <v>307.52</v>
      </c>
      <c r="K1274" s="3" t="s">
        <v>2661</v>
      </c>
      <c r="L1274" s="761">
        <v>44833</v>
      </c>
      <c r="M1274" s="761" t="s">
        <v>2661</v>
      </c>
      <c r="N1274" s="761">
        <v>44832</v>
      </c>
      <c r="O1274" s="3" t="s">
        <v>62</v>
      </c>
      <c r="P1274" s="3" t="s">
        <v>3874</v>
      </c>
      <c r="Q1274" s="3" t="s">
        <v>3875</v>
      </c>
      <c r="R1274" s="3"/>
      <c r="S1274" s="3" t="s">
        <v>1547</v>
      </c>
      <c r="T1274" s="3"/>
      <c r="U1274" s="786">
        <v>323.39999999999998</v>
      </c>
      <c r="V1274" s="4"/>
      <c r="W1274" s="761"/>
      <c r="X1274" s="761" t="str">
        <f>TEXT(Y1274,"mmmm")</f>
        <v>September</v>
      </c>
      <c r="Y1274" s="761">
        <v>44833</v>
      </c>
      <c r="Z1274" s="3" t="s">
        <v>62</v>
      </c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</row>
    <row r="1275" spans="1:39" s="707" customFormat="1">
      <c r="A1275"/>
      <c r="B1275" s="903" t="s">
        <v>13</v>
      </c>
      <c r="C1275" s="807" t="s">
        <v>1756</v>
      </c>
      <c r="D1275" s="902"/>
      <c r="E1275" s="874"/>
      <c r="F1275" s="807"/>
      <c r="G1275" s="807"/>
      <c r="H1275" s="807"/>
      <c r="I1275" s="820"/>
      <c r="J1275" s="820"/>
      <c r="K1275" s="807"/>
      <c r="L1275" s="819"/>
      <c r="M1275" s="819"/>
      <c r="N1275" s="819"/>
      <c r="O1275" s="807"/>
      <c r="P1275" s="807"/>
      <c r="Q1275" s="807"/>
      <c r="R1275" s="807"/>
      <c r="S1275" s="807"/>
      <c r="T1275" s="807"/>
      <c r="U1275" s="820"/>
      <c r="V1275" s="710"/>
      <c r="W1275" s="819"/>
      <c r="X1275" s="819"/>
      <c r="Y1275" s="819"/>
      <c r="Z1275" s="807"/>
      <c r="AA1275" s="710"/>
      <c r="AB1275" s="710"/>
      <c r="AC1275" s="710"/>
      <c r="AD1275" s="710"/>
      <c r="AE1275" s="710"/>
      <c r="AF1275" s="710"/>
      <c r="AG1275" s="710"/>
      <c r="AH1275" s="710"/>
      <c r="AI1275" s="710"/>
      <c r="AJ1275" s="710"/>
      <c r="AK1275" s="710"/>
      <c r="AL1275" s="710"/>
      <c r="AM1275" s="710"/>
    </row>
    <row r="1276" spans="1:39">
      <c r="B1276" s="904">
        <v>11</v>
      </c>
      <c r="C1276" s="807" t="s">
        <v>3454</v>
      </c>
      <c r="D1276" s="781" t="s">
        <v>3876</v>
      </c>
      <c r="E1276" s="11">
        <v>110472</v>
      </c>
      <c r="F1276" s="3">
        <v>1</v>
      </c>
      <c r="G1276" s="3" t="s">
        <v>60</v>
      </c>
      <c r="H1276" s="3" t="s">
        <v>60</v>
      </c>
      <c r="I1276" s="785">
        <v>532.6</v>
      </c>
      <c r="J1276" s="785">
        <v>303.42</v>
      </c>
      <c r="K1276" s="3" t="s">
        <v>2716</v>
      </c>
      <c r="L1276" s="761">
        <v>44861</v>
      </c>
      <c r="M1276" s="761" t="s">
        <v>2740</v>
      </c>
      <c r="N1276" s="761">
        <v>44862</v>
      </c>
      <c r="O1276" s="3" t="s">
        <v>62</v>
      </c>
      <c r="P1276" s="3" t="s">
        <v>3877</v>
      </c>
      <c r="Q1276" s="3" t="s">
        <v>3878</v>
      </c>
      <c r="R1276" s="3"/>
      <c r="S1276" s="3" t="s">
        <v>1547</v>
      </c>
      <c r="T1276" s="3"/>
      <c r="U1276" s="3">
        <v>319.3</v>
      </c>
      <c r="V1276" s="4"/>
      <c r="W1276" s="761"/>
      <c r="X1276" s="761" t="s">
        <v>2740</v>
      </c>
      <c r="Y1276" s="761">
        <v>44862</v>
      </c>
      <c r="Z1276" s="3" t="s">
        <v>62</v>
      </c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</row>
    <row r="1277" spans="1:39">
      <c r="B1277" s="904">
        <v>11</v>
      </c>
      <c r="C1277" s="807" t="s">
        <v>3454</v>
      </c>
      <c r="D1277" s="781" t="s">
        <v>3879</v>
      </c>
      <c r="E1277" s="11">
        <v>110482</v>
      </c>
      <c r="F1277" s="3">
        <v>2</v>
      </c>
      <c r="G1277" s="3" t="s">
        <v>60</v>
      </c>
      <c r="H1277" s="3" t="s">
        <v>60</v>
      </c>
      <c r="I1277" s="785">
        <v>543.9</v>
      </c>
      <c r="J1277" s="3">
        <v>304.2</v>
      </c>
      <c r="K1277" s="3" t="s">
        <v>2716</v>
      </c>
      <c r="L1277" s="761">
        <v>44861</v>
      </c>
      <c r="M1277" s="761" t="s">
        <v>2740</v>
      </c>
      <c r="N1277" s="761">
        <v>44862</v>
      </c>
      <c r="O1277" s="3" t="s">
        <v>62</v>
      </c>
      <c r="P1277" s="3" t="s">
        <v>3880</v>
      </c>
      <c r="Q1277" s="3" t="s">
        <v>3875</v>
      </c>
      <c r="R1277" s="3"/>
      <c r="S1277" s="3" t="s">
        <v>1547</v>
      </c>
      <c r="T1277" s="3"/>
      <c r="U1277" s="785">
        <v>320.3</v>
      </c>
      <c r="V1277" s="4"/>
      <c r="W1277" s="761"/>
      <c r="X1277" s="761" t="s">
        <v>1756</v>
      </c>
      <c r="Y1277" s="761">
        <v>44866</v>
      </c>
      <c r="Z1277" s="3" t="s">
        <v>62</v>
      </c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</row>
    <row r="1278" spans="1:39">
      <c r="B1278" s="904">
        <v>11</v>
      </c>
      <c r="C1278" s="807" t="s">
        <v>3454</v>
      </c>
      <c r="D1278" s="781" t="s">
        <v>3881</v>
      </c>
      <c r="E1278" s="11">
        <v>110492</v>
      </c>
      <c r="F1278" s="3">
        <v>3</v>
      </c>
      <c r="G1278" s="3" t="s">
        <v>60</v>
      </c>
      <c r="H1278" s="3" t="s">
        <v>128</v>
      </c>
      <c r="I1278" s="785">
        <v>537.70000000000005</v>
      </c>
      <c r="J1278" s="785">
        <v>304.82</v>
      </c>
      <c r="K1278" s="3" t="s">
        <v>2716</v>
      </c>
      <c r="L1278" s="761">
        <v>44862</v>
      </c>
      <c r="M1278" s="761" t="s">
        <v>1756</v>
      </c>
      <c r="N1278" s="761">
        <v>44865</v>
      </c>
      <c r="O1278" s="3" t="s">
        <v>62</v>
      </c>
      <c r="P1278" s="3" t="s">
        <v>3882</v>
      </c>
      <c r="Q1278" s="3" t="s">
        <v>3883</v>
      </c>
      <c r="R1278" s="3"/>
      <c r="S1278" s="3" t="s">
        <v>1547</v>
      </c>
      <c r="T1278" s="3"/>
      <c r="U1278" s="785">
        <v>321</v>
      </c>
      <c r="V1278" s="4"/>
      <c r="W1278" s="761"/>
      <c r="X1278" s="761" t="s">
        <v>1756</v>
      </c>
      <c r="Y1278" s="761">
        <v>44865</v>
      </c>
      <c r="Z1278" s="3" t="s">
        <v>62</v>
      </c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</row>
    <row r="1279" spans="1:39">
      <c r="B1279" s="904">
        <v>11</v>
      </c>
      <c r="C1279" s="807" t="s">
        <v>3454</v>
      </c>
      <c r="D1279" s="781" t="s">
        <v>3884</v>
      </c>
      <c r="E1279" s="11">
        <v>110502</v>
      </c>
      <c r="F1279" s="3">
        <v>4</v>
      </c>
      <c r="G1279" s="3" t="s">
        <v>60</v>
      </c>
      <c r="H1279" s="3" t="s">
        <v>128</v>
      </c>
      <c r="I1279" s="785">
        <v>533</v>
      </c>
      <c r="J1279" s="785">
        <v>306.43</v>
      </c>
      <c r="K1279" s="3" t="s">
        <v>2747</v>
      </c>
      <c r="L1279" s="761">
        <v>44865</v>
      </c>
      <c r="M1279" s="761" t="s">
        <v>1756</v>
      </c>
      <c r="N1279" s="761">
        <v>44865</v>
      </c>
      <c r="O1279" s="3" t="s">
        <v>62</v>
      </c>
      <c r="P1279" s="3" t="s">
        <v>3885</v>
      </c>
      <c r="Q1279" s="3" t="s">
        <v>3886</v>
      </c>
      <c r="R1279" s="3"/>
      <c r="S1279" s="3" t="s">
        <v>1547</v>
      </c>
      <c r="T1279" s="3"/>
      <c r="U1279" s="786">
        <v>321.39999999999998</v>
      </c>
      <c r="V1279" s="4"/>
      <c r="W1279" s="761"/>
      <c r="X1279" s="761" t="s">
        <v>1756</v>
      </c>
      <c r="Y1279" s="761">
        <v>44866</v>
      </c>
      <c r="Z1279" s="3" t="s">
        <v>62</v>
      </c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</row>
    <row r="1280" spans="1:39">
      <c r="B1280" s="904">
        <v>11</v>
      </c>
      <c r="C1280" s="807" t="s">
        <v>3454</v>
      </c>
      <c r="D1280" s="781" t="s">
        <v>3887</v>
      </c>
      <c r="E1280" s="11">
        <v>110512</v>
      </c>
      <c r="F1280" s="3">
        <v>5</v>
      </c>
      <c r="G1280" s="3" t="s">
        <v>60</v>
      </c>
      <c r="H1280" s="3" t="s">
        <v>128</v>
      </c>
      <c r="I1280" s="786">
        <v>531.6</v>
      </c>
      <c r="J1280" s="786">
        <v>305.10000000000002</v>
      </c>
      <c r="K1280" s="3" t="s">
        <v>2747</v>
      </c>
      <c r="L1280" s="761">
        <v>44867</v>
      </c>
      <c r="M1280" s="761" t="s">
        <v>1756</v>
      </c>
      <c r="N1280" s="761">
        <v>44866</v>
      </c>
      <c r="O1280" s="3" t="s">
        <v>62</v>
      </c>
      <c r="P1280" s="3" t="s">
        <v>3888</v>
      </c>
      <c r="Q1280" s="3" t="s">
        <v>3889</v>
      </c>
      <c r="R1280" s="3"/>
      <c r="S1280" s="3" t="s">
        <v>1547</v>
      </c>
      <c r="T1280" s="3"/>
      <c r="U1280" s="786">
        <v>321</v>
      </c>
      <c r="V1280" s="4"/>
      <c r="W1280" s="761"/>
      <c r="X1280" s="761" t="s">
        <v>1756</v>
      </c>
      <c r="Y1280" s="761">
        <v>44866</v>
      </c>
      <c r="Z1280" s="3" t="s">
        <v>62</v>
      </c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</row>
    <row r="1281" spans="1:39">
      <c r="B1281" s="904">
        <v>11</v>
      </c>
      <c r="C1281" s="807" t="s">
        <v>3454</v>
      </c>
      <c r="D1281" s="781" t="s">
        <v>3890</v>
      </c>
      <c r="E1281" s="11">
        <v>111172</v>
      </c>
      <c r="F1281" s="3">
        <v>6</v>
      </c>
      <c r="G1281" s="3" t="s">
        <v>60</v>
      </c>
      <c r="H1281" s="3" t="s">
        <v>128</v>
      </c>
      <c r="I1281" s="786">
        <v>539</v>
      </c>
      <c r="J1281" s="786">
        <v>306.13</v>
      </c>
      <c r="K1281" s="3" t="s">
        <v>2747</v>
      </c>
      <c r="L1281" s="761">
        <v>44868</v>
      </c>
      <c r="M1281" s="761" t="s">
        <v>1756</v>
      </c>
      <c r="N1281" s="761">
        <v>44867</v>
      </c>
      <c r="O1281" s="3" t="s">
        <v>62</v>
      </c>
      <c r="P1281" s="3" t="s">
        <v>3891</v>
      </c>
      <c r="Q1281" s="3" t="s">
        <v>3892</v>
      </c>
      <c r="R1281" s="3"/>
      <c r="S1281" s="3" t="s">
        <v>1547</v>
      </c>
      <c r="T1281" s="3"/>
      <c r="U1281" s="786">
        <v>321.7</v>
      </c>
      <c r="V1281" s="4"/>
      <c r="W1281" s="761"/>
      <c r="X1281" s="761" t="s">
        <v>1756</v>
      </c>
      <c r="Y1281" s="761">
        <v>44867</v>
      </c>
      <c r="Z1281" s="3" t="s">
        <v>62</v>
      </c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</row>
    <row r="1282" spans="1:39">
      <c r="B1282" s="904">
        <v>11</v>
      </c>
      <c r="C1282" s="807" t="s">
        <v>3454</v>
      </c>
      <c r="D1282" s="781" t="s">
        <v>3893</v>
      </c>
      <c r="E1282" s="11">
        <v>111182</v>
      </c>
      <c r="F1282" s="3">
        <v>7</v>
      </c>
      <c r="G1282" s="3" t="s">
        <v>60</v>
      </c>
      <c r="H1282" s="3" t="s">
        <v>128</v>
      </c>
      <c r="I1282" s="786">
        <v>542.1</v>
      </c>
      <c r="J1282" s="786" t="s">
        <v>3894</v>
      </c>
      <c r="K1282" s="3" t="s">
        <v>2747</v>
      </c>
      <c r="L1282" s="761">
        <v>44868</v>
      </c>
      <c r="M1282" s="761" t="s">
        <v>1756</v>
      </c>
      <c r="N1282" s="761">
        <v>44867</v>
      </c>
      <c r="O1282" s="3" t="s">
        <v>62</v>
      </c>
      <c r="P1282" s="3" t="s">
        <v>3895</v>
      </c>
      <c r="Q1282" s="3" t="s">
        <v>3896</v>
      </c>
      <c r="R1282" s="3"/>
      <c r="S1282" s="3" t="s">
        <v>1547</v>
      </c>
      <c r="T1282" s="3"/>
      <c r="U1282" s="786">
        <v>322.8</v>
      </c>
      <c r="V1282" s="4"/>
      <c r="W1282" s="761"/>
      <c r="X1282" s="761" t="s">
        <v>1756</v>
      </c>
      <c r="Y1282" s="761">
        <v>44867</v>
      </c>
      <c r="Z1282" s="3" t="s">
        <v>62</v>
      </c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</row>
    <row r="1283" spans="1:39">
      <c r="B1283" s="904">
        <v>11</v>
      </c>
      <c r="C1283" s="807" t="s">
        <v>3454</v>
      </c>
      <c r="D1283" s="781" t="s">
        <v>3897</v>
      </c>
      <c r="E1283" s="11">
        <v>111192</v>
      </c>
      <c r="F1283" s="3">
        <v>8</v>
      </c>
      <c r="G1283" s="3" t="s">
        <v>60</v>
      </c>
      <c r="H1283" s="3" t="s">
        <v>128</v>
      </c>
      <c r="I1283" s="786">
        <v>539.29999999999995</v>
      </c>
      <c r="J1283" s="786">
        <v>306.89999999999998</v>
      </c>
      <c r="K1283" s="3" t="s">
        <v>2747</v>
      </c>
      <c r="L1283" s="761">
        <v>44868</v>
      </c>
      <c r="M1283" s="761" t="s">
        <v>1756</v>
      </c>
      <c r="N1283" s="761">
        <v>44868</v>
      </c>
      <c r="O1283" s="3" t="s">
        <v>62</v>
      </c>
      <c r="P1283" s="3" t="s">
        <v>3898</v>
      </c>
      <c r="Q1283" s="3" t="s">
        <v>3899</v>
      </c>
      <c r="R1283" s="3"/>
      <c r="S1283" s="3" t="s">
        <v>1547</v>
      </c>
      <c r="T1283" s="3"/>
      <c r="U1283" s="786">
        <v>320.39999999999998</v>
      </c>
      <c r="V1283" s="4"/>
      <c r="W1283" s="761"/>
      <c r="X1283" s="761" t="s">
        <v>1756</v>
      </c>
      <c r="Y1283" s="761">
        <v>44868</v>
      </c>
      <c r="Z1283" s="3" t="s">
        <v>62</v>
      </c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</row>
    <row r="1284" spans="1:39">
      <c r="B1284" s="904">
        <v>11</v>
      </c>
      <c r="C1284" s="807" t="s">
        <v>3454</v>
      </c>
      <c r="D1284" s="781" t="s">
        <v>3900</v>
      </c>
      <c r="E1284" s="11">
        <v>111382</v>
      </c>
      <c r="F1284" s="3">
        <v>9</v>
      </c>
      <c r="G1284" s="3" t="s">
        <v>60</v>
      </c>
      <c r="H1284" s="3" t="s">
        <v>128</v>
      </c>
      <c r="I1284" s="786">
        <v>540.9</v>
      </c>
      <c r="J1284" s="786">
        <v>304.5</v>
      </c>
      <c r="K1284" s="3" t="s">
        <v>2747</v>
      </c>
      <c r="L1284" s="761">
        <v>44869</v>
      </c>
      <c r="M1284" s="761" t="s">
        <v>1756</v>
      </c>
      <c r="N1284" s="761">
        <v>44868</v>
      </c>
      <c r="O1284" s="3" t="s">
        <v>62</v>
      </c>
      <c r="P1284" s="3" t="s">
        <v>3901</v>
      </c>
      <c r="Q1284" s="3" t="s">
        <v>3902</v>
      </c>
      <c r="R1284" s="3"/>
      <c r="S1284" s="3" t="s">
        <v>1547</v>
      </c>
      <c r="T1284" s="3"/>
      <c r="U1284" s="785">
        <v>320.2</v>
      </c>
      <c r="V1284" s="4"/>
      <c r="W1284" s="761"/>
      <c r="X1284" s="761" t="s">
        <v>1756</v>
      </c>
      <c r="Y1284" s="761">
        <v>44868</v>
      </c>
      <c r="Z1284" s="3" t="s">
        <v>62</v>
      </c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</row>
    <row r="1285" spans="1:39">
      <c r="B1285" s="904">
        <v>11</v>
      </c>
      <c r="C1285" s="807" t="s">
        <v>3454</v>
      </c>
      <c r="D1285" s="781" t="s">
        <v>3903</v>
      </c>
      <c r="E1285" s="11">
        <v>111392</v>
      </c>
      <c r="F1285" s="3">
        <v>10</v>
      </c>
      <c r="G1285" s="3" t="s">
        <v>60</v>
      </c>
      <c r="H1285" s="3" t="s">
        <v>128</v>
      </c>
      <c r="I1285" s="786">
        <v>536.5</v>
      </c>
      <c r="J1285" s="786">
        <v>303.22000000000003</v>
      </c>
      <c r="K1285" s="3" t="s">
        <v>2747</v>
      </c>
      <c r="L1285" s="761">
        <v>44869</v>
      </c>
      <c r="M1285" s="761" t="s">
        <v>1756</v>
      </c>
      <c r="N1285" s="761">
        <v>44872</v>
      </c>
      <c r="O1285" s="3" t="s">
        <v>62</v>
      </c>
      <c r="P1285" s="3" t="s">
        <v>3904</v>
      </c>
      <c r="Q1285" s="3" t="s">
        <v>3905</v>
      </c>
      <c r="R1285" s="3"/>
      <c r="S1285" s="3" t="s">
        <v>1547</v>
      </c>
      <c r="T1285" s="3"/>
      <c r="U1285" s="786">
        <v>319.39999999999998</v>
      </c>
      <c r="V1285" s="4"/>
      <c r="W1285" s="761"/>
      <c r="X1285" s="761" t="s">
        <v>1756</v>
      </c>
      <c r="Y1285" s="761">
        <v>44872</v>
      </c>
      <c r="Z1285" s="3" t="s">
        <v>62</v>
      </c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</row>
    <row r="1286" spans="1:39">
      <c r="B1286" s="904">
        <v>11</v>
      </c>
      <c r="C1286" s="807" t="s">
        <v>3454</v>
      </c>
      <c r="D1286" s="906">
        <v>200100020</v>
      </c>
      <c r="E1286" s="907" t="s">
        <v>3906</v>
      </c>
      <c r="F1286" s="3">
        <v>11</v>
      </c>
      <c r="G1286" s="3" t="s">
        <v>60</v>
      </c>
      <c r="H1286" s="3" t="s">
        <v>128</v>
      </c>
      <c r="I1286" s="785">
        <v>536.92999999999995</v>
      </c>
      <c r="J1286" s="786">
        <v>302.98</v>
      </c>
      <c r="K1286" s="3" t="s">
        <v>2747</v>
      </c>
      <c r="L1286" s="761">
        <v>44869</v>
      </c>
      <c r="M1286" s="761" t="s">
        <v>1756</v>
      </c>
      <c r="N1286" s="761">
        <v>44872</v>
      </c>
      <c r="O1286" s="3" t="s">
        <v>62</v>
      </c>
      <c r="P1286" s="3" t="s">
        <v>3907</v>
      </c>
      <c r="Q1286" s="3" t="s">
        <v>3908</v>
      </c>
      <c r="R1286" s="3"/>
      <c r="S1286" s="3" t="s">
        <v>1547</v>
      </c>
      <c r="T1286" s="3"/>
      <c r="U1286" s="786">
        <v>318.89999999999998</v>
      </c>
      <c r="V1286" s="4"/>
      <c r="W1286" s="761"/>
      <c r="X1286" s="761" t="s">
        <v>1756</v>
      </c>
      <c r="Y1286" s="761">
        <v>44872</v>
      </c>
      <c r="Z1286" s="3" t="s">
        <v>62</v>
      </c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</row>
    <row r="1287" spans="1:39">
      <c r="B1287" s="904">
        <v>11</v>
      </c>
      <c r="C1287" s="807" t="s">
        <v>3454</v>
      </c>
      <c r="D1287" s="906">
        <v>200100021</v>
      </c>
      <c r="E1287" s="907" t="s">
        <v>3909</v>
      </c>
      <c r="F1287" s="3">
        <v>12</v>
      </c>
      <c r="G1287" s="3" t="s">
        <v>60</v>
      </c>
      <c r="H1287" s="3" t="s">
        <v>128</v>
      </c>
      <c r="I1287" s="785">
        <v>539.89</v>
      </c>
      <c r="J1287" s="785">
        <v>307.79000000000002</v>
      </c>
      <c r="K1287" s="3" t="s">
        <v>2747</v>
      </c>
      <c r="L1287" s="761">
        <v>44869</v>
      </c>
      <c r="M1287" s="761" t="s">
        <v>1756</v>
      </c>
      <c r="N1287" s="761">
        <v>44872</v>
      </c>
      <c r="O1287" s="3" t="s">
        <v>62</v>
      </c>
      <c r="P1287" s="3" t="s">
        <v>3910</v>
      </c>
      <c r="Q1287" s="3" t="s">
        <v>3911</v>
      </c>
      <c r="R1287" s="3"/>
      <c r="S1287" s="3" t="s">
        <v>1547</v>
      </c>
      <c r="T1287" s="3"/>
      <c r="U1287" s="786">
        <v>323.5</v>
      </c>
      <c r="V1287" s="4"/>
      <c r="W1287" s="761"/>
      <c r="X1287" s="761" t="s">
        <v>1756</v>
      </c>
      <c r="Y1287" s="761">
        <v>44872</v>
      </c>
      <c r="Z1287" s="3" t="s">
        <v>62</v>
      </c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</row>
    <row r="1288" spans="1:39">
      <c r="B1288" s="904">
        <v>11</v>
      </c>
      <c r="C1288" s="807" t="s">
        <v>3454</v>
      </c>
      <c r="D1288" s="906">
        <v>200100022</v>
      </c>
      <c r="E1288" s="907" t="s">
        <v>3912</v>
      </c>
      <c r="F1288" s="3">
        <v>13</v>
      </c>
      <c r="G1288" s="3" t="s">
        <v>60</v>
      </c>
      <c r="H1288" s="3" t="s">
        <v>128</v>
      </c>
      <c r="I1288" s="786">
        <v>532.6</v>
      </c>
      <c r="J1288" s="785">
        <v>305.68</v>
      </c>
      <c r="K1288" s="3" t="s">
        <v>2747</v>
      </c>
      <c r="L1288" s="761">
        <v>44873</v>
      </c>
      <c r="M1288" s="761" t="s">
        <v>1756</v>
      </c>
      <c r="N1288" s="761">
        <v>44872</v>
      </c>
      <c r="O1288" s="3" t="s">
        <v>62</v>
      </c>
      <c r="P1288" s="3" t="s">
        <v>3913</v>
      </c>
      <c r="Q1288" s="3" t="s">
        <v>3914</v>
      </c>
      <c r="R1288" s="3"/>
      <c r="S1288" s="3" t="s">
        <v>1547</v>
      </c>
      <c r="T1288" s="3"/>
      <c r="U1288" s="786">
        <v>319.2</v>
      </c>
      <c r="V1288" s="4"/>
      <c r="W1288" s="761"/>
      <c r="X1288" s="761" t="s">
        <v>1756</v>
      </c>
      <c r="Y1288" s="761">
        <v>44873</v>
      </c>
      <c r="Z1288" s="3" t="s">
        <v>62</v>
      </c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</row>
    <row r="1289" spans="1:39">
      <c r="B1289" s="904">
        <v>11</v>
      </c>
      <c r="C1289" s="807" t="s">
        <v>3454</v>
      </c>
      <c r="D1289" s="906">
        <v>200100023</v>
      </c>
      <c r="E1289" s="907" t="s">
        <v>3915</v>
      </c>
      <c r="F1289" s="3">
        <v>14</v>
      </c>
      <c r="G1289" s="3" t="s">
        <v>60</v>
      </c>
      <c r="H1289" s="3" t="s">
        <v>128</v>
      </c>
      <c r="I1289" s="786">
        <v>536.4</v>
      </c>
      <c r="J1289" s="785">
        <v>307.58</v>
      </c>
      <c r="K1289" s="3" t="s">
        <v>2747</v>
      </c>
      <c r="L1289" s="761">
        <v>44874</v>
      </c>
      <c r="M1289" s="761" t="s">
        <v>1756</v>
      </c>
      <c r="N1289" s="761">
        <v>44872</v>
      </c>
      <c r="O1289" s="3" t="s">
        <v>62</v>
      </c>
      <c r="P1289" s="3" t="s">
        <v>3916</v>
      </c>
      <c r="Q1289" s="3" t="s">
        <v>3917</v>
      </c>
      <c r="R1289" s="3"/>
      <c r="S1289" s="3" t="s">
        <v>1547</v>
      </c>
      <c r="T1289" s="3"/>
      <c r="U1289" s="3">
        <v>323.60000000000002</v>
      </c>
      <c r="V1289" s="4"/>
      <c r="W1289" s="761"/>
      <c r="X1289" s="761" t="s">
        <v>1756</v>
      </c>
      <c r="Y1289" s="761">
        <v>44873</v>
      </c>
      <c r="Z1289" s="3" t="s">
        <v>62</v>
      </c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</row>
    <row r="1290" spans="1:39">
      <c r="B1290" s="904">
        <v>11</v>
      </c>
      <c r="C1290" s="807" t="s">
        <v>3454</v>
      </c>
      <c r="D1290" s="906">
        <v>200100024</v>
      </c>
      <c r="E1290" s="907" t="s">
        <v>3918</v>
      </c>
      <c r="F1290" s="3">
        <v>15</v>
      </c>
      <c r="G1290" s="3" t="s">
        <v>60</v>
      </c>
      <c r="H1290" s="3" t="s">
        <v>128</v>
      </c>
      <c r="I1290" s="786">
        <v>539.71</v>
      </c>
      <c r="J1290" s="786">
        <v>303.88</v>
      </c>
      <c r="K1290" s="3" t="s">
        <v>2747</v>
      </c>
      <c r="L1290" s="761">
        <v>44874</v>
      </c>
      <c r="M1290" s="761" t="s">
        <v>1756</v>
      </c>
      <c r="N1290" s="761">
        <v>44874</v>
      </c>
      <c r="O1290" s="3" t="s">
        <v>62</v>
      </c>
      <c r="P1290" s="785" t="s">
        <v>3919</v>
      </c>
      <c r="Q1290" s="3" t="s">
        <v>3920</v>
      </c>
      <c r="R1290" s="3"/>
      <c r="S1290" s="3" t="s">
        <v>1547</v>
      </c>
      <c r="T1290" s="3"/>
      <c r="U1290" s="786">
        <v>319.8</v>
      </c>
      <c r="V1290" s="4"/>
      <c r="W1290" s="761"/>
      <c r="X1290" s="761" t="s">
        <v>1756</v>
      </c>
      <c r="Y1290" s="761">
        <v>44874</v>
      </c>
      <c r="Z1290" s="3" t="s">
        <v>62</v>
      </c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</row>
    <row r="1291" spans="1:39">
      <c r="B1291" s="904">
        <v>11</v>
      </c>
      <c r="C1291" s="807" t="s">
        <v>3454</v>
      </c>
      <c r="D1291" s="906">
        <v>200100025</v>
      </c>
      <c r="E1291" s="907" t="s">
        <v>3921</v>
      </c>
      <c r="F1291" s="3">
        <v>16</v>
      </c>
      <c r="G1291" s="3" t="s">
        <v>60</v>
      </c>
      <c r="H1291" s="3" t="s">
        <v>128</v>
      </c>
      <c r="I1291" s="786">
        <v>536.5</v>
      </c>
      <c r="J1291" s="786">
        <v>306.92</v>
      </c>
      <c r="K1291" s="3" t="s">
        <v>2747</v>
      </c>
      <c r="L1291" s="761">
        <v>44875</v>
      </c>
      <c r="M1291" s="761" t="s">
        <v>1756</v>
      </c>
      <c r="N1291" s="761">
        <v>44874</v>
      </c>
      <c r="O1291" s="3" t="s">
        <v>62</v>
      </c>
      <c r="P1291" s="3" t="s">
        <v>3922</v>
      </c>
      <c r="Q1291" s="3" t="s">
        <v>3923</v>
      </c>
      <c r="R1291" s="3"/>
      <c r="S1291" s="3" t="s">
        <v>1547</v>
      </c>
      <c r="T1291" s="3"/>
      <c r="U1291" s="3">
        <v>322.8</v>
      </c>
      <c r="V1291" s="4"/>
      <c r="W1291" s="761"/>
      <c r="X1291" s="761" t="s">
        <v>1756</v>
      </c>
      <c r="Y1291" s="761">
        <v>44874</v>
      </c>
      <c r="Z1291" s="3" t="s">
        <v>62</v>
      </c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</row>
    <row r="1292" spans="1:39" s="707" customFormat="1">
      <c r="A1292"/>
      <c r="B1292" s="903" t="s">
        <v>13</v>
      </c>
      <c r="C1292" s="807" t="s">
        <v>1710</v>
      </c>
      <c r="D1292" s="775"/>
      <c r="E1292" s="908"/>
      <c r="F1292" s="807"/>
      <c r="G1292" s="807"/>
      <c r="H1292" s="807"/>
      <c r="I1292" s="820"/>
      <c r="J1292" s="820"/>
      <c r="K1292" s="807"/>
      <c r="L1292" s="819"/>
      <c r="M1292" s="819"/>
      <c r="N1292" s="819"/>
      <c r="O1292" s="807"/>
      <c r="P1292" s="807"/>
      <c r="Q1292" s="807"/>
      <c r="R1292" s="807"/>
      <c r="S1292" s="807"/>
      <c r="T1292" s="807"/>
      <c r="U1292" s="807"/>
      <c r="V1292" s="710"/>
      <c r="W1292" s="819"/>
      <c r="X1292" s="819"/>
      <c r="Y1292" s="819"/>
      <c r="Z1292" s="807"/>
      <c r="AA1292" s="710"/>
      <c r="AB1292" s="710"/>
      <c r="AC1292" s="710"/>
      <c r="AD1292" s="710"/>
      <c r="AE1292" s="710"/>
      <c r="AF1292" s="710"/>
      <c r="AG1292" s="710"/>
      <c r="AH1292" s="710"/>
      <c r="AI1292" s="710"/>
      <c r="AJ1292" s="710"/>
      <c r="AK1292" s="710"/>
      <c r="AL1292" s="710"/>
      <c r="AM1292" s="710"/>
    </row>
    <row r="1293" spans="1:39">
      <c r="B1293" s="904">
        <v>12</v>
      </c>
      <c r="C1293" s="807" t="s">
        <v>3454</v>
      </c>
      <c r="D1293" s="3">
        <v>200100224</v>
      </c>
      <c r="E1293" s="3">
        <v>120752</v>
      </c>
      <c r="F1293" s="3">
        <v>1</v>
      </c>
      <c r="G1293" s="3" t="s">
        <v>60</v>
      </c>
      <c r="H1293" s="3" t="s">
        <v>60</v>
      </c>
      <c r="I1293" s="762">
        <v>532.4</v>
      </c>
      <c r="J1293" s="762">
        <v>300.01</v>
      </c>
      <c r="K1293" s="3" t="s">
        <v>2747</v>
      </c>
      <c r="L1293" s="761">
        <v>44889</v>
      </c>
      <c r="M1293" s="761" t="s">
        <v>1756</v>
      </c>
      <c r="N1293" s="761">
        <v>44889</v>
      </c>
      <c r="O1293" s="3" t="s">
        <v>62</v>
      </c>
      <c r="P1293" s="3" t="s">
        <v>3924</v>
      </c>
      <c r="Q1293" s="3" t="s">
        <v>3925</v>
      </c>
      <c r="R1293" s="3"/>
      <c r="S1293" s="3" t="s">
        <v>1547</v>
      </c>
      <c r="T1293" s="3"/>
      <c r="U1293" s="762">
        <v>316</v>
      </c>
      <c r="V1293" s="4"/>
      <c r="W1293" s="761"/>
      <c r="X1293" s="761" t="s">
        <v>1756</v>
      </c>
      <c r="Y1293" s="761">
        <v>44890</v>
      </c>
      <c r="Z1293" s="3" t="s">
        <v>62</v>
      </c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</row>
    <row r="1294" spans="1:39">
      <c r="B1294" s="904">
        <v>12</v>
      </c>
      <c r="C1294" s="807" t="s">
        <v>3454</v>
      </c>
      <c r="D1294" s="3">
        <v>200100225</v>
      </c>
      <c r="E1294" s="3">
        <v>120762</v>
      </c>
      <c r="F1294" s="3">
        <v>2</v>
      </c>
      <c r="G1294" s="3" t="s">
        <v>60</v>
      </c>
      <c r="H1294" s="3" t="s">
        <v>60</v>
      </c>
      <c r="I1294" s="762">
        <v>537</v>
      </c>
      <c r="J1294" s="762">
        <v>303.76</v>
      </c>
      <c r="K1294" s="3" t="s">
        <v>2747</v>
      </c>
      <c r="L1294" s="761">
        <v>44889</v>
      </c>
      <c r="M1294" s="761" t="s">
        <v>1756</v>
      </c>
      <c r="N1294" s="761">
        <v>44889</v>
      </c>
      <c r="O1294" s="3" t="s">
        <v>62</v>
      </c>
      <c r="P1294" s="3" t="s">
        <v>3926</v>
      </c>
      <c r="Q1294" s="3" t="s">
        <v>3927</v>
      </c>
      <c r="R1294" s="3"/>
      <c r="S1294" s="3" t="s">
        <v>1547</v>
      </c>
      <c r="T1294" s="3"/>
      <c r="U1294" s="762">
        <v>319.60000000000002</v>
      </c>
      <c r="V1294" s="4"/>
      <c r="W1294" s="761"/>
      <c r="X1294" s="761" t="s">
        <v>1756</v>
      </c>
      <c r="Y1294" s="761">
        <v>44890</v>
      </c>
      <c r="Z1294" s="3" t="s">
        <v>62</v>
      </c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</row>
    <row r="1295" spans="1:39">
      <c r="B1295" s="904">
        <v>12</v>
      </c>
      <c r="C1295" s="807" t="s">
        <v>3454</v>
      </c>
      <c r="D1295" s="3">
        <v>200100226</v>
      </c>
      <c r="E1295" s="3">
        <v>120772</v>
      </c>
      <c r="F1295" s="3">
        <v>3</v>
      </c>
      <c r="G1295" s="3" t="s">
        <v>60</v>
      </c>
      <c r="H1295" s="3" t="s">
        <v>60</v>
      </c>
      <c r="I1295" s="762">
        <v>540</v>
      </c>
      <c r="J1295" s="762">
        <v>305.62</v>
      </c>
      <c r="K1295" s="3" t="s">
        <v>2747</v>
      </c>
      <c r="L1295" s="761">
        <v>44889</v>
      </c>
      <c r="M1295" s="761" t="s">
        <v>1756</v>
      </c>
      <c r="N1295" s="761">
        <v>44890</v>
      </c>
      <c r="O1295" s="3" t="s">
        <v>62</v>
      </c>
      <c r="P1295" s="3" t="s">
        <v>3928</v>
      </c>
      <c r="Q1295" s="3" t="s">
        <v>3929</v>
      </c>
      <c r="R1295" s="3"/>
      <c r="S1295" s="3" t="s">
        <v>1547</v>
      </c>
      <c r="T1295" s="3"/>
      <c r="U1295" s="762">
        <v>321.60000000000002</v>
      </c>
      <c r="V1295" s="4"/>
      <c r="W1295" s="761"/>
      <c r="X1295" s="761" t="s">
        <v>1756</v>
      </c>
      <c r="Y1295" s="761">
        <v>44893</v>
      </c>
      <c r="Z1295" s="3" t="s">
        <v>62</v>
      </c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</row>
    <row r="1296" spans="1:39">
      <c r="B1296" s="904">
        <v>12</v>
      </c>
      <c r="C1296" s="807" t="s">
        <v>3454</v>
      </c>
      <c r="D1296" s="3">
        <v>200100227</v>
      </c>
      <c r="E1296" s="3">
        <v>120782</v>
      </c>
      <c r="F1296" s="3">
        <v>4</v>
      </c>
      <c r="G1296" s="3" t="s">
        <v>60</v>
      </c>
      <c r="H1296" s="3" t="s">
        <v>60</v>
      </c>
      <c r="I1296" s="762">
        <v>534.20000000000005</v>
      </c>
      <c r="J1296" s="762">
        <v>301.17</v>
      </c>
      <c r="K1296" s="3" t="s">
        <v>2747</v>
      </c>
      <c r="L1296" s="761">
        <v>44890</v>
      </c>
      <c r="M1296" s="761" t="s">
        <v>1756</v>
      </c>
      <c r="N1296" s="761">
        <v>44890</v>
      </c>
      <c r="O1296" s="3" t="s">
        <v>62</v>
      </c>
      <c r="P1296" s="3" t="s">
        <v>3930</v>
      </c>
      <c r="Q1296" s="3" t="s">
        <v>3799</v>
      </c>
      <c r="R1296" s="3"/>
      <c r="S1296" s="3" t="s">
        <v>1547</v>
      </c>
      <c r="T1296" s="3"/>
      <c r="U1296" s="762">
        <v>317.5</v>
      </c>
      <c r="V1296" s="4"/>
      <c r="W1296" s="761"/>
      <c r="X1296" s="761" t="s">
        <v>1756</v>
      </c>
      <c r="Y1296" s="761">
        <v>44893</v>
      </c>
      <c r="Z1296" s="3" t="s">
        <v>62</v>
      </c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</row>
    <row r="1297" spans="1:39">
      <c r="B1297" s="904">
        <v>12</v>
      </c>
      <c r="C1297" s="807" t="s">
        <v>3454</v>
      </c>
      <c r="D1297" s="3">
        <v>200100228</v>
      </c>
      <c r="E1297" s="3">
        <v>120792</v>
      </c>
      <c r="F1297" s="3">
        <v>5</v>
      </c>
      <c r="G1297" s="3" t="s">
        <v>60</v>
      </c>
      <c r="H1297" s="3" t="s">
        <v>60</v>
      </c>
      <c r="I1297" s="762">
        <v>537</v>
      </c>
      <c r="J1297" s="762">
        <v>300.18</v>
      </c>
      <c r="K1297" s="3" t="s">
        <v>2747</v>
      </c>
      <c r="L1297" s="761">
        <v>44890</v>
      </c>
      <c r="M1297" s="761" t="s">
        <v>1756</v>
      </c>
      <c r="N1297" s="761">
        <v>44893</v>
      </c>
      <c r="O1297" s="3" t="s">
        <v>62</v>
      </c>
      <c r="P1297" s="3" t="s">
        <v>3931</v>
      </c>
      <c r="Q1297" s="3" t="s">
        <v>3932</v>
      </c>
      <c r="R1297" s="3"/>
      <c r="S1297" s="3" t="s">
        <v>1547</v>
      </c>
      <c r="T1297" s="3"/>
      <c r="U1297" s="762">
        <v>316.2</v>
      </c>
      <c r="V1297" s="4"/>
      <c r="W1297" s="761"/>
      <c r="X1297" s="761" t="s">
        <v>1756</v>
      </c>
      <c r="Y1297" s="761">
        <v>44893</v>
      </c>
      <c r="Z1297" s="3" t="s">
        <v>62</v>
      </c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</row>
    <row r="1298" spans="1:39">
      <c r="B1298" s="904">
        <v>12</v>
      </c>
      <c r="C1298" s="807" t="s">
        <v>3454</v>
      </c>
      <c r="D1298" s="3">
        <v>200100229</v>
      </c>
      <c r="E1298" s="3">
        <v>120802</v>
      </c>
      <c r="F1298" s="3">
        <v>6</v>
      </c>
      <c r="G1298" s="3" t="s">
        <v>60</v>
      </c>
      <c r="H1298" s="3" t="s">
        <v>60</v>
      </c>
      <c r="I1298" s="762">
        <v>537.20000000000005</v>
      </c>
      <c r="J1298" s="762">
        <v>307.89999999999998</v>
      </c>
      <c r="K1298" s="3" t="s">
        <v>2747</v>
      </c>
      <c r="L1298" s="761">
        <v>44890</v>
      </c>
      <c r="M1298" s="761" t="s">
        <v>1756</v>
      </c>
      <c r="N1298" s="761">
        <v>44893</v>
      </c>
      <c r="O1298" s="3" t="s">
        <v>62</v>
      </c>
      <c r="P1298" s="3" t="s">
        <v>3933</v>
      </c>
      <c r="Q1298" s="3" t="s">
        <v>3934</v>
      </c>
      <c r="R1298" s="3"/>
      <c r="S1298" s="3" t="s">
        <v>1547</v>
      </c>
      <c r="T1298" s="3"/>
      <c r="U1298" s="786">
        <v>323.39999999999998</v>
      </c>
      <c r="V1298" s="4"/>
      <c r="W1298" s="761"/>
      <c r="X1298" s="761" t="s">
        <v>1710</v>
      </c>
      <c r="Y1298" s="761">
        <v>44896</v>
      </c>
      <c r="Z1298" s="3" t="s">
        <v>62</v>
      </c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</row>
    <row r="1299" spans="1:39">
      <c r="B1299" s="904">
        <v>12</v>
      </c>
      <c r="C1299" s="807" t="s">
        <v>3454</v>
      </c>
      <c r="D1299" s="3">
        <v>200100308</v>
      </c>
      <c r="E1299" s="3">
        <v>121472</v>
      </c>
      <c r="F1299" s="3">
        <v>7</v>
      </c>
      <c r="G1299" s="3" t="s">
        <v>60</v>
      </c>
      <c r="H1299" s="3" t="s">
        <v>60</v>
      </c>
      <c r="I1299" s="762">
        <v>532.6</v>
      </c>
      <c r="J1299" s="785">
        <v>301.77999999999997</v>
      </c>
      <c r="K1299" s="3" t="s">
        <v>2747</v>
      </c>
      <c r="L1299" s="761">
        <v>44895</v>
      </c>
      <c r="M1299" s="761" t="s">
        <v>2067</v>
      </c>
      <c r="N1299" s="761">
        <v>44896</v>
      </c>
      <c r="O1299" s="3" t="s">
        <v>62</v>
      </c>
      <c r="P1299" s="3" t="s">
        <v>3935</v>
      </c>
      <c r="Q1299" s="3" t="s">
        <v>3936</v>
      </c>
      <c r="R1299" s="3"/>
      <c r="S1299" s="3" t="s">
        <v>1547</v>
      </c>
      <c r="T1299" s="3"/>
      <c r="U1299" s="786">
        <v>318</v>
      </c>
      <c r="V1299" s="4"/>
      <c r="W1299" s="761"/>
      <c r="X1299" s="761" t="s">
        <v>1710</v>
      </c>
      <c r="Y1299" s="761">
        <v>44897</v>
      </c>
      <c r="Z1299" s="3" t="s">
        <v>62</v>
      </c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</row>
    <row r="1300" spans="1:39">
      <c r="B1300" s="904">
        <v>12</v>
      </c>
      <c r="C1300" s="807" t="s">
        <v>3454</v>
      </c>
      <c r="D1300" s="3">
        <v>200100309</v>
      </c>
      <c r="E1300" s="3">
        <v>121482</v>
      </c>
      <c r="F1300" s="3">
        <v>8</v>
      </c>
      <c r="G1300" s="3" t="s">
        <v>60</v>
      </c>
      <c r="H1300" s="3" t="s">
        <v>60</v>
      </c>
      <c r="I1300" s="785">
        <v>530.5</v>
      </c>
      <c r="J1300" s="785">
        <v>306.92</v>
      </c>
      <c r="K1300" s="3" t="s">
        <v>2067</v>
      </c>
      <c r="L1300" s="761">
        <v>44896</v>
      </c>
      <c r="M1300" s="761" t="s">
        <v>2067</v>
      </c>
      <c r="N1300" s="761">
        <v>44896</v>
      </c>
      <c r="O1300" s="3" t="s">
        <v>62</v>
      </c>
      <c r="P1300" s="3" t="s">
        <v>3937</v>
      </c>
      <c r="Q1300" s="3" t="s">
        <v>3938</v>
      </c>
      <c r="R1300" s="3"/>
      <c r="S1300" s="3" t="s">
        <v>1547</v>
      </c>
      <c r="T1300" s="3"/>
      <c r="U1300" s="786">
        <v>322.5</v>
      </c>
      <c r="V1300" s="4"/>
      <c r="W1300" s="761"/>
      <c r="X1300" s="761" t="s">
        <v>1710</v>
      </c>
      <c r="Y1300" s="761">
        <v>44897</v>
      </c>
      <c r="Z1300" s="3" t="s">
        <v>62</v>
      </c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</row>
    <row r="1301" spans="1:39">
      <c r="B1301" s="904">
        <v>12</v>
      </c>
      <c r="C1301" s="807" t="s">
        <v>3454</v>
      </c>
      <c r="D1301" s="3">
        <v>200100310</v>
      </c>
      <c r="E1301" s="3">
        <v>121492</v>
      </c>
      <c r="F1301" s="3">
        <v>9</v>
      </c>
      <c r="G1301" s="3" t="s">
        <v>60</v>
      </c>
      <c r="H1301" s="3" t="s">
        <v>60</v>
      </c>
      <c r="I1301" s="786">
        <v>537.20000000000005</v>
      </c>
      <c r="J1301" s="786">
        <v>302.77999999999997</v>
      </c>
      <c r="K1301" s="3" t="s">
        <v>2067</v>
      </c>
      <c r="L1301" s="761">
        <v>44897</v>
      </c>
      <c r="M1301" s="761" t="s">
        <v>2067</v>
      </c>
      <c r="N1301" s="761">
        <v>44900</v>
      </c>
      <c r="O1301" s="3" t="s">
        <v>62</v>
      </c>
      <c r="P1301" s="3" t="s">
        <v>3939</v>
      </c>
      <c r="Q1301" s="3" t="s">
        <v>3940</v>
      </c>
      <c r="R1301" s="3"/>
      <c r="S1301" s="3" t="s">
        <v>1547</v>
      </c>
      <c r="T1301" s="3"/>
      <c r="U1301" s="786">
        <v>317.8</v>
      </c>
      <c r="V1301" s="4"/>
      <c r="W1301" s="761"/>
      <c r="X1301" s="761" t="s">
        <v>1710</v>
      </c>
      <c r="Y1301" s="761">
        <v>44900</v>
      </c>
      <c r="Z1301" s="3" t="s">
        <v>62</v>
      </c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</row>
    <row r="1302" spans="1:39">
      <c r="B1302" s="904">
        <v>12</v>
      </c>
      <c r="C1302" s="807" t="s">
        <v>3454</v>
      </c>
      <c r="D1302" s="3">
        <v>200100311</v>
      </c>
      <c r="E1302" s="3">
        <v>121502</v>
      </c>
      <c r="F1302" s="3">
        <v>10</v>
      </c>
      <c r="G1302" s="3" t="s">
        <v>60</v>
      </c>
      <c r="H1302" s="3" t="s">
        <v>60</v>
      </c>
      <c r="I1302" s="786">
        <v>542.5</v>
      </c>
      <c r="J1302" s="786">
        <v>306.57</v>
      </c>
      <c r="K1302" s="3" t="s">
        <v>2067</v>
      </c>
      <c r="L1302" s="761">
        <v>44897</v>
      </c>
      <c r="M1302" s="761" t="s">
        <v>2067</v>
      </c>
      <c r="N1302" s="761">
        <v>44900</v>
      </c>
      <c r="O1302" s="3" t="s">
        <v>62</v>
      </c>
      <c r="P1302" s="3" t="s">
        <v>3941</v>
      </c>
      <c r="Q1302" s="3" t="s">
        <v>3942</v>
      </c>
      <c r="R1302" s="3"/>
      <c r="S1302" s="3" t="s">
        <v>1547</v>
      </c>
      <c r="T1302" s="3"/>
      <c r="U1302" s="786">
        <v>321.89999999999998</v>
      </c>
      <c r="V1302" s="4"/>
      <c r="W1302" s="761"/>
      <c r="X1302" s="761" t="s">
        <v>1710</v>
      </c>
      <c r="Y1302" s="761">
        <v>44900</v>
      </c>
      <c r="Z1302" s="3" t="s">
        <v>62</v>
      </c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</row>
    <row r="1303" spans="1:39">
      <c r="B1303" s="904">
        <v>12</v>
      </c>
      <c r="C1303" s="807" t="s">
        <v>3454</v>
      </c>
      <c r="D1303" s="3">
        <v>200100312</v>
      </c>
      <c r="E1303" s="3">
        <v>121512</v>
      </c>
      <c r="F1303" s="3">
        <v>11</v>
      </c>
      <c r="G1303" s="3" t="s">
        <v>60</v>
      </c>
      <c r="H1303" s="3" t="s">
        <v>60</v>
      </c>
      <c r="I1303" s="786">
        <v>534.20000000000005</v>
      </c>
      <c r="J1303" s="786">
        <v>308.95</v>
      </c>
      <c r="K1303" s="3" t="s">
        <v>2067</v>
      </c>
      <c r="L1303" s="761">
        <v>44897</v>
      </c>
      <c r="M1303" s="761" t="s">
        <v>2067</v>
      </c>
      <c r="N1303" s="761">
        <v>44900</v>
      </c>
      <c r="O1303" s="3" t="s">
        <v>62</v>
      </c>
      <c r="P1303" s="3" t="s">
        <v>3941</v>
      </c>
      <c r="Q1303" s="3" t="s">
        <v>3943</v>
      </c>
      <c r="R1303" s="3"/>
      <c r="S1303" s="3" t="s">
        <v>1547</v>
      </c>
      <c r="T1303" s="3"/>
      <c r="U1303" s="786">
        <v>324.5</v>
      </c>
      <c r="V1303" s="4"/>
      <c r="W1303" s="761"/>
      <c r="X1303" s="761" t="s">
        <v>1710</v>
      </c>
      <c r="Y1303" s="761">
        <v>44901</v>
      </c>
      <c r="Z1303" s="3" t="s">
        <v>62</v>
      </c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</row>
    <row r="1304" spans="1:39">
      <c r="B1304" s="904">
        <v>12</v>
      </c>
      <c r="C1304" s="807" t="s">
        <v>3454</v>
      </c>
      <c r="D1304" s="3">
        <v>200100313</v>
      </c>
      <c r="E1304" s="3">
        <v>121522</v>
      </c>
      <c r="F1304" s="3">
        <v>12</v>
      </c>
      <c r="G1304" s="3" t="s">
        <v>60</v>
      </c>
      <c r="H1304" s="3" t="s">
        <v>60</v>
      </c>
      <c r="I1304" s="762">
        <v>534.4</v>
      </c>
      <c r="J1304" s="786">
        <v>305.61</v>
      </c>
      <c r="K1304" s="3" t="s">
        <v>2067</v>
      </c>
      <c r="L1304" s="761">
        <v>44900</v>
      </c>
      <c r="M1304" s="3" t="s">
        <v>2067</v>
      </c>
      <c r="N1304" s="761">
        <v>44901</v>
      </c>
      <c r="O1304" s="3" t="s">
        <v>62</v>
      </c>
      <c r="P1304" s="3" t="s">
        <v>3944</v>
      </c>
      <c r="Q1304" s="3" t="s">
        <v>655</v>
      </c>
      <c r="R1304" s="3"/>
      <c r="S1304" s="3" t="s">
        <v>1547</v>
      </c>
      <c r="T1304" s="3"/>
      <c r="U1304" s="786">
        <v>321</v>
      </c>
      <c r="V1304" s="4"/>
      <c r="W1304" s="761"/>
      <c r="X1304" s="761" t="s">
        <v>1710</v>
      </c>
      <c r="Y1304" s="761">
        <v>44903</v>
      </c>
      <c r="Z1304" s="3" t="s">
        <v>62</v>
      </c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</row>
    <row r="1305" spans="1:39">
      <c r="B1305" s="904">
        <v>12</v>
      </c>
      <c r="C1305" s="807" t="s">
        <v>3454</v>
      </c>
      <c r="D1305" s="3">
        <v>200100314</v>
      </c>
      <c r="E1305" s="3">
        <v>121532</v>
      </c>
      <c r="F1305" s="3">
        <v>13</v>
      </c>
      <c r="G1305" s="3" t="s">
        <v>60</v>
      </c>
      <c r="H1305" s="3" t="s">
        <v>60</v>
      </c>
      <c r="I1305" s="786">
        <v>535.6</v>
      </c>
      <c r="J1305" s="786">
        <v>303.08</v>
      </c>
      <c r="K1305" s="3" t="s">
        <v>2067</v>
      </c>
      <c r="L1305" s="761">
        <v>44901</v>
      </c>
      <c r="M1305" s="761" t="s">
        <v>2067</v>
      </c>
      <c r="N1305" s="761">
        <v>44903</v>
      </c>
      <c r="O1305" s="3" t="s">
        <v>62</v>
      </c>
      <c r="P1305" s="3" t="s">
        <v>3945</v>
      </c>
      <c r="Q1305" s="3" t="s">
        <v>3946</v>
      </c>
      <c r="R1305" s="3"/>
      <c r="S1305" s="3" t="s">
        <v>1547</v>
      </c>
      <c r="T1305" s="3"/>
      <c r="U1305" s="786">
        <v>319.10000000000002</v>
      </c>
      <c r="V1305" s="4"/>
      <c r="W1305" s="761"/>
      <c r="X1305" s="761" t="s">
        <v>1710</v>
      </c>
      <c r="Y1305" s="761">
        <v>44903</v>
      </c>
      <c r="Z1305" s="3" t="s">
        <v>62</v>
      </c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</row>
    <row r="1306" spans="1:39">
      <c r="B1306" s="904">
        <v>12</v>
      </c>
      <c r="C1306" s="807" t="s">
        <v>3454</v>
      </c>
      <c r="D1306" s="3">
        <v>200100315</v>
      </c>
      <c r="E1306" s="3">
        <v>121542</v>
      </c>
      <c r="F1306" s="3">
        <v>14</v>
      </c>
      <c r="G1306" s="3" t="s">
        <v>60</v>
      </c>
      <c r="H1306" s="3" t="s">
        <v>60</v>
      </c>
      <c r="I1306" s="786">
        <v>539.6</v>
      </c>
      <c r="J1306" s="786">
        <v>307.60000000000002</v>
      </c>
      <c r="K1306" s="3" t="s">
        <v>2067</v>
      </c>
      <c r="L1306" s="761">
        <v>44901</v>
      </c>
      <c r="M1306" s="761" t="s">
        <v>2067</v>
      </c>
      <c r="N1306" s="761">
        <v>44903</v>
      </c>
      <c r="O1306" s="3" t="s">
        <v>62</v>
      </c>
      <c r="P1306" s="3" t="s">
        <v>3947</v>
      </c>
      <c r="Q1306" s="3" t="s">
        <v>3948</v>
      </c>
      <c r="R1306" s="3"/>
      <c r="S1306" s="3" t="s">
        <v>1547</v>
      </c>
      <c r="T1306" s="3"/>
      <c r="U1306" s="786">
        <v>323</v>
      </c>
      <c r="V1306" s="4"/>
      <c r="W1306" s="761"/>
      <c r="X1306" s="761" t="s">
        <v>1710</v>
      </c>
      <c r="Y1306" s="761">
        <v>44903</v>
      </c>
      <c r="Z1306" s="3" t="s">
        <v>62</v>
      </c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</row>
    <row r="1307" spans="1:39">
      <c r="B1307" s="904">
        <v>12</v>
      </c>
      <c r="C1307" s="807" t="s">
        <v>3454</v>
      </c>
      <c r="D1307" s="801">
        <v>200100367</v>
      </c>
      <c r="E1307" s="8">
        <v>122392</v>
      </c>
      <c r="F1307" s="3">
        <v>15</v>
      </c>
      <c r="G1307" s="3" t="s">
        <v>60</v>
      </c>
      <c r="H1307" s="3" t="s">
        <v>60</v>
      </c>
      <c r="I1307" s="786">
        <v>531.9</v>
      </c>
      <c r="J1307" s="786">
        <v>303.29000000000002</v>
      </c>
      <c r="K1307" s="3" t="s">
        <v>2067</v>
      </c>
      <c r="L1307" s="761">
        <v>44907</v>
      </c>
      <c r="M1307" s="761" t="s">
        <v>2067</v>
      </c>
      <c r="N1307" s="761">
        <v>44904</v>
      </c>
      <c r="O1307" s="3" t="s">
        <v>62</v>
      </c>
      <c r="P1307" s="3" t="s">
        <v>3949</v>
      </c>
      <c r="Q1307" s="3" t="s">
        <v>600</v>
      </c>
      <c r="R1307" s="3"/>
      <c r="S1307" s="3" t="s">
        <v>1547</v>
      </c>
      <c r="T1307" s="3"/>
      <c r="U1307" s="786">
        <v>318.89999999999998</v>
      </c>
      <c r="V1307" s="4"/>
      <c r="W1307" s="761"/>
      <c r="X1307" s="761" t="s">
        <v>1710</v>
      </c>
      <c r="Y1307" s="761">
        <v>44907</v>
      </c>
      <c r="Z1307" s="3" t="s">
        <v>62</v>
      </c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</row>
    <row r="1308" spans="1:39">
      <c r="B1308" s="904">
        <v>12</v>
      </c>
      <c r="C1308" s="807" t="s">
        <v>3454</v>
      </c>
      <c r="D1308" s="801">
        <v>200100368</v>
      </c>
      <c r="E1308" s="8">
        <v>122402</v>
      </c>
      <c r="F1308" s="3">
        <v>16</v>
      </c>
      <c r="G1308" s="3" t="s">
        <v>60</v>
      </c>
      <c r="H1308" s="3" t="s">
        <v>60</v>
      </c>
      <c r="I1308" s="786">
        <v>531.79999999999995</v>
      </c>
      <c r="J1308" s="786">
        <v>304.37</v>
      </c>
      <c r="K1308" s="3" t="s">
        <v>2067</v>
      </c>
      <c r="L1308" s="761">
        <v>44908</v>
      </c>
      <c r="M1308" s="761" t="s">
        <v>2067</v>
      </c>
      <c r="N1308" s="761">
        <v>44904</v>
      </c>
      <c r="O1308" s="3" t="s">
        <v>62</v>
      </c>
      <c r="P1308" s="3" t="s">
        <v>3950</v>
      </c>
      <c r="Q1308" s="3" t="s">
        <v>3951</v>
      </c>
      <c r="R1308" s="3"/>
      <c r="S1308" s="3" t="s">
        <v>1547</v>
      </c>
      <c r="T1308" s="3"/>
      <c r="U1308" s="786">
        <v>320.7</v>
      </c>
      <c r="V1308" s="4"/>
      <c r="W1308" s="761"/>
      <c r="X1308" s="761" t="s">
        <v>1710</v>
      </c>
      <c r="Y1308" s="761">
        <v>44907</v>
      </c>
      <c r="Z1308" s="3" t="s">
        <v>62</v>
      </c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</row>
    <row r="1309" spans="1:39">
      <c r="B1309" s="904">
        <v>12</v>
      </c>
      <c r="C1309" s="807" t="s">
        <v>3454</v>
      </c>
      <c r="D1309" s="801">
        <v>200100369</v>
      </c>
      <c r="E1309" s="8">
        <v>122412</v>
      </c>
      <c r="F1309" s="3">
        <v>17</v>
      </c>
      <c r="G1309" s="3" t="s">
        <v>128</v>
      </c>
      <c r="H1309" s="3" t="s">
        <v>128</v>
      </c>
      <c r="I1309" s="1469" t="s">
        <v>2885</v>
      </c>
      <c r="J1309" s="786">
        <v>303.05</v>
      </c>
      <c r="K1309" s="3" t="s">
        <v>2067</v>
      </c>
      <c r="L1309" s="761">
        <v>44909</v>
      </c>
      <c r="M1309" s="761" t="s">
        <v>2067</v>
      </c>
      <c r="N1309" s="761">
        <v>44908</v>
      </c>
      <c r="O1309" s="3" t="s">
        <v>62</v>
      </c>
      <c r="P1309" s="3" t="s">
        <v>3952</v>
      </c>
      <c r="Q1309" s="3" t="s">
        <v>3953</v>
      </c>
      <c r="R1309" s="3"/>
      <c r="S1309" s="3" t="s">
        <v>1547</v>
      </c>
      <c r="T1309" s="3"/>
      <c r="U1309" s="786">
        <v>318.7</v>
      </c>
      <c r="V1309" s="4"/>
      <c r="W1309" s="761"/>
      <c r="X1309" s="761" t="s">
        <v>1710</v>
      </c>
      <c r="Y1309" s="761">
        <v>44908</v>
      </c>
      <c r="Z1309" s="3" t="s">
        <v>62</v>
      </c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</row>
    <row r="1310" spans="1:39" s="708" customFormat="1" ht="33" customHeight="1">
      <c r="A1310"/>
      <c r="B1310" s="909" t="s">
        <v>13</v>
      </c>
      <c r="C1310" s="910">
        <v>2023</v>
      </c>
      <c r="D1310" s="911"/>
      <c r="E1310" s="912"/>
      <c r="F1310" s="913"/>
      <c r="G1310" s="913" t="s">
        <v>3954</v>
      </c>
      <c r="H1310" s="913" t="s">
        <v>3391</v>
      </c>
      <c r="I1310" s="916" t="s">
        <v>3954</v>
      </c>
      <c r="J1310" s="916" t="s">
        <v>3391</v>
      </c>
      <c r="K1310" s="913"/>
      <c r="L1310" s="917" t="s">
        <v>3954</v>
      </c>
      <c r="M1310" s="917" t="s">
        <v>3391</v>
      </c>
      <c r="N1310" s="917"/>
      <c r="O1310" s="913"/>
      <c r="P1310" s="913"/>
      <c r="Q1310" s="913"/>
      <c r="R1310" s="913"/>
      <c r="S1310" s="913"/>
      <c r="T1310" s="913"/>
      <c r="U1310" s="916"/>
      <c r="V1310" s="918"/>
      <c r="W1310" s="917"/>
      <c r="X1310" s="917"/>
      <c r="Y1310" s="917"/>
      <c r="Z1310" s="913"/>
      <c r="AA1310" s="918"/>
      <c r="AB1310" s="918"/>
      <c r="AC1310" s="918"/>
      <c r="AD1310" s="918"/>
      <c r="AE1310" s="918"/>
      <c r="AF1310" s="918"/>
      <c r="AG1310" s="918"/>
      <c r="AH1310" s="918"/>
      <c r="AI1310" s="918"/>
      <c r="AJ1310" s="918"/>
      <c r="AK1310" s="918"/>
      <c r="AL1310" s="918"/>
      <c r="AM1310" s="918"/>
    </row>
    <row r="1311" spans="1:39">
      <c r="B1311" s="904">
        <v>1</v>
      </c>
      <c r="C1311" s="807" t="s">
        <v>3454</v>
      </c>
      <c r="D1311" s="801">
        <v>200100572</v>
      </c>
      <c r="E1311" s="1485" t="s">
        <v>3955</v>
      </c>
      <c r="F1311" s="3">
        <v>1</v>
      </c>
      <c r="G1311" s="3" t="s">
        <v>60</v>
      </c>
      <c r="H1311" s="3" t="s">
        <v>60</v>
      </c>
      <c r="I1311" s="786">
        <v>526.79999999999995</v>
      </c>
      <c r="J1311" s="786">
        <v>300.87</v>
      </c>
      <c r="K1311" s="3" t="s">
        <v>2067</v>
      </c>
      <c r="L1311" s="761">
        <v>44921</v>
      </c>
      <c r="M1311" s="761" t="s">
        <v>2067</v>
      </c>
      <c r="N1311" s="761">
        <v>44918</v>
      </c>
      <c r="O1311" s="3" t="s">
        <v>62</v>
      </c>
      <c r="P1311" s="3" t="s">
        <v>3956</v>
      </c>
      <c r="Q1311" s="3" t="s">
        <v>3957</v>
      </c>
      <c r="R1311" s="825"/>
      <c r="S1311" s="3" t="s">
        <v>130</v>
      </c>
      <c r="T1311" s="3"/>
      <c r="U1311" s="3">
        <v>316.7</v>
      </c>
      <c r="V1311" s="4"/>
      <c r="W1311" s="761"/>
      <c r="X1311" s="761" t="s">
        <v>1710</v>
      </c>
      <c r="Y1311" s="761">
        <v>44918</v>
      </c>
      <c r="Z1311" s="3" t="s">
        <v>62</v>
      </c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</row>
    <row r="1312" spans="1:39">
      <c r="B1312" s="904">
        <v>1</v>
      </c>
      <c r="C1312" s="807" t="s">
        <v>3454</v>
      </c>
      <c r="D1312" s="801">
        <v>200100573</v>
      </c>
      <c r="E1312" s="1485" t="s">
        <v>3958</v>
      </c>
      <c r="F1312" s="3">
        <v>2</v>
      </c>
      <c r="G1312" s="3" t="s">
        <v>60</v>
      </c>
      <c r="H1312" s="3" t="s">
        <v>60</v>
      </c>
      <c r="I1312" s="786">
        <v>536.6</v>
      </c>
      <c r="J1312" s="786">
        <v>304.20999999999998</v>
      </c>
      <c r="K1312" s="3" t="s">
        <v>2067</v>
      </c>
      <c r="L1312" s="761">
        <v>44921</v>
      </c>
      <c r="M1312" s="761" t="s">
        <v>2067</v>
      </c>
      <c r="N1312" s="761">
        <v>44918</v>
      </c>
      <c r="O1312" s="3" t="s">
        <v>62</v>
      </c>
      <c r="P1312" s="3" t="s">
        <v>3959</v>
      </c>
      <c r="Q1312" s="3" t="s">
        <v>3960</v>
      </c>
      <c r="R1312" s="825"/>
      <c r="S1312" s="3" t="s">
        <v>130</v>
      </c>
      <c r="T1312" s="3"/>
      <c r="U1312" s="762">
        <v>320</v>
      </c>
      <c r="V1312" s="4"/>
      <c r="W1312" s="761"/>
      <c r="X1312" s="761" t="s">
        <v>1710</v>
      </c>
      <c r="Y1312" s="761">
        <v>44921</v>
      </c>
      <c r="Z1312" s="3" t="s">
        <v>62</v>
      </c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</row>
    <row r="1313" spans="2:39">
      <c r="B1313" s="904">
        <v>1</v>
      </c>
      <c r="C1313" s="807" t="s">
        <v>3454</v>
      </c>
      <c r="D1313" s="801">
        <v>200100574</v>
      </c>
      <c r="E1313" s="1485" t="s">
        <v>3961</v>
      </c>
      <c r="F1313" s="3">
        <v>3</v>
      </c>
      <c r="G1313" s="3" t="s">
        <v>60</v>
      </c>
      <c r="H1313" s="3" t="s">
        <v>60</v>
      </c>
      <c r="I1313" s="786">
        <v>529.20000000000005</v>
      </c>
      <c r="J1313" s="762">
        <f>148.85+154.13</f>
        <v>302.98</v>
      </c>
      <c r="K1313" s="3" t="s">
        <v>2067</v>
      </c>
      <c r="L1313" s="761">
        <v>44922</v>
      </c>
      <c r="M1313" s="761" t="s">
        <v>2067</v>
      </c>
      <c r="N1313" s="761">
        <v>44922</v>
      </c>
      <c r="O1313" s="3" t="s">
        <v>62</v>
      </c>
      <c r="P1313" s="3" t="s">
        <v>3962</v>
      </c>
      <c r="Q1313" s="3" t="s">
        <v>817</v>
      </c>
      <c r="R1313" s="825"/>
      <c r="S1313" s="3" t="s">
        <v>130</v>
      </c>
      <c r="T1313" s="3"/>
      <c r="U1313" s="786">
        <v>318.8</v>
      </c>
      <c r="V1313" s="4"/>
      <c r="W1313" s="761"/>
      <c r="X1313" s="761" t="s">
        <v>1710</v>
      </c>
      <c r="Y1313" s="761">
        <v>44922</v>
      </c>
      <c r="Z1313" s="3" t="s">
        <v>62</v>
      </c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</row>
    <row r="1314" spans="2:39">
      <c r="B1314" s="904">
        <v>1</v>
      </c>
      <c r="C1314" s="807" t="s">
        <v>3454</v>
      </c>
      <c r="D1314" s="801">
        <v>200100575</v>
      </c>
      <c r="E1314" s="1485" t="s">
        <v>3963</v>
      </c>
      <c r="F1314" s="3">
        <v>4</v>
      </c>
      <c r="G1314" s="3" t="s">
        <v>60</v>
      </c>
      <c r="H1314" s="3" t="s">
        <v>128</v>
      </c>
      <c r="I1314" s="786">
        <f>130+134.1+133.8+133</f>
        <v>530.90000000000009</v>
      </c>
      <c r="J1314" s="762">
        <v>301.13</v>
      </c>
      <c r="K1314" s="3" t="s">
        <v>2067</v>
      </c>
      <c r="L1314" s="761">
        <v>44923</v>
      </c>
      <c r="M1314" s="761" t="s">
        <v>2067</v>
      </c>
      <c r="N1314" s="761">
        <v>44923</v>
      </c>
      <c r="O1314" s="3" t="s">
        <v>62</v>
      </c>
      <c r="P1314" s="3" t="s">
        <v>3964</v>
      </c>
      <c r="Q1314" s="3" t="s">
        <v>3965</v>
      </c>
      <c r="R1314" s="825"/>
      <c r="S1314" s="3" t="s">
        <v>130</v>
      </c>
      <c r="T1314" s="825"/>
      <c r="U1314" s="786">
        <v>317</v>
      </c>
      <c r="V1314" s="825"/>
      <c r="W1314" s="919"/>
      <c r="X1314" s="761" t="s">
        <v>1710</v>
      </c>
      <c r="Y1314" s="761">
        <v>44923</v>
      </c>
      <c r="Z1314" s="3" t="s">
        <v>62</v>
      </c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</row>
    <row r="1315" spans="2:39">
      <c r="B1315" s="904">
        <v>1</v>
      </c>
      <c r="C1315" s="807" t="s">
        <v>3454</v>
      </c>
      <c r="D1315" s="801">
        <v>200100576</v>
      </c>
      <c r="E1315" s="1485" t="s">
        <v>3966</v>
      </c>
      <c r="F1315" s="3">
        <v>5</v>
      </c>
      <c r="G1315" s="3" t="s">
        <v>60</v>
      </c>
      <c r="H1315" s="3" t="s">
        <v>60</v>
      </c>
      <c r="I1315" s="786">
        <f>132.4+134.8+133.8+134.2</f>
        <v>535.20000000000005</v>
      </c>
      <c r="J1315" s="762">
        <v>303.60000000000002</v>
      </c>
      <c r="K1315" s="3" t="s">
        <v>2067</v>
      </c>
      <c r="L1315" s="761">
        <v>44923</v>
      </c>
      <c r="M1315" s="761" t="s">
        <v>2067</v>
      </c>
      <c r="N1315" s="761">
        <v>45289</v>
      </c>
      <c r="O1315" s="3" t="s">
        <v>62</v>
      </c>
      <c r="P1315" s="3" t="s">
        <v>3967</v>
      </c>
      <c r="Q1315" s="3" t="s">
        <v>3968</v>
      </c>
      <c r="R1315" s="825"/>
      <c r="S1315" s="3" t="s">
        <v>130</v>
      </c>
      <c r="T1315" s="825"/>
      <c r="U1315" s="786">
        <v>319.39999999999998</v>
      </c>
      <c r="V1315" s="825"/>
      <c r="W1315" s="919"/>
      <c r="X1315" s="761" t="s">
        <v>1710</v>
      </c>
      <c r="Y1315" s="761">
        <v>45289</v>
      </c>
      <c r="Z1315" s="3" t="s">
        <v>62</v>
      </c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</row>
    <row r="1316" spans="2:39">
      <c r="B1316" s="904">
        <v>1</v>
      </c>
      <c r="C1316" s="807" t="s">
        <v>3454</v>
      </c>
      <c r="D1316" s="801">
        <v>200100673</v>
      </c>
      <c r="E1316" s="1485" t="s">
        <v>3969</v>
      </c>
      <c r="F1316" s="3">
        <v>6</v>
      </c>
      <c r="G1316" s="3" t="s">
        <v>60</v>
      </c>
      <c r="H1316" s="3" t="s">
        <v>128</v>
      </c>
      <c r="I1316" s="786">
        <f>131.4+128.7+130.7+138.6</f>
        <v>529.4</v>
      </c>
      <c r="J1316" s="786">
        <v>300.44</v>
      </c>
      <c r="K1316" s="3" t="s">
        <v>2094</v>
      </c>
      <c r="L1316" s="761">
        <v>44928</v>
      </c>
      <c r="M1316" s="761" t="s">
        <v>2094</v>
      </c>
      <c r="N1316" s="761">
        <v>44928</v>
      </c>
      <c r="O1316" s="3" t="s">
        <v>62</v>
      </c>
      <c r="P1316" s="3" t="s">
        <v>3970</v>
      </c>
      <c r="Q1316" s="3" t="s">
        <v>3971</v>
      </c>
      <c r="R1316" s="825"/>
      <c r="S1316" s="3" t="s">
        <v>130</v>
      </c>
      <c r="T1316" s="825"/>
      <c r="U1316" s="786">
        <v>316.39999999999998</v>
      </c>
      <c r="V1316" s="825"/>
      <c r="W1316" s="919"/>
      <c r="X1316" s="761" t="s">
        <v>2094</v>
      </c>
      <c r="Y1316" s="761">
        <v>44928</v>
      </c>
      <c r="Z1316" s="3" t="s">
        <v>62</v>
      </c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</row>
    <row r="1317" spans="2:39">
      <c r="B1317" s="904">
        <v>1</v>
      </c>
      <c r="C1317" s="807" t="s">
        <v>3454</v>
      </c>
      <c r="D1317" s="801">
        <v>200100674</v>
      </c>
      <c r="E1317" s="1485" t="s">
        <v>3972</v>
      </c>
      <c r="F1317" s="3">
        <v>7</v>
      </c>
      <c r="G1317" s="3" t="s">
        <v>60</v>
      </c>
      <c r="H1317" s="3" t="s">
        <v>128</v>
      </c>
      <c r="I1317" s="785">
        <v>536.4</v>
      </c>
      <c r="J1317" s="786">
        <v>307.89</v>
      </c>
      <c r="K1317" s="3" t="s">
        <v>2094</v>
      </c>
      <c r="L1317" s="761">
        <v>44928</v>
      </c>
      <c r="M1317" s="761" t="s">
        <v>2094</v>
      </c>
      <c r="N1317" s="761">
        <v>44928</v>
      </c>
      <c r="O1317" s="3" t="s">
        <v>62</v>
      </c>
      <c r="P1317" s="3" t="s">
        <v>3973</v>
      </c>
      <c r="Q1317" s="3" t="s">
        <v>3883</v>
      </c>
      <c r="R1317" s="825"/>
      <c r="S1317" s="3" t="s">
        <v>130</v>
      </c>
      <c r="T1317" s="825"/>
      <c r="U1317" s="785">
        <v>323.89999999999998</v>
      </c>
      <c r="V1317" s="825"/>
      <c r="W1317" s="919"/>
      <c r="X1317" s="761" t="s">
        <v>2094</v>
      </c>
      <c r="Y1317" s="761">
        <v>44928</v>
      </c>
      <c r="Z1317" s="3" t="s">
        <v>62</v>
      </c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</row>
    <row r="1318" spans="2:39">
      <c r="B1318" s="904">
        <v>1</v>
      </c>
      <c r="C1318" s="807" t="s">
        <v>3454</v>
      </c>
      <c r="D1318" s="801">
        <v>200100675</v>
      </c>
      <c r="E1318" s="1485" t="s">
        <v>3974</v>
      </c>
      <c r="F1318" s="3">
        <v>8</v>
      </c>
      <c r="G1318" s="3" t="s">
        <v>60</v>
      </c>
      <c r="H1318" s="3" t="s">
        <v>128</v>
      </c>
      <c r="I1318" s="786">
        <v>537.5</v>
      </c>
      <c r="J1318" s="786">
        <v>300.76</v>
      </c>
      <c r="K1318" s="3" t="s">
        <v>2094</v>
      </c>
      <c r="L1318" s="761">
        <v>44929</v>
      </c>
      <c r="M1318" s="3" t="s">
        <v>2094</v>
      </c>
      <c r="N1318" s="761">
        <v>44929</v>
      </c>
      <c r="O1318" s="3" t="s">
        <v>62</v>
      </c>
      <c r="P1318" s="3" t="s">
        <v>3975</v>
      </c>
      <c r="Q1318" s="3" t="s">
        <v>3976</v>
      </c>
      <c r="R1318" s="825"/>
      <c r="S1318" s="3" t="s">
        <v>130</v>
      </c>
      <c r="T1318" s="825"/>
      <c r="U1318" s="785">
        <v>316.60000000000002</v>
      </c>
      <c r="V1318" s="825"/>
      <c r="W1318" s="919"/>
      <c r="X1318" s="761" t="s">
        <v>2094</v>
      </c>
      <c r="Y1318" s="761">
        <v>44929</v>
      </c>
      <c r="Z1318" s="3" t="s">
        <v>62</v>
      </c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</row>
    <row r="1319" spans="2:39">
      <c r="B1319" s="904">
        <v>1</v>
      </c>
      <c r="C1319" s="807" t="s">
        <v>3454</v>
      </c>
      <c r="D1319" s="801">
        <v>200100676</v>
      </c>
      <c r="E1319" s="1485" t="s">
        <v>3977</v>
      </c>
      <c r="F1319" s="3">
        <v>9</v>
      </c>
      <c r="G1319" s="3" t="s">
        <v>60</v>
      </c>
      <c r="H1319" s="3" t="s">
        <v>128</v>
      </c>
      <c r="I1319" s="786">
        <v>533.1</v>
      </c>
      <c r="J1319" s="786">
        <v>301.62</v>
      </c>
      <c r="K1319" s="3" t="s">
        <v>2094</v>
      </c>
      <c r="L1319" s="761">
        <v>44930</v>
      </c>
      <c r="M1319" s="761" t="s">
        <v>2094</v>
      </c>
      <c r="N1319" s="761">
        <v>44930</v>
      </c>
      <c r="O1319" s="3" t="s">
        <v>62</v>
      </c>
      <c r="P1319" s="3" t="s">
        <v>3978</v>
      </c>
      <c r="Q1319" s="3" t="s">
        <v>3979</v>
      </c>
      <c r="R1319" s="825"/>
      <c r="S1319" s="3" t="s">
        <v>130</v>
      </c>
      <c r="T1319" s="825"/>
      <c r="U1319" s="786">
        <v>317.39999999999998</v>
      </c>
      <c r="V1319" s="825"/>
      <c r="W1319" s="919"/>
      <c r="X1319" s="761" t="s">
        <v>2094</v>
      </c>
      <c r="Y1319" s="761">
        <v>44930</v>
      </c>
      <c r="Z1319" s="3" t="s">
        <v>62</v>
      </c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</row>
    <row r="1320" spans="2:39">
      <c r="B1320" s="904">
        <v>1</v>
      </c>
      <c r="C1320" s="807" t="s">
        <v>3454</v>
      </c>
      <c r="D1320" s="801">
        <v>200100677</v>
      </c>
      <c r="E1320" s="1485" t="s">
        <v>3980</v>
      </c>
      <c r="F1320" s="3">
        <v>10</v>
      </c>
      <c r="G1320" s="3" t="s">
        <v>60</v>
      </c>
      <c r="H1320" s="3" t="s">
        <v>128</v>
      </c>
      <c r="I1320" s="786">
        <v>532.1</v>
      </c>
      <c r="J1320" s="786">
        <v>305.13</v>
      </c>
      <c r="K1320" s="3" t="s">
        <v>2094</v>
      </c>
      <c r="L1320" s="761">
        <v>44931</v>
      </c>
      <c r="M1320" s="761" t="s">
        <v>2094</v>
      </c>
      <c r="N1320" s="761">
        <v>44930</v>
      </c>
      <c r="O1320" s="3" t="s">
        <v>62</v>
      </c>
      <c r="P1320" s="3" t="s">
        <v>3981</v>
      </c>
      <c r="Q1320" s="3" t="s">
        <v>3982</v>
      </c>
      <c r="R1320" s="825"/>
      <c r="S1320" s="3" t="s">
        <v>130</v>
      </c>
      <c r="T1320" s="825"/>
      <c r="U1320" s="786">
        <v>320.89999999999998</v>
      </c>
      <c r="V1320" s="825"/>
      <c r="W1320" s="919"/>
      <c r="X1320" s="761" t="s">
        <v>2094</v>
      </c>
      <c r="Y1320" s="761">
        <v>44930</v>
      </c>
      <c r="Z1320" s="3" t="s">
        <v>62</v>
      </c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</row>
    <row r="1321" spans="2:39">
      <c r="B1321" s="904">
        <v>1</v>
      </c>
      <c r="C1321" s="807" t="s">
        <v>3983</v>
      </c>
      <c r="D1321" s="801">
        <v>200100678</v>
      </c>
      <c r="E1321" s="1485" t="s">
        <v>3984</v>
      </c>
      <c r="F1321" s="3">
        <v>11</v>
      </c>
      <c r="G1321" s="3" t="s">
        <v>3985</v>
      </c>
      <c r="H1321" s="3" t="s">
        <v>3985</v>
      </c>
      <c r="I1321" s="786">
        <v>523.86</v>
      </c>
      <c r="J1321" s="786">
        <v>297.54000000000002</v>
      </c>
      <c r="K1321" s="3" t="s">
        <v>2094</v>
      </c>
      <c r="L1321" s="761">
        <v>44932</v>
      </c>
      <c r="M1321" s="761" t="s">
        <v>2094</v>
      </c>
      <c r="N1321" s="761">
        <v>44931</v>
      </c>
      <c r="O1321" s="807" t="s">
        <v>3986</v>
      </c>
      <c r="P1321" s="3" t="s">
        <v>3987</v>
      </c>
      <c r="Q1321" s="3" t="s">
        <v>3988</v>
      </c>
      <c r="R1321" s="825"/>
      <c r="S1321" s="1570" t="s">
        <v>3989</v>
      </c>
      <c r="T1321" s="1571"/>
      <c r="U1321" s="1571"/>
      <c r="V1321" s="1571"/>
      <c r="W1321" s="1571"/>
      <c r="X1321" s="1571"/>
      <c r="Y1321" s="1572"/>
      <c r="Z1321" s="807" t="s">
        <v>3990</v>
      </c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</row>
    <row r="1322" spans="2:39">
      <c r="B1322" s="904">
        <v>1</v>
      </c>
      <c r="C1322" s="807" t="s">
        <v>3454</v>
      </c>
      <c r="D1322" s="801">
        <v>200100734</v>
      </c>
      <c r="E1322" s="1485" t="s">
        <v>3991</v>
      </c>
      <c r="F1322" s="3">
        <v>12</v>
      </c>
      <c r="G1322" s="3" t="s">
        <v>128</v>
      </c>
      <c r="H1322" s="3" t="s">
        <v>128</v>
      </c>
      <c r="I1322" s="786">
        <v>533.20000000000005</v>
      </c>
      <c r="J1322" s="786">
        <v>301.51</v>
      </c>
      <c r="K1322" s="3" t="s">
        <v>2094</v>
      </c>
      <c r="L1322" s="761">
        <v>44938</v>
      </c>
      <c r="M1322" s="761" t="s">
        <v>2094</v>
      </c>
      <c r="N1322" s="761">
        <v>44939</v>
      </c>
      <c r="O1322" s="3" t="s">
        <v>62</v>
      </c>
      <c r="P1322" s="3" t="s">
        <v>3992</v>
      </c>
      <c r="Q1322" s="3" t="s">
        <v>3993</v>
      </c>
      <c r="R1322" s="825"/>
      <c r="S1322" s="3" t="s">
        <v>130</v>
      </c>
      <c r="T1322" s="825"/>
      <c r="U1322" s="762">
        <v>317</v>
      </c>
      <c r="V1322" s="825"/>
      <c r="W1322" s="825"/>
      <c r="X1322" s="3" t="s">
        <v>2094</v>
      </c>
      <c r="Y1322" s="761">
        <v>44939</v>
      </c>
      <c r="Z1322" s="3" t="s">
        <v>62</v>
      </c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</row>
    <row r="1323" spans="2:39">
      <c r="B1323" s="904">
        <v>1</v>
      </c>
      <c r="C1323" s="807" t="s">
        <v>3454</v>
      </c>
      <c r="D1323" s="801">
        <v>200100735</v>
      </c>
      <c r="E1323" s="1485" t="s">
        <v>3994</v>
      </c>
      <c r="F1323" s="3">
        <v>13</v>
      </c>
      <c r="G1323" s="3" t="s">
        <v>128</v>
      </c>
      <c r="H1323" s="3" t="s">
        <v>128</v>
      </c>
      <c r="I1323" s="762">
        <v>526.6</v>
      </c>
      <c r="J1323" s="786">
        <v>304.01</v>
      </c>
      <c r="K1323" s="3" t="s">
        <v>2094</v>
      </c>
      <c r="L1323" s="761">
        <v>44938</v>
      </c>
      <c r="M1323" s="761" t="s">
        <v>2094</v>
      </c>
      <c r="N1323" s="761">
        <v>44939</v>
      </c>
      <c r="O1323" s="3" t="s">
        <v>62</v>
      </c>
      <c r="P1323" s="3" t="s">
        <v>3995</v>
      </c>
      <c r="Q1323" s="3" t="s">
        <v>3996</v>
      </c>
      <c r="R1323" s="825"/>
      <c r="S1323" s="3" t="s">
        <v>130</v>
      </c>
      <c r="T1323" s="825"/>
      <c r="U1323" s="3">
        <v>320</v>
      </c>
      <c r="V1323" s="825"/>
      <c r="W1323" s="825"/>
      <c r="X1323" s="3" t="s">
        <v>2094</v>
      </c>
      <c r="Y1323" s="761">
        <v>44939</v>
      </c>
      <c r="Z1323" s="3" t="s">
        <v>62</v>
      </c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</row>
    <row r="1324" spans="2:39">
      <c r="B1324" s="904">
        <v>1</v>
      </c>
      <c r="C1324" s="807" t="s">
        <v>3454</v>
      </c>
      <c r="D1324" s="801">
        <v>200100736</v>
      </c>
      <c r="E1324" s="1485" t="s">
        <v>3997</v>
      </c>
      <c r="F1324" s="3">
        <v>14</v>
      </c>
      <c r="G1324" s="3" t="s">
        <v>128</v>
      </c>
      <c r="H1324" s="3" t="s">
        <v>128</v>
      </c>
      <c r="I1324" s="762">
        <v>543.29999999999995</v>
      </c>
      <c r="J1324" s="786">
        <v>306.81</v>
      </c>
      <c r="K1324" s="3" t="s">
        <v>2094</v>
      </c>
      <c r="L1324" s="761">
        <v>44938</v>
      </c>
      <c r="M1324" s="761" t="s">
        <v>2094</v>
      </c>
      <c r="N1324" s="761">
        <v>44939</v>
      </c>
      <c r="O1324" s="3" t="s">
        <v>62</v>
      </c>
      <c r="P1324" s="3" t="s">
        <v>3998</v>
      </c>
      <c r="Q1324" s="3" t="s">
        <v>3999</v>
      </c>
      <c r="R1324" s="825"/>
      <c r="S1324" s="3" t="s">
        <v>130</v>
      </c>
      <c r="T1324" s="825"/>
      <c r="U1324" s="816">
        <v>322.3</v>
      </c>
      <c r="V1324" s="825"/>
      <c r="W1324" s="825"/>
      <c r="X1324" s="3" t="s">
        <v>2094</v>
      </c>
      <c r="Y1324" s="761">
        <v>44942</v>
      </c>
      <c r="Z1324" s="3" t="s">
        <v>62</v>
      </c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</row>
    <row r="1325" spans="2:39">
      <c r="B1325" s="904">
        <v>1</v>
      </c>
      <c r="C1325" s="807" t="s">
        <v>3454</v>
      </c>
      <c r="D1325" s="801">
        <v>200100737</v>
      </c>
      <c r="E1325" s="1485" t="s">
        <v>4000</v>
      </c>
      <c r="F1325" s="3">
        <v>15</v>
      </c>
      <c r="G1325" s="3" t="s">
        <v>128</v>
      </c>
      <c r="H1325" s="3" t="s">
        <v>128</v>
      </c>
      <c r="I1325" s="762">
        <v>529.5</v>
      </c>
      <c r="J1325" s="786">
        <v>303.08</v>
      </c>
      <c r="K1325" s="3" t="s">
        <v>2094</v>
      </c>
      <c r="L1325" s="761">
        <v>44939</v>
      </c>
      <c r="M1325" s="761" t="s">
        <v>2094</v>
      </c>
      <c r="N1325" s="761">
        <v>44939</v>
      </c>
      <c r="O1325" s="3" t="s">
        <v>62</v>
      </c>
      <c r="P1325" s="3" t="s">
        <v>4001</v>
      </c>
      <c r="Q1325" s="3" t="s">
        <v>4002</v>
      </c>
      <c r="R1325" s="825"/>
      <c r="S1325" s="3" t="s">
        <v>130</v>
      </c>
      <c r="T1325" s="825"/>
      <c r="U1325" s="786">
        <v>318.7</v>
      </c>
      <c r="V1325" s="825"/>
      <c r="W1325" s="825"/>
      <c r="X1325" s="3" t="s">
        <v>2094</v>
      </c>
      <c r="Y1325" s="761">
        <v>44942</v>
      </c>
      <c r="Z1325" s="3" t="s">
        <v>62</v>
      </c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</row>
    <row r="1326" spans="2:39">
      <c r="B1326" s="904">
        <v>1</v>
      </c>
      <c r="C1326" s="807" t="s">
        <v>3454</v>
      </c>
      <c r="D1326" s="801">
        <v>200100738</v>
      </c>
      <c r="E1326" s="1485" t="s">
        <v>4003</v>
      </c>
      <c r="F1326" s="3">
        <v>16</v>
      </c>
      <c r="G1326" s="3" t="s">
        <v>128</v>
      </c>
      <c r="H1326" s="3" t="s">
        <v>128</v>
      </c>
      <c r="I1326" s="762">
        <v>528.29999999999995</v>
      </c>
      <c r="J1326" s="786">
        <v>301.77999999999997</v>
      </c>
      <c r="K1326" s="3" t="s">
        <v>2094</v>
      </c>
      <c r="L1326" s="761">
        <v>44942</v>
      </c>
      <c r="M1326" s="761" t="s">
        <v>2094</v>
      </c>
      <c r="N1326" s="761">
        <v>44942</v>
      </c>
      <c r="O1326" s="3" t="s">
        <v>62</v>
      </c>
      <c r="P1326" s="3" t="s">
        <v>4004</v>
      </c>
      <c r="Q1326" s="3" t="s">
        <v>4005</v>
      </c>
      <c r="R1326" s="825"/>
      <c r="S1326" s="3" t="s">
        <v>130</v>
      </c>
      <c r="T1326" s="825"/>
      <c r="U1326" s="786">
        <v>317.5</v>
      </c>
      <c r="V1326" s="825"/>
      <c r="W1326" s="825"/>
      <c r="X1326" s="3" t="s">
        <v>2094</v>
      </c>
      <c r="Y1326" s="761">
        <v>44942</v>
      </c>
      <c r="Z1326" s="3" t="s">
        <v>62</v>
      </c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</row>
    <row r="1327" spans="2:39">
      <c r="B1327" s="904">
        <v>1</v>
      </c>
      <c r="C1327" s="807" t="s">
        <v>3454</v>
      </c>
      <c r="D1327" s="801">
        <v>200100739</v>
      </c>
      <c r="E1327" s="1485" t="s">
        <v>4006</v>
      </c>
      <c r="F1327" s="3">
        <v>17</v>
      </c>
      <c r="G1327" s="3" t="s">
        <v>128</v>
      </c>
      <c r="H1327" s="3" t="s">
        <v>128</v>
      </c>
      <c r="I1327" s="762">
        <v>532.9</v>
      </c>
      <c r="J1327" s="786">
        <v>305.75</v>
      </c>
      <c r="K1327" s="3" t="s">
        <v>2094</v>
      </c>
      <c r="L1327" s="761">
        <v>44942</v>
      </c>
      <c r="M1327" s="761" t="s">
        <v>2094</v>
      </c>
      <c r="N1327" s="761">
        <v>44942</v>
      </c>
      <c r="O1327" s="3" t="s">
        <v>62</v>
      </c>
      <c r="P1327" s="3" t="s">
        <v>4007</v>
      </c>
      <c r="Q1327" s="3" t="s">
        <v>4008</v>
      </c>
      <c r="R1327" s="825"/>
      <c r="S1327" s="3" t="s">
        <v>130</v>
      </c>
      <c r="T1327" s="825"/>
      <c r="U1327" s="816">
        <v>321.82</v>
      </c>
      <c r="V1327" s="825"/>
      <c r="W1327" s="825"/>
      <c r="X1327" s="3" t="s">
        <v>2094</v>
      </c>
      <c r="Y1327" s="761">
        <v>44943</v>
      </c>
      <c r="Z1327" s="3" t="s">
        <v>62</v>
      </c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</row>
    <row r="1328" spans="2:39">
      <c r="B1328" s="904">
        <v>1</v>
      </c>
      <c r="C1328" s="807" t="s">
        <v>3454</v>
      </c>
      <c r="D1328" s="801">
        <v>200100760</v>
      </c>
      <c r="E1328" s="1485" t="s">
        <v>4009</v>
      </c>
      <c r="F1328" s="3">
        <v>18</v>
      </c>
      <c r="G1328" s="3" t="s">
        <v>128</v>
      </c>
      <c r="H1328" s="3" t="s">
        <v>128</v>
      </c>
      <c r="I1328" s="786">
        <v>534.5</v>
      </c>
      <c r="J1328" s="786">
        <v>301.82</v>
      </c>
      <c r="K1328" s="3" t="s">
        <v>2094</v>
      </c>
      <c r="L1328" s="761">
        <v>44943</v>
      </c>
      <c r="M1328" s="761" t="s">
        <v>2094</v>
      </c>
      <c r="N1328" s="761">
        <v>44943</v>
      </c>
      <c r="O1328" s="3" t="s">
        <v>62</v>
      </c>
      <c r="P1328" s="3" t="s">
        <v>4010</v>
      </c>
      <c r="Q1328" s="3" t="s">
        <v>4011</v>
      </c>
      <c r="R1328" s="825"/>
      <c r="S1328" s="3" t="s">
        <v>130</v>
      </c>
      <c r="T1328" s="825"/>
      <c r="U1328" s="786">
        <v>317.89999999999998</v>
      </c>
      <c r="V1328" s="825"/>
      <c r="W1328" s="825"/>
      <c r="X1328" s="3" t="s">
        <v>2094</v>
      </c>
      <c r="Y1328" s="761">
        <v>44943</v>
      </c>
      <c r="Z1328" s="3" t="s">
        <v>62</v>
      </c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</row>
    <row r="1329" spans="1:39">
      <c r="B1329" s="904">
        <v>1</v>
      </c>
      <c r="C1329" s="807" t="s">
        <v>3454</v>
      </c>
      <c r="D1329" s="801">
        <v>200100761</v>
      </c>
      <c r="E1329" s="1485" t="s">
        <v>4012</v>
      </c>
      <c r="F1329" s="3">
        <v>19</v>
      </c>
      <c r="G1329" s="3" t="s">
        <v>128</v>
      </c>
      <c r="H1329" s="3" t="s">
        <v>128</v>
      </c>
      <c r="I1329" s="786">
        <v>533.5</v>
      </c>
      <c r="J1329" s="786">
        <v>305.01</v>
      </c>
      <c r="K1329" s="3" t="s">
        <v>2094</v>
      </c>
      <c r="L1329" s="761">
        <v>44943</v>
      </c>
      <c r="M1329" s="761" t="s">
        <v>2094</v>
      </c>
      <c r="N1329" s="761">
        <v>44943</v>
      </c>
      <c r="O1329" s="3" t="s">
        <v>62</v>
      </c>
      <c r="P1329" s="3" t="s">
        <v>4013</v>
      </c>
      <c r="Q1329" s="3" t="s">
        <v>4014</v>
      </c>
      <c r="R1329" s="825"/>
      <c r="S1329" s="3" t="s">
        <v>130</v>
      </c>
      <c r="T1329" s="825"/>
      <c r="U1329" s="786">
        <v>321.10000000000002</v>
      </c>
      <c r="V1329" s="825"/>
      <c r="W1329" s="825"/>
      <c r="X1329" s="3" t="s">
        <v>2094</v>
      </c>
      <c r="Y1329" s="761">
        <v>44943</v>
      </c>
      <c r="Z1329" s="3" t="s">
        <v>62</v>
      </c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</row>
    <row r="1330" spans="1:39">
      <c r="B1330" s="904">
        <v>1</v>
      </c>
      <c r="C1330" s="807" t="s">
        <v>3454</v>
      </c>
      <c r="D1330" s="801">
        <v>200100762</v>
      </c>
      <c r="E1330" s="1485" t="s">
        <v>4015</v>
      </c>
      <c r="F1330" s="3">
        <v>20</v>
      </c>
      <c r="G1330" s="1555" t="s">
        <v>4016</v>
      </c>
      <c r="H1330" s="1556"/>
      <c r="I1330" s="1556"/>
      <c r="J1330" s="1556"/>
      <c r="K1330" s="1556"/>
      <c r="L1330" s="1556"/>
      <c r="M1330" s="1556"/>
      <c r="N1330" s="1556"/>
      <c r="O1330" s="1556"/>
      <c r="P1330" s="1556"/>
      <c r="Q1330" s="1556"/>
      <c r="R1330" s="1556"/>
      <c r="S1330" s="1556"/>
      <c r="T1330" s="1556"/>
      <c r="U1330" s="1556"/>
      <c r="V1330" s="1556"/>
      <c r="W1330" s="1556"/>
      <c r="X1330" s="1556"/>
      <c r="Y1330" s="1556"/>
      <c r="Z1330" s="1557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</row>
    <row r="1331" spans="1:39">
      <c r="B1331" s="904">
        <v>1</v>
      </c>
      <c r="C1331" s="807" t="s">
        <v>3454</v>
      </c>
      <c r="D1331" s="801">
        <v>200100763</v>
      </c>
      <c r="E1331" s="1485" t="s">
        <v>4017</v>
      </c>
      <c r="F1331" s="3">
        <v>21</v>
      </c>
      <c r="G1331" s="1543"/>
      <c r="H1331" s="1544"/>
      <c r="I1331" s="1544"/>
      <c r="J1331" s="1544"/>
      <c r="K1331" s="1544"/>
      <c r="L1331" s="1544"/>
      <c r="M1331" s="1544"/>
      <c r="N1331" s="1544"/>
      <c r="O1331" s="1544"/>
      <c r="P1331" s="1544"/>
      <c r="Q1331" s="1544"/>
      <c r="R1331" s="1544"/>
      <c r="S1331" s="1544"/>
      <c r="T1331" s="1544"/>
      <c r="U1331" s="1544"/>
      <c r="V1331" s="1544"/>
      <c r="W1331" s="1544"/>
      <c r="X1331" s="1544"/>
      <c r="Y1331" s="1544"/>
      <c r="Z1331" s="1545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</row>
    <row r="1332" spans="1:39" s="707" customFormat="1">
      <c r="A1332"/>
      <c r="B1332" s="914" t="s">
        <v>13</v>
      </c>
      <c r="C1332" s="915" t="s">
        <v>1723</v>
      </c>
      <c r="D1332" s="823"/>
      <c r="E1332" s="9"/>
      <c r="F1332" s="807"/>
      <c r="G1332" s="822"/>
      <c r="H1332" s="823"/>
      <c r="I1332" s="823"/>
      <c r="J1332" s="823"/>
      <c r="K1332" s="823"/>
      <c r="L1332" s="823"/>
      <c r="M1332" s="823"/>
      <c r="N1332" s="823"/>
      <c r="O1332" s="823"/>
      <c r="P1332" s="823"/>
      <c r="Q1332" s="823"/>
      <c r="R1332" s="823"/>
      <c r="S1332" s="823"/>
      <c r="T1332" s="823"/>
      <c r="U1332" s="823"/>
      <c r="V1332" s="823"/>
      <c r="W1332" s="823"/>
      <c r="X1332" s="823"/>
      <c r="Y1332" s="823"/>
      <c r="Z1332" s="824"/>
      <c r="AA1332" s="710"/>
      <c r="AB1332" s="710"/>
      <c r="AC1332" s="710"/>
      <c r="AD1332" s="710"/>
      <c r="AE1332" s="710"/>
      <c r="AF1332" s="710"/>
      <c r="AG1332" s="710"/>
      <c r="AH1332" s="710"/>
      <c r="AI1332" s="710"/>
      <c r="AJ1332" s="710"/>
      <c r="AK1332" s="710"/>
      <c r="AL1332" s="710"/>
      <c r="AM1332" s="710"/>
    </row>
    <row r="1333" spans="1:39">
      <c r="B1333" s="904" t="s">
        <v>163</v>
      </c>
      <c r="C1333" s="807" t="s">
        <v>3454</v>
      </c>
      <c r="D1333" s="801">
        <v>200100881</v>
      </c>
      <c r="E1333" s="1485" t="s">
        <v>4018</v>
      </c>
      <c r="F1333" s="3">
        <v>1</v>
      </c>
      <c r="G1333" s="3" t="s">
        <v>60</v>
      </c>
      <c r="H1333" s="3" t="s">
        <v>128</v>
      </c>
      <c r="I1333" s="786">
        <v>529</v>
      </c>
      <c r="J1333" s="786">
        <v>299.49</v>
      </c>
      <c r="K1333" s="3" t="s">
        <v>2094</v>
      </c>
      <c r="L1333" s="761">
        <v>44949</v>
      </c>
      <c r="M1333" s="761" t="s">
        <v>2094</v>
      </c>
      <c r="N1333" s="761">
        <v>44949</v>
      </c>
      <c r="O1333" s="3" t="s">
        <v>62</v>
      </c>
      <c r="P1333" s="3" t="s">
        <v>4019</v>
      </c>
      <c r="Q1333" s="3" t="s">
        <v>4020</v>
      </c>
      <c r="R1333" s="825"/>
      <c r="S1333" s="3" t="s">
        <v>130</v>
      </c>
      <c r="T1333" s="825"/>
      <c r="U1333" s="786">
        <v>315.5</v>
      </c>
      <c r="V1333" s="825"/>
      <c r="W1333" s="825"/>
      <c r="X1333" s="3" t="s">
        <v>2094</v>
      </c>
      <c r="Y1333" s="761">
        <v>44949</v>
      </c>
      <c r="Z1333" s="3" t="s">
        <v>62</v>
      </c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</row>
    <row r="1334" spans="1:39">
      <c r="B1334" s="904" t="s">
        <v>163</v>
      </c>
      <c r="C1334" s="807" t="s">
        <v>3454</v>
      </c>
      <c r="D1334" s="801">
        <v>200100882</v>
      </c>
      <c r="E1334" s="1485" t="s">
        <v>4021</v>
      </c>
      <c r="F1334" s="3">
        <v>2</v>
      </c>
      <c r="G1334" s="3" t="s">
        <v>60</v>
      </c>
      <c r="H1334" s="3" t="s">
        <v>128</v>
      </c>
      <c r="I1334" s="786">
        <v>531.6</v>
      </c>
      <c r="J1334" s="859">
        <v>302.27999999999997</v>
      </c>
      <c r="K1334" s="3" t="s">
        <v>2094</v>
      </c>
      <c r="L1334" s="761">
        <v>44949</v>
      </c>
      <c r="M1334" s="761" t="s">
        <v>2094</v>
      </c>
      <c r="N1334" s="761">
        <v>44949</v>
      </c>
      <c r="O1334" s="3" t="s">
        <v>62</v>
      </c>
      <c r="P1334" s="3" t="s">
        <v>4022</v>
      </c>
      <c r="Q1334" s="3" t="s">
        <v>3799</v>
      </c>
      <c r="R1334" s="825"/>
      <c r="S1334" s="3" t="s">
        <v>130</v>
      </c>
      <c r="T1334" s="825"/>
      <c r="U1334" s="786">
        <v>318.39999999999998</v>
      </c>
      <c r="V1334" s="825"/>
      <c r="W1334" s="825"/>
      <c r="X1334" s="3" t="s">
        <v>2094</v>
      </c>
      <c r="Y1334" s="761">
        <v>44949</v>
      </c>
      <c r="Z1334" s="3" t="s">
        <v>62</v>
      </c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</row>
    <row r="1335" spans="1:39">
      <c r="B1335" s="904" t="s">
        <v>163</v>
      </c>
      <c r="C1335" s="807" t="s">
        <v>3454</v>
      </c>
      <c r="D1335" s="801">
        <v>200100883</v>
      </c>
      <c r="E1335" s="1485" t="s">
        <v>4023</v>
      </c>
      <c r="F1335" s="3">
        <v>3</v>
      </c>
      <c r="G1335" s="3" t="s">
        <v>60</v>
      </c>
      <c r="H1335" s="3" t="s">
        <v>128</v>
      </c>
      <c r="I1335" s="786">
        <v>534.5</v>
      </c>
      <c r="J1335" s="786">
        <v>299.89999999999998</v>
      </c>
      <c r="K1335" s="3" t="s">
        <v>2094</v>
      </c>
      <c r="L1335" s="761">
        <v>44950</v>
      </c>
      <c r="M1335" s="761" t="s">
        <v>2094</v>
      </c>
      <c r="N1335" s="761">
        <v>44951</v>
      </c>
      <c r="O1335" s="3" t="s">
        <v>62</v>
      </c>
      <c r="P1335" s="3" t="s">
        <v>4024</v>
      </c>
      <c r="Q1335" s="3" t="s">
        <v>4025</v>
      </c>
      <c r="R1335" s="825"/>
      <c r="S1335" s="3" t="s">
        <v>130</v>
      </c>
      <c r="T1335" s="825"/>
      <c r="U1335" s="786">
        <v>315.8</v>
      </c>
      <c r="V1335" s="825"/>
      <c r="W1335" s="825"/>
      <c r="X1335" s="3" t="s">
        <v>2094</v>
      </c>
      <c r="Y1335" s="761">
        <v>44951</v>
      </c>
      <c r="Z1335" s="3" t="s">
        <v>62</v>
      </c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</row>
    <row r="1336" spans="1:39">
      <c r="B1336" s="904" t="s">
        <v>163</v>
      </c>
      <c r="C1336" s="807" t="s">
        <v>3454</v>
      </c>
      <c r="D1336" s="801">
        <v>200100884</v>
      </c>
      <c r="E1336" s="1485" t="s">
        <v>4026</v>
      </c>
      <c r="F1336" s="3">
        <v>4</v>
      </c>
      <c r="G1336" s="3" t="s">
        <v>60</v>
      </c>
      <c r="H1336" s="3" t="s">
        <v>128</v>
      </c>
      <c r="I1336" s="786">
        <v>531</v>
      </c>
      <c r="J1336" s="786">
        <v>306.54000000000002</v>
      </c>
      <c r="K1336" s="3" t="s">
        <v>2094</v>
      </c>
      <c r="L1336" s="761">
        <v>44950</v>
      </c>
      <c r="M1336" s="761" t="s">
        <v>2094</v>
      </c>
      <c r="N1336" s="761">
        <v>44951</v>
      </c>
      <c r="O1336" s="3" t="s">
        <v>62</v>
      </c>
      <c r="P1336" s="3" t="s">
        <v>4027</v>
      </c>
      <c r="Q1336" s="3" t="s">
        <v>4028</v>
      </c>
      <c r="R1336" s="825"/>
      <c r="S1336" s="3" t="s">
        <v>130</v>
      </c>
      <c r="T1336" s="825"/>
      <c r="U1336" s="786">
        <v>322.2</v>
      </c>
      <c r="V1336" s="825"/>
      <c r="W1336" s="825"/>
      <c r="X1336" s="3" t="s">
        <v>2094</v>
      </c>
      <c r="Y1336" s="761">
        <v>44951</v>
      </c>
      <c r="Z1336" s="3" t="s">
        <v>62</v>
      </c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</row>
    <row r="1337" spans="1:39">
      <c r="B1337" s="904" t="s">
        <v>163</v>
      </c>
      <c r="C1337" s="807" t="s">
        <v>3454</v>
      </c>
      <c r="D1337" s="801">
        <v>200100885</v>
      </c>
      <c r="E1337" s="1485" t="s">
        <v>4029</v>
      </c>
      <c r="F1337" s="3">
        <v>5</v>
      </c>
      <c r="G1337" s="3" t="s">
        <v>60</v>
      </c>
      <c r="H1337" s="3" t="s">
        <v>128</v>
      </c>
      <c r="I1337" s="786">
        <v>534.9</v>
      </c>
      <c r="J1337" s="786">
        <v>296.37</v>
      </c>
      <c r="K1337" s="3" t="s">
        <v>2094</v>
      </c>
      <c r="L1337" s="761">
        <v>44950</v>
      </c>
      <c r="M1337" s="761" t="s">
        <v>2094</v>
      </c>
      <c r="N1337" s="761">
        <v>44953</v>
      </c>
      <c r="O1337" s="3" t="s">
        <v>62</v>
      </c>
      <c r="P1337" s="3" t="s">
        <v>4030</v>
      </c>
      <c r="Q1337" s="3" t="s">
        <v>4031</v>
      </c>
      <c r="R1337" s="825"/>
      <c r="S1337" s="3" t="s">
        <v>130</v>
      </c>
      <c r="T1337" s="825"/>
      <c r="U1337" s="786">
        <v>312.5</v>
      </c>
      <c r="V1337" s="825"/>
      <c r="W1337" s="825"/>
      <c r="X1337" s="3" t="s">
        <v>2094</v>
      </c>
      <c r="Y1337" s="761">
        <v>44953</v>
      </c>
      <c r="Z1337" s="3" t="s">
        <v>62</v>
      </c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</row>
    <row r="1338" spans="1:39">
      <c r="B1338" s="904" t="s">
        <v>163</v>
      </c>
      <c r="C1338" s="807" t="s">
        <v>3454</v>
      </c>
      <c r="D1338" s="801">
        <v>200100886</v>
      </c>
      <c r="E1338" s="1485" t="s">
        <v>4032</v>
      </c>
      <c r="F1338" s="3">
        <v>6</v>
      </c>
      <c r="G1338" s="3" t="s">
        <v>60</v>
      </c>
      <c r="H1338" s="3" t="s">
        <v>128</v>
      </c>
      <c r="I1338" s="786">
        <v>542.6</v>
      </c>
      <c r="J1338" s="786">
        <v>305.61</v>
      </c>
      <c r="K1338" s="3" t="s">
        <v>2094</v>
      </c>
      <c r="L1338" s="761">
        <v>44950</v>
      </c>
      <c r="M1338" s="761" t="s">
        <v>2094</v>
      </c>
      <c r="N1338" s="761">
        <v>44953</v>
      </c>
      <c r="O1338" s="3" t="s">
        <v>62</v>
      </c>
      <c r="P1338" s="3" t="s">
        <v>4033</v>
      </c>
      <c r="Q1338" s="3" t="s">
        <v>4034</v>
      </c>
      <c r="R1338" s="825"/>
      <c r="S1338" s="3" t="s">
        <v>130</v>
      </c>
      <c r="T1338" s="825"/>
      <c r="U1338" s="786">
        <v>321.7</v>
      </c>
      <c r="V1338" s="825"/>
      <c r="W1338" s="825"/>
      <c r="X1338" s="3" t="s">
        <v>2094</v>
      </c>
      <c r="Y1338" s="761">
        <v>44953</v>
      </c>
      <c r="Z1338" s="3" t="s">
        <v>62</v>
      </c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</row>
    <row r="1339" spans="1:39">
      <c r="B1339" s="904" t="s">
        <v>163</v>
      </c>
      <c r="C1339" s="807" t="s">
        <v>3454</v>
      </c>
      <c r="D1339" s="801">
        <v>200100887</v>
      </c>
      <c r="E1339" s="1485" t="s">
        <v>4035</v>
      </c>
      <c r="F1339" s="3">
        <v>7</v>
      </c>
      <c r="G1339" s="3" t="s">
        <v>60</v>
      </c>
      <c r="H1339" s="3" t="s">
        <v>128</v>
      </c>
      <c r="I1339" s="786">
        <v>531.6</v>
      </c>
      <c r="J1339" s="786">
        <v>299.56</v>
      </c>
      <c r="K1339" s="3" t="s">
        <v>2094</v>
      </c>
      <c r="L1339" s="761">
        <v>44956</v>
      </c>
      <c r="M1339" s="761" t="s">
        <v>2094</v>
      </c>
      <c r="N1339" s="761">
        <v>44956</v>
      </c>
      <c r="O1339" s="3" t="s">
        <v>62</v>
      </c>
      <c r="P1339" s="3" t="s">
        <v>4036</v>
      </c>
      <c r="Q1339" s="3" t="s">
        <v>4037</v>
      </c>
      <c r="R1339" s="825"/>
      <c r="S1339" s="3" t="s">
        <v>130</v>
      </c>
      <c r="T1339" s="825"/>
      <c r="U1339" s="786">
        <v>315.60000000000002</v>
      </c>
      <c r="V1339" s="825"/>
      <c r="W1339" s="825"/>
      <c r="X1339" s="3" t="s">
        <v>2094</v>
      </c>
      <c r="Y1339" s="761">
        <v>44956</v>
      </c>
      <c r="Z1339" s="3" t="s">
        <v>62</v>
      </c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</row>
    <row r="1340" spans="1:39">
      <c r="B1340" s="904" t="s">
        <v>163</v>
      </c>
      <c r="C1340" s="807" t="s">
        <v>3454</v>
      </c>
      <c r="D1340" s="801">
        <v>200100888</v>
      </c>
      <c r="E1340" s="1485" t="s">
        <v>4038</v>
      </c>
      <c r="F1340" s="3">
        <v>8</v>
      </c>
      <c r="G1340" s="3" t="s">
        <v>60</v>
      </c>
      <c r="H1340" s="3" t="s">
        <v>128</v>
      </c>
      <c r="I1340" s="786">
        <v>539.5</v>
      </c>
      <c r="J1340" s="786">
        <v>306.68</v>
      </c>
      <c r="K1340" s="3" t="s">
        <v>2094</v>
      </c>
      <c r="L1340" s="761">
        <v>44956</v>
      </c>
      <c r="M1340" s="761" t="s">
        <v>2094</v>
      </c>
      <c r="N1340" s="761">
        <v>44956</v>
      </c>
      <c r="O1340" s="3" t="s">
        <v>62</v>
      </c>
      <c r="P1340" s="3" t="s">
        <v>4039</v>
      </c>
      <c r="Q1340" s="3" t="s">
        <v>4040</v>
      </c>
      <c r="R1340" s="825"/>
      <c r="S1340" s="3" t="s">
        <v>130</v>
      </c>
      <c r="T1340" s="825"/>
      <c r="U1340" s="786">
        <v>322.2</v>
      </c>
      <c r="V1340" s="825"/>
      <c r="W1340" s="825"/>
      <c r="X1340" s="3" t="s">
        <v>2094</v>
      </c>
      <c r="Y1340" s="761">
        <v>44956</v>
      </c>
      <c r="Z1340" s="3" t="s">
        <v>62</v>
      </c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</row>
    <row r="1341" spans="1:39">
      <c r="B1341" s="904" t="s">
        <v>163</v>
      </c>
      <c r="C1341" s="807" t="s">
        <v>3454</v>
      </c>
      <c r="D1341" s="3">
        <v>200101026</v>
      </c>
      <c r="E1341" s="1469" t="s">
        <v>4041</v>
      </c>
      <c r="F1341" s="3">
        <v>9</v>
      </c>
      <c r="G1341" s="3" t="s">
        <v>60</v>
      </c>
      <c r="H1341" s="3" t="s">
        <v>128</v>
      </c>
      <c r="I1341" s="786">
        <v>530.79999999999995</v>
      </c>
      <c r="J1341" s="786">
        <v>296.93</v>
      </c>
      <c r="K1341" s="761" t="s">
        <v>2125</v>
      </c>
      <c r="L1341" s="761">
        <v>44964</v>
      </c>
      <c r="M1341" s="761" t="s">
        <v>2125</v>
      </c>
      <c r="N1341" s="761">
        <v>44964</v>
      </c>
      <c r="O1341" s="3" t="s">
        <v>62</v>
      </c>
      <c r="P1341" s="3" t="s">
        <v>4042</v>
      </c>
      <c r="Q1341" s="3" t="s">
        <v>4043</v>
      </c>
      <c r="R1341" s="825"/>
      <c r="S1341" s="3" t="s">
        <v>130</v>
      </c>
      <c r="T1341" s="825"/>
      <c r="U1341" s="786">
        <v>313.2</v>
      </c>
      <c r="V1341" s="825"/>
      <c r="W1341" s="825"/>
      <c r="X1341" s="3" t="s">
        <v>2125</v>
      </c>
      <c r="Y1341" s="761">
        <v>44964</v>
      </c>
      <c r="Z1341" s="3" t="s">
        <v>62</v>
      </c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</row>
    <row r="1342" spans="1:39">
      <c r="B1342" s="904" t="s">
        <v>163</v>
      </c>
      <c r="C1342" s="807" t="s">
        <v>3454</v>
      </c>
      <c r="D1342" s="3">
        <v>200101027</v>
      </c>
      <c r="E1342" s="1469" t="s">
        <v>4044</v>
      </c>
      <c r="F1342" s="3">
        <v>10</v>
      </c>
      <c r="G1342" s="3" t="s">
        <v>60</v>
      </c>
      <c r="H1342" s="3" t="s">
        <v>128</v>
      </c>
      <c r="I1342" s="786">
        <v>528.20000000000005</v>
      </c>
      <c r="J1342" s="786">
        <v>305.77999999999997</v>
      </c>
      <c r="K1342" s="761" t="s">
        <v>2125</v>
      </c>
      <c r="L1342" s="761">
        <v>44964</v>
      </c>
      <c r="M1342" s="761" t="s">
        <v>2125</v>
      </c>
      <c r="N1342" s="761">
        <v>44964</v>
      </c>
      <c r="O1342" s="3" t="s">
        <v>62</v>
      </c>
      <c r="P1342" s="3" t="s">
        <v>4045</v>
      </c>
      <c r="Q1342" s="3" t="s">
        <v>4043</v>
      </c>
      <c r="R1342" s="825"/>
      <c r="S1342" s="3" t="s">
        <v>130</v>
      </c>
      <c r="T1342" s="825"/>
      <c r="U1342" s="786">
        <v>312.8</v>
      </c>
      <c r="V1342" s="825"/>
      <c r="W1342" s="825"/>
      <c r="X1342" s="3" t="s">
        <v>2125</v>
      </c>
      <c r="Y1342" s="761">
        <v>44964</v>
      </c>
      <c r="Z1342" s="3" t="s">
        <v>62</v>
      </c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</row>
    <row r="1343" spans="1:39">
      <c r="B1343" s="904" t="s">
        <v>163</v>
      </c>
      <c r="C1343" s="807" t="s">
        <v>3454</v>
      </c>
      <c r="D1343" s="3">
        <v>200101028</v>
      </c>
      <c r="E1343" s="1469" t="s">
        <v>4046</v>
      </c>
      <c r="F1343" s="3">
        <v>11</v>
      </c>
      <c r="G1343" s="3" t="s">
        <v>60</v>
      </c>
      <c r="H1343" s="3" t="s">
        <v>128</v>
      </c>
      <c r="I1343" s="786">
        <v>534.4</v>
      </c>
      <c r="J1343" s="786">
        <v>301.20999999999998</v>
      </c>
      <c r="K1343" s="3" t="s">
        <v>2125</v>
      </c>
      <c r="L1343" s="761">
        <v>44965</v>
      </c>
      <c r="M1343" s="3" t="s">
        <v>2125</v>
      </c>
      <c r="N1343" s="761">
        <v>44965</v>
      </c>
      <c r="O1343" s="3" t="s">
        <v>62</v>
      </c>
      <c r="P1343" s="3" t="s">
        <v>4047</v>
      </c>
      <c r="Q1343" s="3" t="s">
        <v>4048</v>
      </c>
      <c r="R1343" s="825"/>
      <c r="S1343" s="3" t="s">
        <v>130</v>
      </c>
      <c r="T1343" s="825"/>
      <c r="U1343" s="786">
        <v>317.39999999999998</v>
      </c>
      <c r="V1343" s="825"/>
      <c r="W1343" s="825"/>
      <c r="X1343" s="3" t="s">
        <v>2125</v>
      </c>
      <c r="Y1343" s="761">
        <v>44965</v>
      </c>
      <c r="Z1343" s="3" t="s">
        <v>62</v>
      </c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</row>
    <row r="1344" spans="1:39">
      <c r="B1344" s="904" t="s">
        <v>163</v>
      </c>
      <c r="C1344" s="807" t="s">
        <v>3454</v>
      </c>
      <c r="D1344" s="3">
        <v>200101029</v>
      </c>
      <c r="E1344" s="1469" t="s">
        <v>4049</v>
      </c>
      <c r="F1344" s="3">
        <v>12</v>
      </c>
      <c r="G1344" s="3" t="s">
        <v>60</v>
      </c>
      <c r="H1344" s="3" t="s">
        <v>128</v>
      </c>
      <c r="I1344" s="786">
        <v>536.5</v>
      </c>
      <c r="J1344" s="786">
        <v>305.91000000000003</v>
      </c>
      <c r="K1344" s="3" t="s">
        <v>2125</v>
      </c>
      <c r="L1344" s="761">
        <v>44966</v>
      </c>
      <c r="M1344" s="3" t="s">
        <v>2125</v>
      </c>
      <c r="N1344" s="761">
        <v>44965</v>
      </c>
      <c r="O1344" s="3" t="s">
        <v>62</v>
      </c>
      <c r="P1344" s="3" t="s">
        <v>4050</v>
      </c>
      <c r="Q1344" s="3" t="s">
        <v>4051</v>
      </c>
      <c r="R1344" s="825"/>
      <c r="S1344" s="3" t="s">
        <v>130</v>
      </c>
      <c r="T1344" s="825"/>
      <c r="U1344" s="786">
        <v>321.89999999999998</v>
      </c>
      <c r="V1344" s="825"/>
      <c r="W1344" s="825"/>
      <c r="X1344" s="3" t="s">
        <v>2125</v>
      </c>
      <c r="Y1344" s="761">
        <v>44966</v>
      </c>
      <c r="Z1344" s="3" t="s">
        <v>62</v>
      </c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</row>
    <row r="1345" spans="1:39">
      <c r="B1345" s="904" t="s">
        <v>163</v>
      </c>
      <c r="C1345" s="807" t="s">
        <v>3454</v>
      </c>
      <c r="D1345" s="3">
        <v>200101030</v>
      </c>
      <c r="E1345" s="1469" t="s">
        <v>4052</v>
      </c>
      <c r="F1345" s="3">
        <v>13</v>
      </c>
      <c r="G1345" s="3" t="s">
        <v>60</v>
      </c>
      <c r="H1345" s="3" t="s">
        <v>128</v>
      </c>
      <c r="I1345" s="786">
        <v>542.20000000000005</v>
      </c>
      <c r="J1345" s="786">
        <v>303.05</v>
      </c>
      <c r="K1345" s="3" t="s">
        <v>2125</v>
      </c>
      <c r="L1345" s="761">
        <v>44966</v>
      </c>
      <c r="M1345" s="761" t="s">
        <v>2125</v>
      </c>
      <c r="N1345" s="761">
        <v>44966</v>
      </c>
      <c r="O1345" s="3" t="s">
        <v>62</v>
      </c>
      <c r="P1345" s="3" t="s">
        <v>4053</v>
      </c>
      <c r="Q1345" s="3" t="s">
        <v>4054</v>
      </c>
      <c r="R1345" s="825"/>
      <c r="S1345" s="3" t="s">
        <v>130</v>
      </c>
      <c r="T1345" s="825"/>
      <c r="U1345" s="786">
        <f>319</f>
        <v>319</v>
      </c>
      <c r="V1345" s="825"/>
      <c r="W1345" s="825"/>
      <c r="X1345" s="3" t="s">
        <v>2125</v>
      </c>
      <c r="Y1345" s="761">
        <v>44966</v>
      </c>
      <c r="Z1345" s="3" t="s">
        <v>62</v>
      </c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</row>
    <row r="1346" spans="1:39">
      <c r="B1346" s="904" t="s">
        <v>163</v>
      </c>
      <c r="C1346" s="807" t="s">
        <v>3454</v>
      </c>
      <c r="D1346" s="3">
        <v>200101031</v>
      </c>
      <c r="E1346" s="1469" t="s">
        <v>4055</v>
      </c>
      <c r="F1346" s="3">
        <v>14</v>
      </c>
      <c r="G1346" s="3" t="s">
        <v>60</v>
      </c>
      <c r="H1346" s="3" t="s">
        <v>128</v>
      </c>
      <c r="I1346" s="786">
        <v>537.4</v>
      </c>
      <c r="J1346" s="786">
        <v>308.3</v>
      </c>
      <c r="K1346" s="3" t="s">
        <v>2125</v>
      </c>
      <c r="L1346" s="761">
        <v>44967</v>
      </c>
      <c r="M1346" s="761" t="s">
        <v>2125</v>
      </c>
      <c r="N1346" s="761">
        <v>44966</v>
      </c>
      <c r="O1346" s="3" t="s">
        <v>62</v>
      </c>
      <c r="P1346" s="3" t="s">
        <v>4056</v>
      </c>
      <c r="Q1346" s="3" t="s">
        <v>4057</v>
      </c>
      <c r="R1346" s="825"/>
      <c r="S1346" s="3" t="s">
        <v>130</v>
      </c>
      <c r="T1346" s="825"/>
      <c r="U1346" s="786">
        <v>324.2</v>
      </c>
      <c r="V1346" s="825"/>
      <c r="W1346" s="825"/>
      <c r="X1346" s="3" t="s">
        <v>2125</v>
      </c>
      <c r="Y1346" s="761">
        <v>44966</v>
      </c>
      <c r="Z1346" s="3" t="s">
        <v>62</v>
      </c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</row>
    <row r="1347" spans="1:39">
      <c r="B1347" s="904" t="s">
        <v>163</v>
      </c>
      <c r="C1347" s="807" t="s">
        <v>3454</v>
      </c>
      <c r="D1347" s="3">
        <v>200101032</v>
      </c>
      <c r="E1347" s="1469" t="s">
        <v>4058</v>
      </c>
      <c r="F1347" s="3">
        <v>15</v>
      </c>
      <c r="G1347" s="3" t="s">
        <v>60</v>
      </c>
      <c r="H1347" s="3" t="s">
        <v>128</v>
      </c>
      <c r="I1347" s="786">
        <v>536.29999999999995</v>
      </c>
      <c r="J1347" s="786">
        <v>302.8</v>
      </c>
      <c r="K1347" s="3" t="s">
        <v>2125</v>
      </c>
      <c r="L1347" s="761">
        <v>44970</v>
      </c>
      <c r="M1347" s="761" t="s">
        <v>2125</v>
      </c>
      <c r="N1347" s="761">
        <v>44970</v>
      </c>
      <c r="O1347" s="3" t="s">
        <v>62</v>
      </c>
      <c r="P1347" s="3" t="s">
        <v>4059</v>
      </c>
      <c r="Q1347" s="3" t="s">
        <v>4060</v>
      </c>
      <c r="R1347" s="825"/>
      <c r="S1347" s="3" t="s">
        <v>130</v>
      </c>
      <c r="T1347" s="825"/>
      <c r="U1347" s="786">
        <v>318.3</v>
      </c>
      <c r="V1347" s="825"/>
      <c r="W1347" s="825"/>
      <c r="X1347" s="3" t="s">
        <v>2125</v>
      </c>
      <c r="Y1347" s="761">
        <v>44971</v>
      </c>
      <c r="Z1347" s="3" t="s">
        <v>62</v>
      </c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</row>
    <row r="1348" spans="1:39">
      <c r="B1348" s="904" t="s">
        <v>163</v>
      </c>
      <c r="C1348" s="807" t="s">
        <v>3454</v>
      </c>
      <c r="D1348" s="3">
        <v>200101103</v>
      </c>
      <c r="E1348" s="1469" t="s">
        <v>4061</v>
      </c>
      <c r="F1348" s="3">
        <v>16</v>
      </c>
      <c r="G1348" s="3" t="s">
        <v>60</v>
      </c>
      <c r="H1348" s="3" t="s">
        <v>128</v>
      </c>
      <c r="I1348" s="786">
        <v>537</v>
      </c>
      <c r="J1348" s="786">
        <v>300.98</v>
      </c>
      <c r="K1348" s="3" t="s">
        <v>2125</v>
      </c>
      <c r="L1348" s="761">
        <v>44972</v>
      </c>
      <c r="M1348" s="761" t="s">
        <v>2125</v>
      </c>
      <c r="N1348" s="761">
        <v>44971</v>
      </c>
      <c r="O1348" s="3" t="s">
        <v>62</v>
      </c>
      <c r="P1348" s="3" t="s">
        <v>4062</v>
      </c>
      <c r="Q1348" s="3" t="s">
        <v>4063</v>
      </c>
      <c r="R1348" s="825"/>
      <c r="S1348" s="3" t="s">
        <v>130</v>
      </c>
      <c r="T1348" s="825"/>
      <c r="U1348" s="786">
        <f>316.5</f>
        <v>316.5</v>
      </c>
      <c r="V1348" s="825"/>
      <c r="W1348" s="825"/>
      <c r="X1348" s="3" t="s">
        <v>2125</v>
      </c>
      <c r="Y1348" s="761">
        <v>44972</v>
      </c>
      <c r="Z1348" s="3" t="s">
        <v>62</v>
      </c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</row>
    <row r="1349" spans="1:39">
      <c r="B1349" s="904" t="s">
        <v>163</v>
      </c>
      <c r="C1349" s="807" t="s">
        <v>3454</v>
      </c>
      <c r="D1349" s="3">
        <v>200101104</v>
      </c>
      <c r="E1349" s="1469" t="s">
        <v>4064</v>
      </c>
      <c r="F1349" s="3">
        <v>17</v>
      </c>
      <c r="G1349" s="3" t="s">
        <v>60</v>
      </c>
      <c r="H1349" s="3" t="s">
        <v>128</v>
      </c>
      <c r="I1349" s="786">
        <v>537</v>
      </c>
      <c r="J1349" s="786">
        <v>307.8</v>
      </c>
      <c r="K1349" s="3" t="s">
        <v>2125</v>
      </c>
      <c r="L1349" s="761">
        <v>44972</v>
      </c>
      <c r="M1349" s="761" t="s">
        <v>2125</v>
      </c>
      <c r="N1349" s="761">
        <v>44971</v>
      </c>
      <c r="O1349" s="3" t="s">
        <v>62</v>
      </c>
      <c r="P1349" s="3" t="s">
        <v>4065</v>
      </c>
      <c r="Q1349" s="3" t="s">
        <v>4066</v>
      </c>
      <c r="R1349" s="825"/>
      <c r="S1349" s="3" t="s">
        <v>130</v>
      </c>
      <c r="T1349" s="825"/>
      <c r="U1349" s="786">
        <v>323.5</v>
      </c>
      <c r="V1349" s="825"/>
      <c r="W1349" s="825"/>
      <c r="X1349" s="3" t="s">
        <v>2125</v>
      </c>
      <c r="Y1349" s="761">
        <v>44973</v>
      </c>
      <c r="Z1349" s="3" t="s">
        <v>62</v>
      </c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</row>
    <row r="1350" spans="1:39" s="707" customFormat="1">
      <c r="A1350"/>
      <c r="B1350" s="914" t="s">
        <v>13</v>
      </c>
      <c r="C1350" s="915" t="s">
        <v>1716</v>
      </c>
      <c r="D1350" s="807"/>
      <c r="E1350" s="807"/>
      <c r="F1350" s="807"/>
      <c r="G1350" s="807"/>
      <c r="H1350" s="807"/>
      <c r="I1350" s="820"/>
      <c r="J1350" s="820"/>
      <c r="K1350" s="807"/>
      <c r="L1350" s="819"/>
      <c r="M1350" s="819"/>
      <c r="N1350" s="819"/>
      <c r="O1350" s="807"/>
      <c r="P1350" s="807"/>
      <c r="Q1350" s="807"/>
      <c r="R1350" s="807"/>
      <c r="S1350" s="807"/>
      <c r="T1350" s="807"/>
      <c r="U1350" s="820"/>
      <c r="V1350" s="807"/>
      <c r="W1350" s="807"/>
      <c r="X1350" s="807"/>
      <c r="Y1350" s="819"/>
      <c r="Z1350" s="807"/>
      <c r="AA1350" s="710"/>
      <c r="AB1350" s="710"/>
      <c r="AC1350" s="710"/>
      <c r="AD1350" s="710"/>
      <c r="AE1350" s="710"/>
      <c r="AF1350" s="710"/>
      <c r="AG1350" s="710"/>
      <c r="AH1350" s="710"/>
      <c r="AI1350" s="710"/>
      <c r="AJ1350" s="710"/>
      <c r="AK1350" s="710"/>
      <c r="AL1350" s="710"/>
      <c r="AM1350" s="710"/>
    </row>
    <row r="1351" spans="1:39">
      <c r="B1351" s="904">
        <v>3</v>
      </c>
      <c r="C1351" s="807" t="s">
        <v>3454</v>
      </c>
      <c r="D1351" s="3">
        <v>200101224</v>
      </c>
      <c r="E1351" s="1469" t="s">
        <v>4067</v>
      </c>
      <c r="F1351" s="3">
        <v>1</v>
      </c>
      <c r="G1351" s="3" t="s">
        <v>60</v>
      </c>
      <c r="H1351" s="3" t="s">
        <v>128</v>
      </c>
      <c r="I1351" s="786">
        <v>531.5</v>
      </c>
      <c r="J1351" s="786">
        <v>300.52999999999997</v>
      </c>
      <c r="K1351" s="3" t="s">
        <v>2125</v>
      </c>
      <c r="L1351" s="761">
        <v>44980</v>
      </c>
      <c r="M1351" s="761" t="s">
        <v>2125</v>
      </c>
      <c r="N1351" s="761">
        <v>44980</v>
      </c>
      <c r="O1351" s="3" t="s">
        <v>62</v>
      </c>
      <c r="P1351" s="3" t="s">
        <v>4068</v>
      </c>
      <c r="Q1351" s="3" t="s">
        <v>4069</v>
      </c>
      <c r="R1351" s="825"/>
      <c r="S1351" s="3" t="s">
        <v>1547</v>
      </c>
      <c r="T1351" s="825"/>
      <c r="U1351" s="786">
        <v>316.89999999999998</v>
      </c>
      <c r="V1351" s="825"/>
      <c r="W1351" s="825"/>
      <c r="X1351" s="3" t="s">
        <v>2125</v>
      </c>
      <c r="Y1351" s="761">
        <v>44980</v>
      </c>
      <c r="Z1351" s="3" t="s">
        <v>62</v>
      </c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</row>
    <row r="1352" spans="1:39">
      <c r="B1352" s="904">
        <v>3</v>
      </c>
      <c r="C1352" s="807" t="s">
        <v>3454</v>
      </c>
      <c r="D1352" s="3">
        <v>200101225</v>
      </c>
      <c r="E1352" s="1469" t="s">
        <v>4070</v>
      </c>
      <c r="F1352" s="3">
        <v>2</v>
      </c>
      <c r="G1352" s="3" t="s">
        <v>1041</v>
      </c>
      <c r="H1352" s="3" t="s">
        <v>128</v>
      </c>
      <c r="I1352" s="786">
        <f>131.7+137+138.4+127.4</f>
        <v>534.5</v>
      </c>
      <c r="J1352" s="786">
        <v>304.44</v>
      </c>
      <c r="K1352" s="3" t="s">
        <v>2125</v>
      </c>
      <c r="L1352" s="761">
        <v>44981</v>
      </c>
      <c r="M1352" s="761" t="s">
        <v>2125</v>
      </c>
      <c r="N1352" s="761">
        <v>44980</v>
      </c>
      <c r="O1352" s="3" t="s">
        <v>62</v>
      </c>
      <c r="P1352" s="3" t="s">
        <v>4071</v>
      </c>
      <c r="Q1352" s="3" t="s">
        <v>4072</v>
      </c>
      <c r="R1352" s="825"/>
      <c r="S1352" s="3" t="s">
        <v>1547</v>
      </c>
      <c r="T1352" s="825"/>
      <c r="U1352" s="786">
        <v>320.8</v>
      </c>
      <c r="V1352" s="825"/>
      <c r="W1352" s="825"/>
      <c r="X1352" s="3" t="s">
        <v>2125</v>
      </c>
      <c r="Y1352" s="761">
        <v>44984</v>
      </c>
      <c r="Z1352" s="3" t="s">
        <v>62</v>
      </c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</row>
    <row r="1353" spans="1:39">
      <c r="B1353" s="904">
        <v>3</v>
      </c>
      <c r="C1353" s="807" t="s">
        <v>3454</v>
      </c>
      <c r="D1353" s="3">
        <v>200101226</v>
      </c>
      <c r="E1353" s="1469" t="s">
        <v>4073</v>
      </c>
      <c r="F1353" s="3">
        <v>3</v>
      </c>
      <c r="G1353" s="3" t="s">
        <v>1726</v>
      </c>
      <c r="H1353" s="3" t="s">
        <v>1726</v>
      </c>
      <c r="I1353" s="786">
        <v>535.51</v>
      </c>
      <c r="J1353" s="786">
        <v>299.89</v>
      </c>
      <c r="K1353" s="3" t="s">
        <v>2125</v>
      </c>
      <c r="L1353" s="761">
        <v>44981</v>
      </c>
      <c r="M1353" s="761" t="s">
        <v>2125</v>
      </c>
      <c r="N1353" s="761">
        <v>44984</v>
      </c>
      <c r="O1353" s="3" t="s">
        <v>62</v>
      </c>
      <c r="P1353" s="3" t="s">
        <v>4074</v>
      </c>
      <c r="Q1353" s="3" t="s">
        <v>4075</v>
      </c>
      <c r="R1353" s="825"/>
      <c r="S1353" s="3" t="s">
        <v>1547</v>
      </c>
      <c r="T1353" s="825"/>
      <c r="U1353" s="786">
        <f>316</f>
        <v>316</v>
      </c>
      <c r="V1353" s="825"/>
      <c r="W1353" s="825"/>
      <c r="X1353" s="3" t="s">
        <v>2125</v>
      </c>
      <c r="Y1353" s="761">
        <v>44984</v>
      </c>
      <c r="Z1353" s="3" t="s">
        <v>62</v>
      </c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</row>
    <row r="1354" spans="1:39">
      <c r="B1354" s="904">
        <v>3</v>
      </c>
      <c r="C1354" s="807" t="s">
        <v>3454</v>
      </c>
      <c r="D1354" s="3">
        <v>200101227</v>
      </c>
      <c r="E1354" s="1469" t="s">
        <v>4076</v>
      </c>
      <c r="F1354" s="3">
        <v>4</v>
      </c>
      <c r="G1354" s="3" t="s">
        <v>60</v>
      </c>
      <c r="H1354" s="3" t="s">
        <v>1726</v>
      </c>
      <c r="I1354" s="786">
        <v>530.6</v>
      </c>
      <c r="J1354" s="786">
        <v>306.25</v>
      </c>
      <c r="K1354" s="3" t="s">
        <v>2125</v>
      </c>
      <c r="L1354" s="761">
        <v>44984</v>
      </c>
      <c r="M1354" s="761" t="s">
        <v>2125</v>
      </c>
      <c r="N1354" s="761">
        <v>44984</v>
      </c>
      <c r="O1354" s="3" t="s">
        <v>62</v>
      </c>
      <c r="P1354" s="3" t="s">
        <v>4077</v>
      </c>
      <c r="Q1354" s="3" t="s">
        <v>4078</v>
      </c>
      <c r="R1354" s="825"/>
      <c r="S1354" s="3" t="s">
        <v>1547</v>
      </c>
      <c r="T1354" s="825"/>
      <c r="U1354" s="786">
        <v>322.3</v>
      </c>
      <c r="V1354" s="825"/>
      <c r="W1354" s="825"/>
      <c r="X1354" s="3" t="s">
        <v>2125</v>
      </c>
      <c r="Y1354" s="761">
        <v>44984</v>
      </c>
      <c r="Z1354" s="3" t="s">
        <v>62</v>
      </c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</row>
    <row r="1355" spans="1:39">
      <c r="B1355" s="904">
        <v>3</v>
      </c>
      <c r="C1355" s="807" t="s">
        <v>3454</v>
      </c>
      <c r="D1355" s="3">
        <v>200101228</v>
      </c>
      <c r="E1355" s="1469" t="s">
        <v>4079</v>
      </c>
      <c r="F1355" s="3">
        <v>5</v>
      </c>
      <c r="G1355" s="3" t="s">
        <v>60</v>
      </c>
      <c r="H1355" s="3" t="s">
        <v>128</v>
      </c>
      <c r="I1355" s="786">
        <v>536.5</v>
      </c>
      <c r="J1355" s="786">
        <v>303.07</v>
      </c>
      <c r="K1355" s="3" t="s">
        <v>2125</v>
      </c>
      <c r="L1355" s="761">
        <v>44984</v>
      </c>
      <c r="M1355" s="761" t="s">
        <v>2125</v>
      </c>
      <c r="N1355" s="761">
        <v>44985</v>
      </c>
      <c r="O1355" s="3" t="s">
        <v>62</v>
      </c>
      <c r="P1355" s="3" t="s">
        <v>4080</v>
      </c>
      <c r="Q1355" s="3" t="s">
        <v>4081</v>
      </c>
      <c r="R1355" s="825"/>
      <c r="S1355" s="3" t="s">
        <v>1547</v>
      </c>
      <c r="T1355" s="825"/>
      <c r="U1355" s="786">
        <f>319</f>
        <v>319</v>
      </c>
      <c r="V1355" s="825"/>
      <c r="W1355" s="825"/>
      <c r="X1355" s="3" t="s">
        <v>3541</v>
      </c>
      <c r="Y1355" s="761">
        <v>44986</v>
      </c>
      <c r="Z1355" s="3" t="s">
        <v>62</v>
      </c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</row>
    <row r="1356" spans="1:39">
      <c r="B1356" s="904">
        <v>3</v>
      </c>
      <c r="C1356" s="807" t="s">
        <v>3454</v>
      </c>
      <c r="D1356" s="3">
        <v>200101229</v>
      </c>
      <c r="E1356" s="1469" t="s">
        <v>4082</v>
      </c>
      <c r="F1356" s="3">
        <v>6</v>
      </c>
      <c r="G1356" s="3" t="s">
        <v>60</v>
      </c>
      <c r="H1356" s="3" t="s">
        <v>128</v>
      </c>
      <c r="I1356" s="786">
        <v>536.6</v>
      </c>
      <c r="J1356" s="786">
        <v>303.07</v>
      </c>
      <c r="K1356" s="3" t="s">
        <v>3541</v>
      </c>
      <c r="L1356" s="761">
        <v>44986</v>
      </c>
      <c r="M1356" s="761" t="s">
        <v>2125</v>
      </c>
      <c r="N1356" s="761">
        <v>44985</v>
      </c>
      <c r="O1356" s="3" t="s">
        <v>62</v>
      </c>
      <c r="P1356" s="3" t="s">
        <v>4083</v>
      </c>
      <c r="Q1356" s="3" t="s">
        <v>4084</v>
      </c>
      <c r="R1356" s="825"/>
      <c r="S1356" s="3" t="s">
        <v>1547</v>
      </c>
      <c r="T1356" s="825"/>
      <c r="U1356" s="786">
        <f>320.3</f>
        <v>320.3</v>
      </c>
      <c r="V1356" s="825"/>
      <c r="W1356" s="825"/>
      <c r="X1356" s="3" t="s">
        <v>3541</v>
      </c>
      <c r="Y1356" s="761">
        <v>44986</v>
      </c>
      <c r="Z1356" s="3" t="s">
        <v>62</v>
      </c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</row>
    <row r="1357" spans="1:39">
      <c r="B1357" s="904">
        <v>3</v>
      </c>
      <c r="C1357" s="807" t="s">
        <v>3454</v>
      </c>
      <c r="D1357" s="3">
        <v>200101230</v>
      </c>
      <c r="E1357" s="1469" t="s">
        <v>4085</v>
      </c>
      <c r="F1357" s="3">
        <v>7</v>
      </c>
      <c r="G1357" s="3" t="s">
        <v>60</v>
      </c>
      <c r="H1357" s="3" t="s">
        <v>128</v>
      </c>
      <c r="I1357" s="785">
        <v>531.4</v>
      </c>
      <c r="J1357" s="786">
        <v>307.58</v>
      </c>
      <c r="K1357" s="3" t="s">
        <v>3541</v>
      </c>
      <c r="L1357" s="761">
        <v>44986</v>
      </c>
      <c r="M1357" s="3" t="s">
        <v>3541</v>
      </c>
      <c r="N1357" s="761">
        <v>44986</v>
      </c>
      <c r="O1357" s="3" t="s">
        <v>62</v>
      </c>
      <c r="P1357" s="3" t="s">
        <v>4086</v>
      </c>
      <c r="Q1357" s="3" t="s">
        <v>4087</v>
      </c>
      <c r="R1357" s="825"/>
      <c r="S1357" s="3" t="s">
        <v>1547</v>
      </c>
      <c r="T1357" s="825"/>
      <c r="U1357" s="786">
        <v>323.7</v>
      </c>
      <c r="V1357" s="825"/>
      <c r="W1357" s="825"/>
      <c r="X1357" s="3" t="s">
        <v>3541</v>
      </c>
      <c r="Y1357" s="761">
        <v>44987</v>
      </c>
      <c r="Z1357" s="3" t="s">
        <v>62</v>
      </c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</row>
    <row r="1358" spans="1:39">
      <c r="B1358" s="904">
        <v>3</v>
      </c>
      <c r="C1358" s="807" t="s">
        <v>3454</v>
      </c>
      <c r="D1358" s="3">
        <v>200101231</v>
      </c>
      <c r="E1358" s="1469" t="s">
        <v>4088</v>
      </c>
      <c r="F1358" s="3">
        <v>8</v>
      </c>
      <c r="G1358" s="3" t="s">
        <v>60</v>
      </c>
      <c r="H1358" s="3" t="s">
        <v>128</v>
      </c>
      <c r="I1358" s="786">
        <v>534.4</v>
      </c>
      <c r="J1358" s="786">
        <v>303.02999999999997</v>
      </c>
      <c r="K1358" s="3" t="s">
        <v>3541</v>
      </c>
      <c r="L1358" s="761">
        <v>44987</v>
      </c>
      <c r="M1358" s="761" t="s">
        <v>3541</v>
      </c>
      <c r="N1358" s="761">
        <v>44987</v>
      </c>
      <c r="O1358" s="3" t="s">
        <v>62</v>
      </c>
      <c r="P1358" s="3" t="s">
        <v>4089</v>
      </c>
      <c r="Q1358" s="3" t="s">
        <v>4090</v>
      </c>
      <c r="R1358" s="825"/>
      <c r="S1358" s="3" t="s">
        <v>1547</v>
      </c>
      <c r="T1358" s="825"/>
      <c r="U1358" s="786">
        <f>319</f>
        <v>319</v>
      </c>
      <c r="V1358" s="825"/>
      <c r="W1358" s="825"/>
      <c r="X1358" s="3" t="s">
        <v>3541</v>
      </c>
      <c r="Y1358" s="761">
        <v>44987</v>
      </c>
      <c r="Z1358" s="3" t="s">
        <v>62</v>
      </c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</row>
    <row r="1359" spans="1:39">
      <c r="B1359" s="904">
        <v>3</v>
      </c>
      <c r="C1359" s="807" t="s">
        <v>3454</v>
      </c>
      <c r="D1359" s="3">
        <v>200101232</v>
      </c>
      <c r="E1359" s="1469" t="s">
        <v>4091</v>
      </c>
      <c r="F1359" s="3">
        <v>9</v>
      </c>
      <c r="G1359" s="3" t="s">
        <v>60</v>
      </c>
      <c r="H1359" s="3" t="s">
        <v>128</v>
      </c>
      <c r="I1359" s="786">
        <v>534.70000000000005</v>
      </c>
      <c r="J1359" s="786">
        <v>307.13</v>
      </c>
      <c r="K1359" s="3" t="s">
        <v>3541</v>
      </c>
      <c r="L1359" s="761">
        <v>44987</v>
      </c>
      <c r="M1359" s="761" t="s">
        <v>3541</v>
      </c>
      <c r="N1359" s="761">
        <v>44987</v>
      </c>
      <c r="O1359" s="3" t="s">
        <v>62</v>
      </c>
      <c r="P1359" s="3" t="s">
        <v>4092</v>
      </c>
      <c r="Q1359" s="3" t="s">
        <v>4093</v>
      </c>
      <c r="R1359" s="825"/>
      <c r="S1359" s="3" t="s">
        <v>1547</v>
      </c>
      <c r="T1359" s="825"/>
      <c r="U1359" s="786">
        <v>323.3</v>
      </c>
      <c r="V1359" s="825"/>
      <c r="W1359" s="825"/>
      <c r="X1359" s="3" t="s">
        <v>3541</v>
      </c>
      <c r="Y1359" s="761">
        <v>44987</v>
      </c>
      <c r="Z1359" s="3" t="s">
        <v>62</v>
      </c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</row>
    <row r="1360" spans="1:39">
      <c r="B1360" s="904">
        <v>3</v>
      </c>
      <c r="C1360" s="807" t="s">
        <v>3454</v>
      </c>
      <c r="D1360" s="3">
        <v>200101341</v>
      </c>
      <c r="E1360" s="1469" t="s">
        <v>4094</v>
      </c>
      <c r="F1360" s="3">
        <f t="shared" ref="F1360:F1372" si="14">F1359+1</f>
        <v>10</v>
      </c>
      <c r="G1360" s="3" t="s">
        <v>60</v>
      </c>
      <c r="H1360" s="3" t="s">
        <v>128</v>
      </c>
      <c r="I1360" s="786">
        <v>527.79999999999995</v>
      </c>
      <c r="J1360" s="786">
        <v>304.29000000000002</v>
      </c>
      <c r="K1360" s="3" t="s">
        <v>3541</v>
      </c>
      <c r="L1360" s="761">
        <v>44994</v>
      </c>
      <c r="M1360" s="761" t="s">
        <v>3541</v>
      </c>
      <c r="N1360" s="761">
        <v>44994</v>
      </c>
      <c r="O1360" s="3" t="s">
        <v>62</v>
      </c>
      <c r="P1360" s="3" t="s">
        <v>4095</v>
      </c>
      <c r="Q1360" s="3" t="s">
        <v>4096</v>
      </c>
      <c r="R1360" s="825"/>
      <c r="S1360" s="3" t="s">
        <v>1547</v>
      </c>
      <c r="T1360" s="825"/>
      <c r="U1360" s="786">
        <v>320.2</v>
      </c>
      <c r="V1360" s="825"/>
      <c r="W1360" s="825"/>
      <c r="X1360" s="3" t="s">
        <v>1716</v>
      </c>
      <c r="Y1360" s="761">
        <v>44995</v>
      </c>
      <c r="Z1360" s="3" t="s">
        <v>62</v>
      </c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</row>
    <row r="1361" spans="1:39">
      <c r="B1361" s="904">
        <v>3</v>
      </c>
      <c r="C1361" s="807" t="s">
        <v>3454</v>
      </c>
      <c r="D1361" s="3">
        <v>200101342</v>
      </c>
      <c r="E1361" s="1469" t="s">
        <v>4097</v>
      </c>
      <c r="F1361" s="3">
        <f t="shared" si="14"/>
        <v>11</v>
      </c>
      <c r="G1361" s="3" t="s">
        <v>60</v>
      </c>
      <c r="H1361" s="3" t="s">
        <v>128</v>
      </c>
      <c r="I1361" s="786">
        <v>541.4</v>
      </c>
      <c r="J1361" s="786">
        <v>306.54000000000002</v>
      </c>
      <c r="K1361" s="3" t="s">
        <v>3541</v>
      </c>
      <c r="L1361" s="761">
        <v>44994</v>
      </c>
      <c r="M1361" s="761" t="s">
        <v>3541</v>
      </c>
      <c r="N1361" s="761">
        <v>44994</v>
      </c>
      <c r="O1361" s="3" t="s">
        <v>62</v>
      </c>
      <c r="P1361" s="3" t="s">
        <v>4098</v>
      </c>
      <c r="Q1361" s="3" t="s">
        <v>4099</v>
      </c>
      <c r="R1361" s="825"/>
      <c r="S1361" s="3" t="s">
        <v>1547</v>
      </c>
      <c r="T1361" s="825"/>
      <c r="U1361" s="786">
        <v>322.39999999999998</v>
      </c>
      <c r="V1361" s="825"/>
      <c r="W1361" s="825"/>
      <c r="X1361" s="3" t="s">
        <v>1716</v>
      </c>
      <c r="Y1361" s="761">
        <v>44995</v>
      </c>
      <c r="Z1361" s="3" t="s">
        <v>62</v>
      </c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</row>
    <row r="1362" spans="1:39">
      <c r="B1362" s="904">
        <v>3</v>
      </c>
      <c r="C1362" s="807" t="s">
        <v>3454</v>
      </c>
      <c r="D1362" s="3">
        <v>200101409</v>
      </c>
      <c r="E1362" s="1469" t="s">
        <v>4100</v>
      </c>
      <c r="F1362" s="3">
        <f t="shared" si="14"/>
        <v>12</v>
      </c>
      <c r="G1362" s="3" t="s">
        <v>60</v>
      </c>
      <c r="H1362" s="3" t="s">
        <v>60</v>
      </c>
      <c r="I1362" s="786">
        <v>538.1</v>
      </c>
      <c r="J1362" s="786">
        <v>302.23</v>
      </c>
      <c r="K1362" s="3" t="s">
        <v>3541</v>
      </c>
      <c r="L1362" s="761">
        <v>44994</v>
      </c>
      <c r="M1362" s="761" t="s">
        <v>1716</v>
      </c>
      <c r="N1362" s="761">
        <v>44998</v>
      </c>
      <c r="O1362" s="3" t="s">
        <v>62</v>
      </c>
      <c r="P1362" s="3" t="s">
        <v>4101</v>
      </c>
      <c r="Q1362" s="3" t="s">
        <v>4102</v>
      </c>
      <c r="R1362" s="825"/>
      <c r="S1362" s="3" t="s">
        <v>1547</v>
      </c>
      <c r="T1362" s="825"/>
      <c r="U1362" s="786">
        <v>318.5</v>
      </c>
      <c r="V1362" s="825"/>
      <c r="W1362" s="825"/>
      <c r="X1362" s="3" t="s">
        <v>1716</v>
      </c>
      <c r="Y1362" s="761">
        <v>44998</v>
      </c>
      <c r="Z1362" s="3" t="s">
        <v>62</v>
      </c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</row>
    <row r="1363" spans="1:39">
      <c r="B1363" s="904">
        <v>3</v>
      </c>
      <c r="C1363" s="807" t="s">
        <v>3454</v>
      </c>
      <c r="D1363" s="3">
        <v>200101410</v>
      </c>
      <c r="E1363" s="1469" t="s">
        <v>4103</v>
      </c>
      <c r="F1363" s="3">
        <f t="shared" si="14"/>
        <v>13</v>
      </c>
      <c r="G1363" s="3" t="s">
        <v>60</v>
      </c>
      <c r="H1363" s="3" t="s">
        <v>60</v>
      </c>
      <c r="I1363" s="786">
        <v>533.20000000000005</v>
      </c>
      <c r="J1363" s="786">
        <v>307.13</v>
      </c>
      <c r="K1363" s="3" t="s">
        <v>1716</v>
      </c>
      <c r="L1363" s="761">
        <v>44995</v>
      </c>
      <c r="M1363" s="761" t="s">
        <v>1716</v>
      </c>
      <c r="N1363" s="761">
        <v>44998</v>
      </c>
      <c r="O1363" s="3" t="s">
        <v>62</v>
      </c>
      <c r="P1363" s="3" t="s">
        <v>4104</v>
      </c>
      <c r="Q1363" s="3" t="s">
        <v>4105</v>
      </c>
      <c r="R1363" s="825"/>
      <c r="S1363" s="3" t="s">
        <v>1547</v>
      </c>
      <c r="T1363" s="825"/>
      <c r="U1363" s="786">
        <v>323.5</v>
      </c>
      <c r="V1363" s="825"/>
      <c r="W1363" s="825"/>
      <c r="X1363" s="3" t="s">
        <v>1716</v>
      </c>
      <c r="Y1363" s="761">
        <v>44998</v>
      </c>
      <c r="Z1363" s="3" t="s">
        <v>62</v>
      </c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</row>
    <row r="1364" spans="1:39">
      <c r="B1364" s="904">
        <v>3</v>
      </c>
      <c r="C1364" s="807" t="s">
        <v>3454</v>
      </c>
      <c r="D1364" s="3">
        <v>200101411</v>
      </c>
      <c r="E1364" s="1469" t="s">
        <v>4106</v>
      </c>
      <c r="F1364" s="3">
        <f t="shared" si="14"/>
        <v>14</v>
      </c>
      <c r="G1364" s="3" t="s">
        <v>60</v>
      </c>
      <c r="H1364" s="3" t="s">
        <v>128</v>
      </c>
      <c r="I1364" s="786">
        <v>532.70000000000005</v>
      </c>
      <c r="J1364" s="786">
        <v>304.79000000000002</v>
      </c>
      <c r="K1364" s="3" t="s">
        <v>1716</v>
      </c>
      <c r="L1364" s="761">
        <v>44998</v>
      </c>
      <c r="M1364" s="761" t="s">
        <v>1716</v>
      </c>
      <c r="N1364" s="761">
        <v>44999</v>
      </c>
      <c r="O1364" s="3" t="s">
        <v>62</v>
      </c>
      <c r="P1364" s="3" t="s">
        <v>4107</v>
      </c>
      <c r="Q1364" s="3" t="s">
        <v>4108</v>
      </c>
      <c r="R1364" s="825"/>
      <c r="S1364" s="3" t="s">
        <v>1547</v>
      </c>
      <c r="T1364" s="825"/>
      <c r="U1364" s="786">
        <v>321</v>
      </c>
      <c r="V1364" s="825"/>
      <c r="W1364" s="825"/>
      <c r="X1364" s="3" t="s">
        <v>1716</v>
      </c>
      <c r="Y1364" s="761">
        <v>44999</v>
      </c>
      <c r="Z1364" s="3" t="s">
        <v>62</v>
      </c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</row>
    <row r="1365" spans="1:39">
      <c r="B1365" s="904">
        <v>3</v>
      </c>
      <c r="C1365" s="807" t="s">
        <v>3454</v>
      </c>
      <c r="D1365" s="3">
        <v>200101412</v>
      </c>
      <c r="E1365" s="1469" t="s">
        <v>4109</v>
      </c>
      <c r="F1365" s="3">
        <f t="shared" si="14"/>
        <v>15</v>
      </c>
      <c r="G1365" s="3" t="s">
        <v>60</v>
      </c>
      <c r="H1365" s="3" t="s">
        <v>128</v>
      </c>
      <c r="I1365" s="786">
        <v>532.9</v>
      </c>
      <c r="J1365" s="786">
        <v>306.14999999999998</v>
      </c>
      <c r="K1365" s="761" t="s">
        <v>1716</v>
      </c>
      <c r="L1365" s="761">
        <v>44999</v>
      </c>
      <c r="M1365" s="761" t="s">
        <v>1716</v>
      </c>
      <c r="N1365" s="761">
        <v>44999</v>
      </c>
      <c r="O1365" s="3" t="s">
        <v>62</v>
      </c>
      <c r="P1365" s="3" t="s">
        <v>4110</v>
      </c>
      <c r="Q1365" s="3" t="s">
        <v>4111</v>
      </c>
      <c r="R1365" s="825"/>
      <c r="S1365" s="3" t="s">
        <v>1547</v>
      </c>
      <c r="T1365" s="825"/>
      <c r="U1365" s="786">
        <v>322.5</v>
      </c>
      <c r="V1365" s="825"/>
      <c r="W1365" s="825"/>
      <c r="X1365" s="3" t="s">
        <v>1716</v>
      </c>
      <c r="Y1365" s="761">
        <v>44999</v>
      </c>
      <c r="Z1365" s="3" t="s">
        <v>62</v>
      </c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</row>
    <row r="1366" spans="1:39">
      <c r="B1366" s="904">
        <v>3</v>
      </c>
      <c r="C1366" s="807" t="s">
        <v>3454</v>
      </c>
      <c r="D1366" s="3">
        <v>200101413</v>
      </c>
      <c r="E1366" s="1469" t="s">
        <v>4112</v>
      </c>
      <c r="F1366" s="3">
        <f t="shared" si="14"/>
        <v>16</v>
      </c>
      <c r="G1366" s="3" t="s">
        <v>60</v>
      </c>
      <c r="H1366" s="3" t="s">
        <v>128</v>
      </c>
      <c r="I1366" s="786">
        <v>541.1</v>
      </c>
      <c r="J1366" s="786">
        <v>299.81</v>
      </c>
      <c r="K1366" s="761" t="s">
        <v>1716</v>
      </c>
      <c r="L1366" s="761">
        <v>44999</v>
      </c>
      <c r="M1366" s="761" t="s">
        <v>1716</v>
      </c>
      <c r="N1366" s="761">
        <v>45000</v>
      </c>
      <c r="O1366" s="3" t="s">
        <v>62</v>
      </c>
      <c r="P1366" s="3" t="s">
        <v>4113</v>
      </c>
      <c r="Q1366" s="3" t="s">
        <v>4114</v>
      </c>
      <c r="R1366" s="825"/>
      <c r="S1366" s="3" t="s">
        <v>1547</v>
      </c>
      <c r="T1366" s="825"/>
      <c r="U1366" s="786">
        <v>316.10000000000002</v>
      </c>
      <c r="V1366" s="825"/>
      <c r="W1366" s="825"/>
      <c r="X1366" s="3" t="s">
        <v>1716</v>
      </c>
      <c r="Y1366" s="761">
        <v>45000</v>
      </c>
      <c r="Z1366" s="3" t="s">
        <v>62</v>
      </c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</row>
    <row r="1367" spans="1:39">
      <c r="B1367" s="904">
        <v>3</v>
      </c>
      <c r="C1367" s="807" t="s">
        <v>3454</v>
      </c>
      <c r="D1367" s="3">
        <v>200101414</v>
      </c>
      <c r="E1367" s="1469" t="s">
        <v>4115</v>
      </c>
      <c r="F1367" s="3">
        <f t="shared" si="14"/>
        <v>17</v>
      </c>
      <c r="G1367" s="3" t="s">
        <v>60</v>
      </c>
      <c r="H1367" s="3" t="s">
        <v>128</v>
      </c>
      <c r="I1367" s="786">
        <v>534.20000000000005</v>
      </c>
      <c r="J1367" s="786">
        <v>300.05</v>
      </c>
      <c r="K1367" s="3" t="s">
        <v>1716</v>
      </c>
      <c r="L1367" s="761">
        <v>45000</v>
      </c>
      <c r="M1367" s="761" t="s">
        <v>1716</v>
      </c>
      <c r="N1367" s="761">
        <v>45000</v>
      </c>
      <c r="O1367" s="3" t="s">
        <v>62</v>
      </c>
      <c r="P1367" s="3" t="s">
        <v>4116</v>
      </c>
      <c r="Q1367" s="3" t="s">
        <v>4117</v>
      </c>
      <c r="R1367" s="825"/>
      <c r="S1367" s="3" t="s">
        <v>1547</v>
      </c>
      <c r="T1367" s="825"/>
      <c r="U1367" s="786">
        <v>316</v>
      </c>
      <c r="V1367" s="825"/>
      <c r="W1367" s="825"/>
      <c r="X1367" s="3" t="s">
        <v>1716</v>
      </c>
      <c r="Y1367" s="761">
        <v>45000</v>
      </c>
      <c r="Z1367" s="3" t="s">
        <v>62</v>
      </c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</row>
    <row r="1368" spans="1:39">
      <c r="B1368" s="904">
        <v>3</v>
      </c>
      <c r="C1368" s="807" t="s">
        <v>3454</v>
      </c>
      <c r="D1368" s="3">
        <v>200101415</v>
      </c>
      <c r="E1368" s="1469" t="s">
        <v>4118</v>
      </c>
      <c r="F1368" s="3">
        <f t="shared" si="14"/>
        <v>18</v>
      </c>
      <c r="G1368" s="3" t="s">
        <v>60</v>
      </c>
      <c r="H1368" s="3" t="s">
        <v>128</v>
      </c>
      <c r="I1368" s="786">
        <v>540.6</v>
      </c>
      <c r="J1368" s="786">
        <v>302.95</v>
      </c>
      <c r="K1368" s="3" t="s">
        <v>1716</v>
      </c>
      <c r="L1368" s="761">
        <v>45000</v>
      </c>
      <c r="M1368" s="3" t="s">
        <v>1716</v>
      </c>
      <c r="N1368" s="761">
        <v>45001</v>
      </c>
      <c r="O1368" s="3" t="s">
        <v>62</v>
      </c>
      <c r="P1368" s="3" t="s">
        <v>4119</v>
      </c>
      <c r="Q1368" s="3" t="s">
        <v>4120</v>
      </c>
      <c r="R1368" s="825"/>
      <c r="S1368" s="3" t="s">
        <v>1547</v>
      </c>
      <c r="T1368" s="825"/>
      <c r="U1368" s="786">
        <v>319.3</v>
      </c>
      <c r="V1368" s="825"/>
      <c r="W1368" s="825"/>
      <c r="X1368" s="3" t="s">
        <v>1716</v>
      </c>
      <c r="Y1368" s="761">
        <v>45001</v>
      </c>
      <c r="Z1368" s="3" t="s">
        <v>62</v>
      </c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</row>
    <row r="1369" spans="1:39">
      <c r="B1369" s="904">
        <v>3</v>
      </c>
      <c r="C1369" s="807" t="s">
        <v>3454</v>
      </c>
      <c r="D1369" s="3">
        <v>200101416</v>
      </c>
      <c r="E1369" s="1469" t="s">
        <v>4121</v>
      </c>
      <c r="F1369" s="3">
        <f t="shared" si="14"/>
        <v>19</v>
      </c>
      <c r="G1369" s="3" t="s">
        <v>60</v>
      </c>
      <c r="H1369" s="3" t="s">
        <v>128</v>
      </c>
      <c r="I1369" s="786">
        <v>538.79999999999995</v>
      </c>
      <c r="J1369" s="786">
        <v>304.7</v>
      </c>
      <c r="K1369" s="3" t="s">
        <v>1716</v>
      </c>
      <c r="L1369" s="761">
        <v>45001</v>
      </c>
      <c r="M1369" s="3" t="s">
        <v>1716</v>
      </c>
      <c r="N1369" s="761">
        <v>45001</v>
      </c>
      <c r="O1369" s="3" t="s">
        <v>62</v>
      </c>
      <c r="P1369" s="3" t="s">
        <v>4122</v>
      </c>
      <c r="Q1369" s="3" t="s">
        <v>4123</v>
      </c>
      <c r="R1369" s="825"/>
      <c r="S1369" s="3" t="s">
        <v>1547</v>
      </c>
      <c r="T1369" s="825"/>
      <c r="U1369" s="786">
        <v>320.60000000000002</v>
      </c>
      <c r="V1369" s="825"/>
      <c r="W1369" s="825"/>
      <c r="X1369" s="3" t="s">
        <v>1716</v>
      </c>
      <c r="Y1369" s="761">
        <v>45002</v>
      </c>
      <c r="Z1369" s="3" t="s">
        <v>62</v>
      </c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</row>
    <row r="1370" spans="1:39">
      <c r="B1370" s="904">
        <v>3</v>
      </c>
      <c r="C1370" s="807" t="s">
        <v>3454</v>
      </c>
      <c r="D1370" s="3">
        <v>200101272</v>
      </c>
      <c r="E1370" s="1469" t="s">
        <v>4124</v>
      </c>
      <c r="F1370" s="3">
        <f t="shared" si="14"/>
        <v>20</v>
      </c>
      <c r="G1370" s="3" t="s">
        <v>60</v>
      </c>
      <c r="H1370" s="3" t="s">
        <v>128</v>
      </c>
      <c r="I1370" s="786">
        <v>535.79999999999995</v>
      </c>
      <c r="J1370" s="786">
        <v>307.74</v>
      </c>
      <c r="K1370" s="3" t="s">
        <v>1716</v>
      </c>
      <c r="L1370" s="761">
        <v>45001</v>
      </c>
      <c r="M1370" s="761" t="s">
        <v>1716</v>
      </c>
      <c r="N1370" s="761">
        <v>45002</v>
      </c>
      <c r="O1370" s="3" t="s">
        <v>62</v>
      </c>
      <c r="P1370" s="3" t="s">
        <v>4125</v>
      </c>
      <c r="Q1370" s="3" t="s">
        <v>4126</v>
      </c>
      <c r="R1370" s="825"/>
      <c r="S1370" s="3" t="s">
        <v>1547</v>
      </c>
      <c r="T1370" s="825"/>
      <c r="U1370" s="786">
        <v>323.89999999999998</v>
      </c>
      <c r="V1370" s="825"/>
      <c r="W1370" s="825"/>
      <c r="X1370" s="3" t="s">
        <v>1716</v>
      </c>
      <c r="Y1370" s="761">
        <v>45002</v>
      </c>
      <c r="Z1370" s="3" t="s">
        <v>62</v>
      </c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</row>
    <row r="1371" spans="1:39">
      <c r="B1371" s="904">
        <v>3</v>
      </c>
      <c r="C1371" s="807" t="s">
        <v>3454</v>
      </c>
      <c r="D1371" s="3">
        <v>200101273</v>
      </c>
      <c r="E1371" s="1469" t="s">
        <v>4127</v>
      </c>
      <c r="F1371" s="3">
        <f t="shared" si="14"/>
        <v>21</v>
      </c>
      <c r="G1371" s="3" t="s">
        <v>60</v>
      </c>
      <c r="H1371" s="3" t="s">
        <v>128</v>
      </c>
      <c r="I1371" s="786">
        <v>532.79999999999995</v>
      </c>
      <c r="J1371" s="786">
        <v>304.92</v>
      </c>
      <c r="K1371" s="761" t="s">
        <v>1716</v>
      </c>
      <c r="L1371" s="761">
        <v>45002</v>
      </c>
      <c r="M1371" s="761" t="s">
        <v>1716</v>
      </c>
      <c r="N1371" s="761">
        <v>45002</v>
      </c>
      <c r="O1371" s="3" t="s">
        <v>62</v>
      </c>
      <c r="P1371" s="3" t="s">
        <v>4128</v>
      </c>
      <c r="Q1371" s="3" t="s">
        <v>4129</v>
      </c>
      <c r="R1371" s="825"/>
      <c r="S1371" s="3" t="s">
        <v>1547</v>
      </c>
      <c r="T1371" s="825"/>
      <c r="U1371" s="786">
        <v>321.39999999999998</v>
      </c>
      <c r="V1371" s="825"/>
      <c r="W1371" s="825"/>
      <c r="X1371" s="3" t="s">
        <v>1716</v>
      </c>
      <c r="Y1371" s="761">
        <v>45002</v>
      </c>
      <c r="Z1371" s="3" t="s">
        <v>62</v>
      </c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</row>
    <row r="1372" spans="1:39">
      <c r="B1372" s="904">
        <v>3</v>
      </c>
      <c r="C1372" s="807" t="s">
        <v>3454</v>
      </c>
      <c r="D1372" s="3">
        <v>200101274</v>
      </c>
      <c r="E1372" s="1469" t="s">
        <v>4130</v>
      </c>
      <c r="F1372" s="3">
        <f t="shared" si="14"/>
        <v>22</v>
      </c>
      <c r="G1372" s="3" t="s">
        <v>60</v>
      </c>
      <c r="H1372" s="3" t="s">
        <v>128</v>
      </c>
      <c r="I1372" s="786">
        <v>536.6</v>
      </c>
      <c r="J1372" s="786">
        <v>302.39</v>
      </c>
      <c r="K1372" s="761" t="s">
        <v>1716</v>
      </c>
      <c r="L1372" s="761">
        <v>45002</v>
      </c>
      <c r="M1372" s="761" t="s">
        <v>1716</v>
      </c>
      <c r="N1372" s="761">
        <v>45005</v>
      </c>
      <c r="O1372" s="3" t="s">
        <v>62</v>
      </c>
      <c r="P1372" s="3" t="s">
        <v>4131</v>
      </c>
      <c r="Q1372" s="3" t="s">
        <v>4132</v>
      </c>
      <c r="R1372" s="825"/>
      <c r="S1372" s="3" t="s">
        <v>1547</v>
      </c>
      <c r="T1372" s="825"/>
      <c r="U1372" s="786">
        <v>318.5</v>
      </c>
      <c r="V1372" s="825"/>
      <c r="W1372" s="825"/>
      <c r="X1372" s="3" t="s">
        <v>1716</v>
      </c>
      <c r="Y1372" s="761">
        <v>45005</v>
      </c>
      <c r="Z1372" s="3" t="s">
        <v>62</v>
      </c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</row>
    <row r="1373" spans="1:39" s="707" customFormat="1">
      <c r="A1373"/>
      <c r="B1373" s="914" t="s">
        <v>13</v>
      </c>
      <c r="C1373" s="915" t="s">
        <v>2226</v>
      </c>
      <c r="D1373" s="807"/>
      <c r="E1373" s="807"/>
      <c r="F1373" s="807"/>
      <c r="G1373" s="807"/>
      <c r="H1373" s="807"/>
      <c r="I1373" s="820"/>
      <c r="J1373" s="820"/>
      <c r="K1373" s="819"/>
      <c r="L1373" s="819"/>
      <c r="M1373" s="819"/>
      <c r="N1373" s="819"/>
      <c r="O1373" s="807"/>
      <c r="P1373" s="807"/>
      <c r="Q1373" s="807"/>
      <c r="R1373" s="807"/>
      <c r="S1373" s="807"/>
      <c r="T1373" s="807"/>
      <c r="U1373" s="820"/>
      <c r="V1373" s="807"/>
      <c r="W1373" s="807"/>
      <c r="X1373" s="807"/>
      <c r="Y1373" s="819"/>
      <c r="Z1373" s="807"/>
      <c r="AA1373" s="710"/>
      <c r="AB1373" s="710"/>
      <c r="AC1373" s="710"/>
      <c r="AD1373" s="710"/>
      <c r="AE1373" s="710"/>
      <c r="AF1373" s="710"/>
      <c r="AG1373" s="710"/>
      <c r="AH1373" s="710"/>
      <c r="AI1373" s="710"/>
      <c r="AJ1373" s="710"/>
      <c r="AK1373" s="710"/>
      <c r="AL1373" s="710"/>
      <c r="AM1373" s="710"/>
    </row>
    <row r="1374" spans="1:39">
      <c r="B1374" s="904">
        <v>4</v>
      </c>
      <c r="C1374" s="807" t="s">
        <v>3454</v>
      </c>
      <c r="D1374" s="3">
        <v>200101473</v>
      </c>
      <c r="E1374" s="1469" t="s">
        <v>4133</v>
      </c>
      <c r="F1374" s="3">
        <v>1</v>
      </c>
      <c r="G1374" s="3" t="s">
        <v>60</v>
      </c>
      <c r="H1374" s="3" t="s">
        <v>60</v>
      </c>
      <c r="I1374" s="786">
        <v>538.41999999999996</v>
      </c>
      <c r="J1374" s="786">
        <v>307.5</v>
      </c>
      <c r="K1374" s="761" t="s">
        <v>1716</v>
      </c>
      <c r="L1374" s="761">
        <v>45002</v>
      </c>
      <c r="M1374" s="761" t="s">
        <v>1716</v>
      </c>
      <c r="N1374" s="761">
        <v>45005</v>
      </c>
      <c r="O1374" s="3" t="s">
        <v>62</v>
      </c>
      <c r="P1374" s="3" t="s">
        <v>4134</v>
      </c>
      <c r="Q1374" s="3" t="s">
        <v>4135</v>
      </c>
      <c r="R1374" s="825"/>
      <c r="S1374" s="3" t="s">
        <v>1547</v>
      </c>
      <c r="T1374" s="825"/>
      <c r="U1374" s="786">
        <v>323.60000000000002</v>
      </c>
      <c r="V1374" s="825"/>
      <c r="W1374" s="825"/>
      <c r="X1374" s="3" t="s">
        <v>1716</v>
      </c>
      <c r="Y1374" s="761">
        <v>45005</v>
      </c>
      <c r="Z1374" s="3" t="s">
        <v>62</v>
      </c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</row>
    <row r="1375" spans="1:39">
      <c r="B1375" s="904">
        <v>4</v>
      </c>
      <c r="C1375" s="807" t="s">
        <v>3454</v>
      </c>
      <c r="D1375" s="3">
        <v>200101474</v>
      </c>
      <c r="E1375" s="1469" t="s">
        <v>4136</v>
      </c>
      <c r="F1375" s="3">
        <v>2</v>
      </c>
      <c r="G1375" s="3" t="s">
        <v>60</v>
      </c>
      <c r="H1375" s="3" t="s">
        <v>128</v>
      </c>
      <c r="I1375" s="786">
        <v>537.20000000000005</v>
      </c>
      <c r="J1375" s="786">
        <v>303.07</v>
      </c>
      <c r="K1375" s="761" t="s">
        <v>1716</v>
      </c>
      <c r="L1375" s="761">
        <v>45006</v>
      </c>
      <c r="M1375" s="761" t="s">
        <v>1716</v>
      </c>
      <c r="N1375" s="761">
        <v>45006</v>
      </c>
      <c r="O1375" s="3" t="s">
        <v>62</v>
      </c>
      <c r="P1375" s="4" t="s">
        <v>4137</v>
      </c>
      <c r="Q1375" s="3" t="s">
        <v>4138</v>
      </c>
      <c r="R1375" s="825"/>
      <c r="S1375" s="3" t="s">
        <v>1547</v>
      </c>
      <c r="T1375" s="825"/>
      <c r="U1375" s="786">
        <v>319.2</v>
      </c>
      <c r="V1375" s="825"/>
      <c r="W1375" s="825"/>
      <c r="X1375" s="3" t="s">
        <v>1716</v>
      </c>
      <c r="Y1375" s="761">
        <v>45008</v>
      </c>
      <c r="Z1375" s="3" t="s">
        <v>62</v>
      </c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</row>
    <row r="1376" spans="1:39" s="707" customFormat="1">
      <c r="A1376"/>
      <c r="B1376" s="914" t="s">
        <v>13</v>
      </c>
      <c r="C1376" s="915" t="s">
        <v>1758</v>
      </c>
      <c r="D1376" s="823"/>
      <c r="E1376" s="9"/>
      <c r="F1376" s="807"/>
      <c r="G1376" s="807"/>
      <c r="H1376" s="807"/>
      <c r="I1376" s="820"/>
      <c r="J1376" s="820"/>
      <c r="K1376" s="819"/>
      <c r="L1376" s="819"/>
      <c r="M1376" s="819"/>
      <c r="N1376" s="819"/>
      <c r="O1376" s="807"/>
      <c r="P1376" s="710"/>
      <c r="Q1376" s="807"/>
      <c r="R1376" s="807"/>
      <c r="S1376" s="807"/>
      <c r="T1376" s="807"/>
      <c r="U1376" s="820"/>
      <c r="V1376" s="807"/>
      <c r="W1376" s="807"/>
      <c r="X1376" s="807"/>
      <c r="Y1376" s="819"/>
      <c r="Z1376" s="807"/>
      <c r="AA1376" s="710"/>
      <c r="AB1376" s="710"/>
      <c r="AC1376" s="710"/>
      <c r="AD1376" s="710"/>
      <c r="AE1376" s="710"/>
      <c r="AF1376" s="710"/>
      <c r="AG1376" s="710"/>
      <c r="AH1376" s="710"/>
      <c r="AI1376" s="710"/>
      <c r="AJ1376" s="710"/>
      <c r="AK1376" s="710"/>
      <c r="AL1376" s="710"/>
      <c r="AM1376" s="710"/>
    </row>
    <row r="1377" spans="1:39">
      <c r="B1377" s="904">
        <v>5</v>
      </c>
      <c r="C1377" s="807" t="s">
        <v>3454</v>
      </c>
      <c r="D1377" s="801">
        <v>200101819</v>
      </c>
      <c r="E1377" s="1485" t="s">
        <v>4139</v>
      </c>
      <c r="F1377" s="3">
        <v>1</v>
      </c>
      <c r="G1377" s="3" t="s">
        <v>60</v>
      </c>
      <c r="H1377" s="3" t="s">
        <v>128</v>
      </c>
      <c r="I1377" s="786">
        <v>531.4</v>
      </c>
      <c r="J1377" s="786">
        <v>305.75</v>
      </c>
      <c r="K1377" s="761" t="s">
        <v>2327</v>
      </c>
      <c r="L1377" s="761">
        <v>45048</v>
      </c>
      <c r="M1377" s="761" t="s">
        <v>2327</v>
      </c>
      <c r="N1377" s="761">
        <v>45049</v>
      </c>
      <c r="O1377" s="3" t="s">
        <v>62</v>
      </c>
      <c r="P1377" s="4" t="s">
        <v>4140</v>
      </c>
      <c r="Q1377" s="3" t="s">
        <v>4141</v>
      </c>
      <c r="R1377" s="825"/>
      <c r="S1377" s="3" t="s">
        <v>130</v>
      </c>
      <c r="T1377" s="825"/>
      <c r="U1377" s="786">
        <v>321.5</v>
      </c>
      <c r="V1377" s="825"/>
      <c r="W1377" s="825"/>
      <c r="X1377" s="3" t="s">
        <v>2327</v>
      </c>
      <c r="Y1377" s="761">
        <v>45049</v>
      </c>
      <c r="Z1377" s="3" t="s">
        <v>62</v>
      </c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</row>
    <row r="1378" spans="1:39">
      <c r="B1378" s="904">
        <v>5</v>
      </c>
      <c r="C1378" s="807" t="s">
        <v>3454</v>
      </c>
      <c r="D1378" s="801">
        <v>200101820</v>
      </c>
      <c r="E1378" s="1485" t="s">
        <v>4142</v>
      </c>
      <c r="F1378" s="3">
        <v>2</v>
      </c>
      <c r="G1378" s="3" t="s">
        <v>60</v>
      </c>
      <c r="H1378" s="3" t="s">
        <v>128</v>
      </c>
      <c r="I1378" s="786">
        <v>532.20000000000005</v>
      </c>
      <c r="J1378" s="786">
        <v>303.57</v>
      </c>
      <c r="K1378" s="761" t="s">
        <v>2327</v>
      </c>
      <c r="L1378" s="761">
        <v>45049</v>
      </c>
      <c r="M1378" s="761" t="s">
        <v>2327</v>
      </c>
      <c r="N1378" s="761">
        <v>45050</v>
      </c>
      <c r="O1378" s="3" t="s">
        <v>62</v>
      </c>
      <c r="P1378" s="4" t="s">
        <v>4143</v>
      </c>
      <c r="Q1378" s="3" t="s">
        <v>697</v>
      </c>
      <c r="R1378" s="825"/>
      <c r="S1378" s="3" t="s">
        <v>130</v>
      </c>
      <c r="T1378" s="825"/>
      <c r="U1378" s="786">
        <v>319.2</v>
      </c>
      <c r="V1378" s="825"/>
      <c r="W1378" s="825"/>
      <c r="X1378" s="3" t="s">
        <v>2327</v>
      </c>
      <c r="Y1378" s="761">
        <v>45050</v>
      </c>
      <c r="Z1378" s="3" t="s">
        <v>62</v>
      </c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</row>
    <row r="1379" spans="1:39">
      <c r="B1379" s="904">
        <v>5</v>
      </c>
      <c r="C1379" s="807" t="s">
        <v>3454</v>
      </c>
      <c r="D1379" s="801">
        <v>200101821</v>
      </c>
      <c r="E1379" s="1485" t="s">
        <v>4144</v>
      </c>
      <c r="F1379" s="3">
        <v>3</v>
      </c>
      <c r="G1379" s="3" t="s">
        <v>60</v>
      </c>
      <c r="H1379" s="3" t="s">
        <v>128</v>
      </c>
      <c r="I1379" s="786">
        <v>537.70000000000005</v>
      </c>
      <c r="J1379" s="786">
        <f>153.35+154.22</f>
        <v>307.57</v>
      </c>
      <c r="K1379" s="761" t="s">
        <v>2327</v>
      </c>
      <c r="L1379" s="761">
        <v>45049</v>
      </c>
      <c r="M1379" s="761" t="s">
        <v>2327</v>
      </c>
      <c r="N1379" s="761">
        <v>45050</v>
      </c>
      <c r="O1379" s="3" t="s">
        <v>62</v>
      </c>
      <c r="P1379" s="4" t="s">
        <v>4145</v>
      </c>
      <c r="Q1379" s="3" t="s">
        <v>820</v>
      </c>
      <c r="R1379" s="825"/>
      <c r="S1379" s="3" t="s">
        <v>130</v>
      </c>
      <c r="T1379" s="825"/>
      <c r="U1379" s="786">
        <v>322.39999999999998</v>
      </c>
      <c r="V1379" s="825"/>
      <c r="W1379" s="825"/>
      <c r="X1379" s="3" t="s">
        <v>2327</v>
      </c>
      <c r="Y1379" s="761">
        <v>45050</v>
      </c>
      <c r="Z1379" s="3" t="s">
        <v>62</v>
      </c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</row>
    <row r="1380" spans="1:39" s="707" customFormat="1">
      <c r="A1380"/>
      <c r="B1380" s="914" t="s">
        <v>13</v>
      </c>
      <c r="C1380" s="915" t="s">
        <v>1759</v>
      </c>
      <c r="D1380" s="823"/>
      <c r="E1380" s="9"/>
      <c r="F1380" s="807"/>
      <c r="G1380" s="807"/>
      <c r="H1380" s="807"/>
      <c r="I1380" s="820"/>
      <c r="J1380" s="820"/>
      <c r="K1380" s="819"/>
      <c r="L1380" s="819"/>
      <c r="M1380" s="819"/>
      <c r="N1380" s="819"/>
      <c r="O1380" s="807"/>
      <c r="P1380" s="710"/>
      <c r="Q1380" s="807"/>
      <c r="R1380" s="807"/>
      <c r="S1380" s="807"/>
      <c r="T1380" s="807"/>
      <c r="U1380" s="820"/>
      <c r="V1380" s="807"/>
      <c r="W1380" s="807"/>
      <c r="X1380" s="807"/>
      <c r="Y1380" s="819"/>
      <c r="Z1380" s="807"/>
      <c r="AA1380" s="710"/>
      <c r="AB1380" s="710"/>
      <c r="AC1380" s="710"/>
      <c r="AD1380" s="710"/>
      <c r="AE1380" s="710"/>
      <c r="AF1380" s="710"/>
      <c r="AG1380" s="710"/>
      <c r="AH1380" s="710"/>
      <c r="AI1380" s="710"/>
      <c r="AJ1380" s="710"/>
      <c r="AK1380" s="710"/>
      <c r="AL1380" s="710"/>
      <c r="AM1380" s="710"/>
    </row>
    <row r="1381" spans="1:39">
      <c r="B1381" s="904">
        <v>6</v>
      </c>
      <c r="C1381" s="807" t="s">
        <v>3454</v>
      </c>
      <c r="D1381" s="801">
        <v>200102181</v>
      </c>
      <c r="E1381" s="1485" t="s">
        <v>4146</v>
      </c>
      <c r="F1381" s="3">
        <v>1</v>
      </c>
      <c r="G1381" s="3" t="s">
        <v>60</v>
      </c>
      <c r="H1381" s="3" t="s">
        <v>128</v>
      </c>
      <c r="I1381" s="786">
        <v>531.70000000000005</v>
      </c>
      <c r="J1381" s="786">
        <v>298.01</v>
      </c>
      <c r="K1381" s="761" t="s">
        <v>2411</v>
      </c>
      <c r="L1381" s="761">
        <v>45092</v>
      </c>
      <c r="M1381" s="761" t="s">
        <v>2411</v>
      </c>
      <c r="N1381" s="761">
        <v>45092</v>
      </c>
      <c r="O1381" s="3" t="s">
        <v>62</v>
      </c>
      <c r="P1381" s="4" t="s">
        <v>4147</v>
      </c>
      <c r="Q1381" s="3" t="s">
        <v>4148</v>
      </c>
      <c r="R1381" s="825"/>
      <c r="S1381" s="3" t="s">
        <v>130</v>
      </c>
      <c r="T1381" s="825"/>
      <c r="U1381" s="786">
        <v>313.89999999999998</v>
      </c>
      <c r="V1381" s="825"/>
      <c r="W1381" s="825"/>
      <c r="X1381" s="3" t="s">
        <v>2411</v>
      </c>
      <c r="Y1381" s="761">
        <v>45092</v>
      </c>
      <c r="Z1381" s="3" t="s">
        <v>62</v>
      </c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</row>
    <row r="1382" spans="1:39">
      <c r="B1382" s="904">
        <v>6</v>
      </c>
      <c r="C1382" s="807" t="s">
        <v>3454</v>
      </c>
      <c r="D1382" s="801">
        <v>200102182</v>
      </c>
      <c r="E1382" s="1485" t="s">
        <v>4149</v>
      </c>
      <c r="F1382" s="3">
        <v>2</v>
      </c>
      <c r="G1382" s="3" t="s">
        <v>60</v>
      </c>
      <c r="H1382" s="3" t="s">
        <v>128</v>
      </c>
      <c r="I1382" s="786">
        <v>536.1</v>
      </c>
      <c r="J1382" s="786">
        <v>304.22000000000003</v>
      </c>
      <c r="K1382" s="761" t="s">
        <v>2411</v>
      </c>
      <c r="L1382" s="761">
        <v>45092</v>
      </c>
      <c r="M1382" s="761" t="s">
        <v>2411</v>
      </c>
      <c r="N1382" s="761">
        <v>45092</v>
      </c>
      <c r="O1382" s="3" t="s">
        <v>62</v>
      </c>
      <c r="P1382" s="4" t="s">
        <v>4150</v>
      </c>
      <c r="Q1382" s="3" t="s">
        <v>775</v>
      </c>
      <c r="R1382" s="825"/>
      <c r="S1382" s="3" t="s">
        <v>130</v>
      </c>
      <c r="T1382" s="825"/>
      <c r="U1382" s="786">
        <v>320.7</v>
      </c>
      <c r="V1382" s="825"/>
      <c r="W1382" s="825"/>
      <c r="X1382" s="3" t="s">
        <v>2411</v>
      </c>
      <c r="Y1382" s="761">
        <v>45093</v>
      </c>
      <c r="Z1382" s="3" t="s">
        <v>62</v>
      </c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</row>
    <row r="1383" spans="1:39">
      <c r="B1383" s="904">
        <v>6</v>
      </c>
      <c r="C1383" s="807" t="s">
        <v>3454</v>
      </c>
      <c r="D1383" s="801">
        <v>200102183</v>
      </c>
      <c r="E1383" s="1485" t="s">
        <v>4151</v>
      </c>
      <c r="F1383" s="3">
        <v>3</v>
      </c>
      <c r="G1383" s="3" t="s">
        <v>60</v>
      </c>
      <c r="H1383" s="3" t="s">
        <v>128</v>
      </c>
      <c r="I1383" s="786">
        <f>133.3+136.4+139.3+131.1</f>
        <v>540.1</v>
      </c>
      <c r="J1383" s="786">
        <v>303.24</v>
      </c>
      <c r="K1383" s="761" t="s">
        <v>2411</v>
      </c>
      <c r="L1383" s="761">
        <v>45093</v>
      </c>
      <c r="M1383" s="761" t="s">
        <v>2411</v>
      </c>
      <c r="N1383" s="761">
        <v>45093</v>
      </c>
      <c r="O1383" s="3" t="s">
        <v>62</v>
      </c>
      <c r="P1383" s="4" t="s">
        <v>4152</v>
      </c>
      <c r="Q1383" s="3" t="s">
        <v>4153</v>
      </c>
      <c r="R1383" s="825"/>
      <c r="S1383" s="3" t="s">
        <v>130</v>
      </c>
      <c r="T1383" s="825"/>
      <c r="U1383" s="786">
        <v>318.89999999999998</v>
      </c>
      <c r="V1383" s="825"/>
      <c r="W1383" s="825"/>
      <c r="X1383" s="3" t="s">
        <v>2411</v>
      </c>
      <c r="Y1383" s="761">
        <v>45093</v>
      </c>
      <c r="Z1383" s="3" t="s">
        <v>62</v>
      </c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</row>
    <row r="1384" spans="1:39">
      <c r="B1384" s="904">
        <v>6</v>
      </c>
      <c r="C1384" s="807" t="s">
        <v>3454</v>
      </c>
      <c r="D1384" s="801">
        <v>200102184</v>
      </c>
      <c r="E1384" s="1485" t="s">
        <v>4154</v>
      </c>
      <c r="F1384" s="3">
        <v>4</v>
      </c>
      <c r="G1384" s="3" t="s">
        <v>60</v>
      </c>
      <c r="H1384" s="3" t="s">
        <v>128</v>
      </c>
      <c r="I1384" s="786">
        <v>536.6</v>
      </c>
      <c r="J1384" s="786">
        <f>149.14+153</f>
        <v>302.14</v>
      </c>
      <c r="K1384" s="761" t="s">
        <v>2411</v>
      </c>
      <c r="L1384" s="761">
        <v>45093</v>
      </c>
      <c r="M1384" s="761" t="s">
        <v>2411</v>
      </c>
      <c r="N1384" s="761">
        <v>45093</v>
      </c>
      <c r="O1384" s="3" t="s">
        <v>62</v>
      </c>
      <c r="P1384" s="4" t="s">
        <v>4155</v>
      </c>
      <c r="Q1384" s="3" t="s">
        <v>4156</v>
      </c>
      <c r="R1384" s="825"/>
      <c r="S1384" s="3" t="s">
        <v>130</v>
      </c>
      <c r="T1384" s="825"/>
      <c r="U1384" s="786">
        <v>318.2</v>
      </c>
      <c r="V1384" s="825"/>
      <c r="W1384" s="825"/>
      <c r="X1384" s="3" t="s">
        <v>2411</v>
      </c>
      <c r="Y1384" s="761">
        <v>45093</v>
      </c>
      <c r="Z1384" s="3" t="s">
        <v>62</v>
      </c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</row>
    <row r="1385" spans="1:39">
      <c r="B1385" s="904">
        <v>6</v>
      </c>
      <c r="C1385" s="807" t="s">
        <v>3454</v>
      </c>
      <c r="D1385" s="801">
        <v>200102185</v>
      </c>
      <c r="E1385" s="1485" t="s">
        <v>4157</v>
      </c>
      <c r="F1385" s="3">
        <v>5</v>
      </c>
      <c r="G1385" s="3" t="s">
        <v>60</v>
      </c>
      <c r="H1385" s="3" t="s">
        <v>60</v>
      </c>
      <c r="I1385" s="786">
        <v>541.1</v>
      </c>
      <c r="J1385" s="786">
        <v>303.42</v>
      </c>
      <c r="K1385" s="761" t="s">
        <v>2411</v>
      </c>
      <c r="L1385" s="761">
        <v>45093</v>
      </c>
      <c r="M1385" s="761" t="s">
        <v>2411</v>
      </c>
      <c r="N1385" s="761">
        <v>45096</v>
      </c>
      <c r="O1385" s="3" t="s">
        <v>62</v>
      </c>
      <c r="P1385" s="4" t="s">
        <v>4155</v>
      </c>
      <c r="Q1385" s="3" t="s">
        <v>4158</v>
      </c>
      <c r="R1385" s="825"/>
      <c r="S1385" s="3" t="s">
        <v>130</v>
      </c>
      <c r="T1385" s="825"/>
      <c r="U1385" s="786">
        <v>319.10000000000002</v>
      </c>
      <c r="V1385" s="825"/>
      <c r="W1385" s="825"/>
      <c r="X1385" s="3" t="s">
        <v>2411</v>
      </c>
      <c r="Y1385" s="761">
        <v>45096</v>
      </c>
      <c r="Z1385" s="3" t="s">
        <v>62</v>
      </c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</row>
    <row r="1386" spans="1:39">
      <c r="B1386" s="904">
        <v>6</v>
      </c>
      <c r="C1386" s="807" t="s">
        <v>3454</v>
      </c>
      <c r="D1386" s="801">
        <v>200102194</v>
      </c>
      <c r="E1386" s="1485" t="s">
        <v>4159</v>
      </c>
      <c r="F1386" s="3">
        <v>6</v>
      </c>
      <c r="G1386" s="3" t="s">
        <v>60</v>
      </c>
      <c r="H1386" s="3" t="s">
        <v>128</v>
      </c>
      <c r="I1386" s="786">
        <v>532.9</v>
      </c>
      <c r="J1386" s="786">
        <v>304.89</v>
      </c>
      <c r="K1386" s="761" t="s">
        <v>2411</v>
      </c>
      <c r="L1386" s="761">
        <v>45098</v>
      </c>
      <c r="M1386" s="761" t="s">
        <v>2411</v>
      </c>
      <c r="N1386" s="761">
        <v>45098</v>
      </c>
      <c r="O1386" s="3" t="s">
        <v>62</v>
      </c>
      <c r="P1386" s="4" t="s">
        <v>4160</v>
      </c>
      <c r="Q1386" s="3" t="s">
        <v>4161</v>
      </c>
      <c r="R1386" s="825"/>
      <c r="S1386" s="3" t="s">
        <v>130</v>
      </c>
      <c r="T1386" s="825"/>
      <c r="U1386" s="786">
        <v>320.60000000000002</v>
      </c>
      <c r="V1386" s="825"/>
      <c r="W1386" s="825"/>
      <c r="X1386" s="3" t="s">
        <v>2411</v>
      </c>
      <c r="Y1386" s="761">
        <v>45098</v>
      </c>
      <c r="Z1386" s="3" t="s">
        <v>62</v>
      </c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</row>
    <row r="1387" spans="1:39">
      <c r="B1387" s="904">
        <v>6</v>
      </c>
      <c r="C1387" s="807" t="s">
        <v>3454</v>
      </c>
      <c r="D1387" s="801">
        <v>200102195</v>
      </c>
      <c r="E1387" s="1485" t="s">
        <v>4162</v>
      </c>
      <c r="F1387" s="3">
        <v>7</v>
      </c>
      <c r="G1387" s="3" t="s">
        <v>60</v>
      </c>
      <c r="H1387" s="3" t="s">
        <v>128</v>
      </c>
      <c r="I1387" s="786">
        <v>533.9</v>
      </c>
      <c r="J1387" s="786">
        <v>305.67</v>
      </c>
      <c r="K1387" s="761" t="s">
        <v>2411</v>
      </c>
      <c r="L1387" s="761">
        <v>45098</v>
      </c>
      <c r="M1387" s="761" t="s">
        <v>2411</v>
      </c>
      <c r="N1387" s="761">
        <v>45098</v>
      </c>
      <c r="O1387" s="3" t="s">
        <v>62</v>
      </c>
      <c r="P1387" s="4" t="s">
        <v>4163</v>
      </c>
      <c r="Q1387" s="3" t="s">
        <v>4164</v>
      </c>
      <c r="R1387" s="825"/>
      <c r="S1387" s="3" t="s">
        <v>130</v>
      </c>
      <c r="T1387" s="825"/>
      <c r="U1387" s="786">
        <v>321.7</v>
      </c>
      <c r="V1387" s="825"/>
      <c r="W1387" s="825"/>
      <c r="X1387" s="3" t="s">
        <v>2411</v>
      </c>
      <c r="Y1387" s="761">
        <v>45098</v>
      </c>
      <c r="Z1387" s="3" t="s">
        <v>62</v>
      </c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</row>
    <row r="1388" spans="1:39">
      <c r="B1388" s="904">
        <v>6</v>
      </c>
      <c r="C1388" s="807" t="s">
        <v>3454</v>
      </c>
      <c r="D1388" s="801">
        <v>200102196</v>
      </c>
      <c r="E1388" s="1485" t="s">
        <v>4165</v>
      </c>
      <c r="F1388" s="3">
        <v>8</v>
      </c>
      <c r="G1388" s="3" t="s">
        <v>60</v>
      </c>
      <c r="H1388" s="3" t="s">
        <v>60</v>
      </c>
      <c r="I1388" s="786">
        <v>543.65</v>
      </c>
      <c r="J1388" s="786">
        <v>307.69</v>
      </c>
      <c r="K1388" s="761" t="s">
        <v>2411</v>
      </c>
      <c r="L1388" s="761">
        <v>45099</v>
      </c>
      <c r="M1388" s="761" t="s">
        <v>2411</v>
      </c>
      <c r="N1388" s="761">
        <v>45099</v>
      </c>
      <c r="O1388" s="3" t="s">
        <v>62</v>
      </c>
      <c r="P1388" s="4" t="s">
        <v>4166</v>
      </c>
      <c r="Q1388" s="3" t="s">
        <v>4167</v>
      </c>
      <c r="R1388" s="825"/>
      <c r="S1388" s="3" t="s">
        <v>130</v>
      </c>
      <c r="T1388" s="825"/>
      <c r="U1388" s="786">
        <v>323.7</v>
      </c>
      <c r="V1388" s="825"/>
      <c r="W1388" s="825"/>
      <c r="X1388" s="3" t="s">
        <v>2411</v>
      </c>
      <c r="Y1388" s="761">
        <v>45099</v>
      </c>
      <c r="Z1388" s="3" t="s">
        <v>62</v>
      </c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</row>
    <row r="1389" spans="1:39">
      <c r="B1389" s="904">
        <v>6</v>
      </c>
      <c r="C1389" s="807" t="s">
        <v>3454</v>
      </c>
      <c r="D1389" s="801">
        <v>200102197</v>
      </c>
      <c r="E1389" s="1485" t="s">
        <v>4168</v>
      </c>
      <c r="F1389" s="3">
        <v>9</v>
      </c>
      <c r="G1389" s="3" t="s">
        <v>60</v>
      </c>
      <c r="H1389" s="3" t="s">
        <v>128</v>
      </c>
      <c r="I1389" s="786">
        <v>530.9</v>
      </c>
      <c r="J1389" s="786">
        <v>304.52</v>
      </c>
      <c r="K1389" s="761" t="s">
        <v>2411</v>
      </c>
      <c r="L1389" s="761">
        <v>45099</v>
      </c>
      <c r="M1389" s="761" t="s">
        <v>2411</v>
      </c>
      <c r="N1389" s="761">
        <v>45099</v>
      </c>
      <c r="O1389" s="3" t="s">
        <v>62</v>
      </c>
      <c r="P1389" s="4" t="s">
        <v>4169</v>
      </c>
      <c r="Q1389" s="3" t="s">
        <v>4170</v>
      </c>
      <c r="R1389" s="825"/>
      <c r="S1389" s="3" t="s">
        <v>130</v>
      </c>
      <c r="T1389" s="825"/>
      <c r="U1389" s="786">
        <v>320.39999999999998</v>
      </c>
      <c r="V1389" s="825"/>
      <c r="W1389" s="825"/>
      <c r="X1389" s="3" t="s">
        <v>2411</v>
      </c>
      <c r="Y1389" s="761">
        <v>45099</v>
      </c>
      <c r="Z1389" s="3" t="s">
        <v>62</v>
      </c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</row>
    <row r="1390" spans="1:39" s="707" customFormat="1">
      <c r="A1390"/>
      <c r="B1390" s="914" t="s">
        <v>13</v>
      </c>
      <c r="C1390" s="915" t="s">
        <v>1761</v>
      </c>
      <c r="D1390" s="823"/>
      <c r="E1390" s="9"/>
      <c r="F1390" s="807"/>
      <c r="G1390" s="807"/>
      <c r="H1390" s="807"/>
      <c r="I1390" s="820"/>
      <c r="J1390" s="820"/>
      <c r="K1390" s="819"/>
      <c r="L1390" s="819"/>
      <c r="M1390" s="819"/>
      <c r="N1390" s="819"/>
      <c r="O1390" s="807"/>
      <c r="P1390" s="710"/>
      <c r="Q1390" s="807"/>
      <c r="R1390" s="807"/>
      <c r="S1390" s="807"/>
      <c r="T1390" s="807"/>
      <c r="U1390" s="820"/>
      <c r="V1390" s="807"/>
      <c r="W1390" s="807"/>
      <c r="X1390" s="807"/>
      <c r="Y1390" s="819"/>
      <c r="Z1390" s="807"/>
      <c r="AA1390" s="710"/>
      <c r="AB1390" s="710"/>
      <c r="AC1390" s="710"/>
      <c r="AD1390" s="710"/>
      <c r="AE1390" s="710"/>
      <c r="AF1390" s="710"/>
      <c r="AG1390" s="710"/>
      <c r="AH1390" s="710"/>
      <c r="AI1390" s="710"/>
      <c r="AJ1390" s="710"/>
      <c r="AK1390" s="710"/>
      <c r="AL1390" s="710"/>
      <c r="AM1390" s="710"/>
    </row>
    <row r="1391" spans="1:39">
      <c r="B1391" s="904">
        <v>8</v>
      </c>
      <c r="C1391" s="807" t="s">
        <v>3454</v>
      </c>
      <c r="D1391" s="801">
        <v>200102531</v>
      </c>
      <c r="E1391" s="1485" t="s">
        <v>4171</v>
      </c>
      <c r="F1391" s="3">
        <v>1</v>
      </c>
      <c r="G1391" s="3" t="s">
        <v>60</v>
      </c>
      <c r="H1391" s="3" t="s">
        <v>60</v>
      </c>
      <c r="I1391" s="786">
        <v>539.6</v>
      </c>
      <c r="J1391" s="786">
        <v>301.8</v>
      </c>
      <c r="K1391" s="761" t="s">
        <v>2556</v>
      </c>
      <c r="L1391" s="761">
        <v>45142</v>
      </c>
      <c r="M1391" s="761" t="s">
        <v>2556</v>
      </c>
      <c r="N1391" s="761">
        <v>45145</v>
      </c>
      <c r="O1391" s="3" t="s">
        <v>62</v>
      </c>
      <c r="P1391" s="4" t="s">
        <v>4172</v>
      </c>
      <c r="Q1391" s="3" t="s">
        <v>4173</v>
      </c>
      <c r="R1391" s="825"/>
      <c r="S1391" s="3" t="s">
        <v>130</v>
      </c>
      <c r="T1391" s="825"/>
      <c r="U1391" s="786">
        <v>317.8</v>
      </c>
      <c r="V1391" s="825"/>
      <c r="W1391" s="825"/>
      <c r="X1391" s="3" t="s">
        <v>2556</v>
      </c>
      <c r="Y1391" s="761">
        <v>45145</v>
      </c>
      <c r="Z1391" s="3" t="s">
        <v>62</v>
      </c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</row>
    <row r="1392" spans="1:39">
      <c r="B1392" s="904">
        <v>8</v>
      </c>
      <c r="C1392" s="807" t="s">
        <v>3454</v>
      </c>
      <c r="D1392" s="801">
        <v>200102532</v>
      </c>
      <c r="E1392" s="1485" t="s">
        <v>4174</v>
      </c>
      <c r="F1392" s="3">
        <v>2</v>
      </c>
      <c r="G1392" s="3" t="s">
        <v>60</v>
      </c>
      <c r="H1392" s="3" t="s">
        <v>60</v>
      </c>
      <c r="I1392" s="762">
        <v>531.79999999999995</v>
      </c>
      <c r="J1392" s="786">
        <v>306.7</v>
      </c>
      <c r="K1392" s="761" t="s">
        <v>2556</v>
      </c>
      <c r="L1392" s="761">
        <v>45145</v>
      </c>
      <c r="M1392" s="761" t="s">
        <v>2556</v>
      </c>
      <c r="N1392" s="761">
        <v>45145</v>
      </c>
      <c r="O1392" s="3" t="s">
        <v>62</v>
      </c>
      <c r="P1392" s="4" t="s">
        <v>4175</v>
      </c>
      <c r="Q1392" s="3" t="s">
        <v>4054</v>
      </c>
      <c r="R1392" s="825"/>
      <c r="S1392" s="3" t="s">
        <v>130</v>
      </c>
      <c r="T1392" s="825"/>
      <c r="U1392" s="786">
        <v>322.8</v>
      </c>
      <c r="V1392" s="825"/>
      <c r="W1392" s="825"/>
      <c r="X1392" s="3" t="s">
        <v>2556</v>
      </c>
      <c r="Y1392" s="761">
        <v>45145</v>
      </c>
      <c r="Z1392" s="3" t="s">
        <v>62</v>
      </c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</row>
    <row r="1393" spans="1:39">
      <c r="B1393" s="904">
        <v>8</v>
      </c>
      <c r="C1393" s="807" t="s">
        <v>3454</v>
      </c>
      <c r="D1393" s="801">
        <v>200102533</v>
      </c>
      <c r="E1393" s="1485" t="s">
        <v>4176</v>
      </c>
      <c r="F1393" s="3">
        <v>3</v>
      </c>
      <c r="G1393" s="3" t="s">
        <v>60</v>
      </c>
      <c r="H1393" s="3" t="s">
        <v>60</v>
      </c>
      <c r="I1393" s="786">
        <v>533.1</v>
      </c>
      <c r="J1393" s="786">
        <v>306.25</v>
      </c>
      <c r="K1393" s="761" t="s">
        <v>2556</v>
      </c>
      <c r="L1393" s="761">
        <v>45146</v>
      </c>
      <c r="M1393" s="761" t="s">
        <v>2556</v>
      </c>
      <c r="N1393" s="761">
        <v>45146</v>
      </c>
      <c r="O1393" s="3" t="s">
        <v>62</v>
      </c>
      <c r="P1393" s="4" t="s">
        <v>4177</v>
      </c>
      <c r="Q1393" s="3" t="s">
        <v>4178</v>
      </c>
      <c r="R1393" s="825"/>
      <c r="S1393" s="3" t="s">
        <v>130</v>
      </c>
      <c r="T1393" s="825"/>
      <c r="U1393" s="786">
        <v>321.60000000000002</v>
      </c>
      <c r="V1393" s="825"/>
      <c r="W1393" s="825"/>
      <c r="X1393" s="3" t="s">
        <v>2556</v>
      </c>
      <c r="Y1393" s="761">
        <v>45146</v>
      </c>
      <c r="Z1393" s="3" t="s">
        <v>62</v>
      </c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</row>
    <row r="1394" spans="1:39">
      <c r="B1394" s="904">
        <v>8</v>
      </c>
      <c r="C1394" s="807" t="s">
        <v>3454</v>
      </c>
      <c r="D1394" s="801">
        <v>200102534</v>
      </c>
      <c r="E1394" s="1485" t="s">
        <v>4179</v>
      </c>
      <c r="F1394" s="3">
        <v>4</v>
      </c>
      <c r="G1394" s="3" t="s">
        <v>60</v>
      </c>
      <c r="H1394" s="3" t="s">
        <v>60</v>
      </c>
      <c r="I1394" s="786">
        <v>536</v>
      </c>
      <c r="J1394" s="786">
        <v>307.95</v>
      </c>
      <c r="K1394" s="761" t="s">
        <v>2556</v>
      </c>
      <c r="L1394" s="761">
        <v>45147</v>
      </c>
      <c r="M1394" s="761" t="s">
        <v>2556</v>
      </c>
      <c r="N1394" s="761">
        <v>45146</v>
      </c>
      <c r="O1394" s="3" t="s">
        <v>62</v>
      </c>
      <c r="P1394" s="4" t="s">
        <v>4180</v>
      </c>
      <c r="Q1394" s="3" t="s">
        <v>3582</v>
      </c>
      <c r="R1394" s="825"/>
      <c r="S1394" s="3" t="s">
        <v>130</v>
      </c>
      <c r="T1394" s="825"/>
      <c r="U1394" s="786">
        <v>322.2</v>
      </c>
      <c r="V1394" s="825"/>
      <c r="W1394" s="825"/>
      <c r="X1394" s="3" t="s">
        <v>2556</v>
      </c>
      <c r="Y1394" s="761">
        <v>45146</v>
      </c>
      <c r="Z1394" s="3" t="s">
        <v>62</v>
      </c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</row>
    <row r="1395" spans="1:39">
      <c r="B1395" s="904">
        <v>8</v>
      </c>
      <c r="C1395" s="807" t="s">
        <v>3454</v>
      </c>
      <c r="D1395" s="801">
        <v>200102697</v>
      </c>
      <c r="E1395" s="1485" t="s">
        <v>4181</v>
      </c>
      <c r="F1395" s="3">
        <v>5</v>
      </c>
      <c r="G1395" s="3" t="s">
        <v>60</v>
      </c>
      <c r="H1395" s="3" t="s">
        <v>60</v>
      </c>
      <c r="I1395" s="786">
        <v>538.70000000000005</v>
      </c>
      <c r="J1395" s="762">
        <v>301.70999999999998</v>
      </c>
      <c r="K1395" s="761" t="s">
        <v>2556</v>
      </c>
      <c r="L1395" s="761">
        <v>45148</v>
      </c>
      <c r="M1395" s="761" t="s">
        <v>2556</v>
      </c>
      <c r="N1395" s="761">
        <v>45147</v>
      </c>
      <c r="O1395" s="3" t="s">
        <v>62</v>
      </c>
      <c r="P1395" s="4" t="s">
        <v>4182</v>
      </c>
      <c r="Q1395" s="3" t="s">
        <v>4183</v>
      </c>
      <c r="R1395" s="825"/>
      <c r="S1395" s="3" t="s">
        <v>130</v>
      </c>
      <c r="T1395" s="825"/>
      <c r="U1395" s="786">
        <v>321.39999999999998</v>
      </c>
      <c r="V1395" s="825"/>
      <c r="W1395" s="825"/>
      <c r="X1395" s="3" t="s">
        <v>2556</v>
      </c>
      <c r="Y1395" s="761">
        <v>45148</v>
      </c>
      <c r="Z1395" s="3" t="s">
        <v>62</v>
      </c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</row>
    <row r="1396" spans="1:39">
      <c r="B1396" s="904">
        <v>8</v>
      </c>
      <c r="C1396" s="807" t="s">
        <v>3454</v>
      </c>
      <c r="D1396" s="801">
        <v>200102698</v>
      </c>
      <c r="E1396" s="1485" t="s">
        <v>4184</v>
      </c>
      <c r="F1396" s="3">
        <v>6</v>
      </c>
      <c r="G1396" s="3" t="s">
        <v>60</v>
      </c>
      <c r="H1396" s="3" t="s">
        <v>60</v>
      </c>
      <c r="I1396" s="786">
        <v>544.1</v>
      </c>
      <c r="J1396" s="786">
        <v>305.75</v>
      </c>
      <c r="K1396" s="761" t="s">
        <v>2556</v>
      </c>
      <c r="L1396" s="761">
        <v>45148</v>
      </c>
      <c r="M1396" s="761" t="s">
        <v>2556</v>
      </c>
      <c r="N1396" s="761">
        <v>45147</v>
      </c>
      <c r="O1396" s="3" t="s">
        <v>62</v>
      </c>
      <c r="P1396" s="4" t="s">
        <v>4185</v>
      </c>
      <c r="Q1396" s="3" t="s">
        <v>610</v>
      </c>
      <c r="R1396" s="825"/>
      <c r="S1396" s="3" t="s">
        <v>130</v>
      </c>
      <c r="T1396" s="825"/>
      <c r="U1396" s="786">
        <v>320.39999999999998</v>
      </c>
      <c r="V1396" s="825"/>
      <c r="W1396" s="825"/>
      <c r="X1396" s="3" t="s">
        <v>2556</v>
      </c>
      <c r="Y1396" s="761">
        <v>45148</v>
      </c>
      <c r="Z1396" s="3" t="s">
        <v>62</v>
      </c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</row>
    <row r="1397" spans="1:39">
      <c r="B1397" s="904">
        <v>8</v>
      </c>
      <c r="C1397" s="807" t="s">
        <v>3454</v>
      </c>
      <c r="D1397" s="801">
        <v>200102699</v>
      </c>
      <c r="E1397" s="1485" t="s">
        <v>4186</v>
      </c>
      <c r="F1397" s="3">
        <v>7</v>
      </c>
      <c r="G1397" s="3" t="s">
        <v>60</v>
      </c>
      <c r="H1397" s="3" t="s">
        <v>128</v>
      </c>
      <c r="I1397" s="762">
        <v>541.5</v>
      </c>
      <c r="J1397" s="786">
        <v>305.08999999999997</v>
      </c>
      <c r="K1397" s="761" t="s">
        <v>2556</v>
      </c>
      <c r="L1397" s="761">
        <v>45148</v>
      </c>
      <c r="M1397" s="761" t="s">
        <v>2556</v>
      </c>
      <c r="N1397" s="761">
        <v>45148</v>
      </c>
      <c r="O1397" s="3" t="s">
        <v>62</v>
      </c>
      <c r="P1397" s="4" t="s">
        <v>4187</v>
      </c>
      <c r="Q1397" s="3" t="s">
        <v>4188</v>
      </c>
      <c r="R1397" s="825"/>
      <c r="S1397" s="3" t="s">
        <v>130</v>
      </c>
      <c r="T1397" s="825"/>
      <c r="U1397" s="786">
        <v>320.39999999999998</v>
      </c>
      <c r="V1397" s="825"/>
      <c r="W1397" s="825"/>
      <c r="X1397" s="3" t="s">
        <v>2556</v>
      </c>
      <c r="Y1397" s="761">
        <v>45148</v>
      </c>
      <c r="Z1397" s="3" t="s">
        <v>62</v>
      </c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</row>
    <row r="1398" spans="1:39">
      <c r="B1398" s="904">
        <v>8</v>
      </c>
      <c r="C1398" s="807" t="s">
        <v>3454</v>
      </c>
      <c r="D1398" s="801">
        <v>200102900</v>
      </c>
      <c r="E1398" s="1485" t="s">
        <v>4189</v>
      </c>
      <c r="F1398" s="3">
        <v>8</v>
      </c>
      <c r="G1398" s="3" t="s">
        <v>60</v>
      </c>
      <c r="H1398" s="3" t="s">
        <v>128</v>
      </c>
      <c r="I1398" s="786">
        <v>539.1</v>
      </c>
      <c r="J1398" s="786">
        <v>304.26</v>
      </c>
      <c r="K1398" s="761" t="s">
        <v>2556</v>
      </c>
      <c r="L1398" s="761">
        <v>45160</v>
      </c>
      <c r="M1398" s="761" t="s">
        <v>2556</v>
      </c>
      <c r="N1398" s="761">
        <v>45161</v>
      </c>
      <c r="O1398" s="3" t="s">
        <v>62</v>
      </c>
      <c r="P1398" s="4" t="s">
        <v>4190</v>
      </c>
      <c r="Q1398" s="3" t="s">
        <v>4191</v>
      </c>
      <c r="R1398" s="825"/>
      <c r="S1398" s="3" t="s">
        <v>130</v>
      </c>
      <c r="T1398" s="825"/>
      <c r="U1398" s="786">
        <v>320.3</v>
      </c>
      <c r="V1398" s="825"/>
      <c r="W1398" s="825"/>
      <c r="X1398" s="3" t="s">
        <v>2556</v>
      </c>
      <c r="Y1398" s="761">
        <v>45161</v>
      </c>
      <c r="Z1398" s="3" t="s">
        <v>62</v>
      </c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</row>
    <row r="1399" spans="1:39">
      <c r="B1399" s="904">
        <v>8</v>
      </c>
      <c r="C1399" s="807" t="s">
        <v>3454</v>
      </c>
      <c r="D1399" s="801">
        <v>200102901</v>
      </c>
      <c r="E1399" s="1485" t="s">
        <v>4192</v>
      </c>
      <c r="F1399" s="3">
        <v>9</v>
      </c>
      <c r="G1399" s="3" t="s">
        <v>60</v>
      </c>
      <c r="H1399" s="3" t="s">
        <v>128</v>
      </c>
      <c r="I1399" s="786">
        <v>543.53</v>
      </c>
      <c r="J1399" s="786">
        <v>308.23</v>
      </c>
      <c r="K1399" s="761" t="s">
        <v>2556</v>
      </c>
      <c r="L1399" s="761">
        <v>45161</v>
      </c>
      <c r="M1399" s="761" t="s">
        <v>2556</v>
      </c>
      <c r="N1399" s="761">
        <v>45161</v>
      </c>
      <c r="O1399" s="3" t="s">
        <v>62</v>
      </c>
      <c r="P1399" s="4" t="s">
        <v>4193</v>
      </c>
      <c r="Q1399" s="3" t="s">
        <v>4194</v>
      </c>
      <c r="R1399" s="825"/>
      <c r="S1399" s="3" t="s">
        <v>130</v>
      </c>
      <c r="T1399" s="825"/>
      <c r="U1399" s="786">
        <v>324.39999999999998</v>
      </c>
      <c r="V1399" s="825"/>
      <c r="W1399" s="825"/>
      <c r="X1399" s="3" t="s">
        <v>2556</v>
      </c>
      <c r="Y1399" s="761">
        <v>45162</v>
      </c>
      <c r="Z1399" s="3" t="s">
        <v>62</v>
      </c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</row>
    <row r="1400" spans="1:39" s="707" customFormat="1">
      <c r="A1400"/>
      <c r="B1400" s="914" t="s">
        <v>13</v>
      </c>
      <c r="C1400" s="915" t="s">
        <v>1760</v>
      </c>
      <c r="D1400" s="823"/>
      <c r="E1400" s="9"/>
      <c r="F1400" s="807"/>
      <c r="G1400" s="807"/>
      <c r="H1400" s="807"/>
      <c r="I1400" s="820"/>
      <c r="J1400" s="820"/>
      <c r="K1400" s="819"/>
      <c r="L1400" s="819"/>
      <c r="M1400" s="819"/>
      <c r="N1400" s="819"/>
      <c r="O1400" s="807"/>
      <c r="P1400" s="710"/>
      <c r="Q1400" s="807"/>
      <c r="R1400" s="807"/>
      <c r="S1400" s="807"/>
      <c r="T1400" s="807"/>
      <c r="U1400" s="820"/>
      <c r="V1400" s="807"/>
      <c r="W1400" s="807"/>
      <c r="X1400" s="807"/>
      <c r="Y1400" s="819"/>
      <c r="Z1400" s="807"/>
      <c r="AA1400" s="710"/>
      <c r="AB1400" s="710"/>
      <c r="AC1400" s="710"/>
      <c r="AD1400" s="710"/>
      <c r="AE1400" s="710"/>
      <c r="AF1400" s="710"/>
      <c r="AG1400" s="710"/>
      <c r="AH1400" s="710"/>
      <c r="AI1400" s="710"/>
      <c r="AJ1400" s="710"/>
      <c r="AK1400" s="710"/>
      <c r="AL1400" s="710"/>
      <c r="AM1400" s="710"/>
    </row>
    <row r="1401" spans="1:39">
      <c r="B1401" s="904">
        <v>9</v>
      </c>
      <c r="C1401" s="807" t="s">
        <v>3454</v>
      </c>
      <c r="D1401" s="801">
        <v>200102878</v>
      </c>
      <c r="E1401" s="1485" t="s">
        <v>4195</v>
      </c>
      <c r="F1401" s="3">
        <v>1</v>
      </c>
      <c r="G1401" s="3" t="s">
        <v>60</v>
      </c>
      <c r="H1401" s="3" t="s">
        <v>128</v>
      </c>
      <c r="I1401" s="786">
        <v>539.1</v>
      </c>
      <c r="J1401" s="786">
        <v>305.72000000000003</v>
      </c>
      <c r="K1401" s="761" t="s">
        <v>2556</v>
      </c>
      <c r="L1401" s="761">
        <v>45162</v>
      </c>
      <c r="M1401" s="761" t="s">
        <v>2556</v>
      </c>
      <c r="N1401" s="761">
        <v>45162</v>
      </c>
      <c r="O1401" s="3" t="s">
        <v>62</v>
      </c>
      <c r="P1401" s="4" t="s">
        <v>4196</v>
      </c>
      <c r="Q1401" s="3" t="s">
        <v>4197</v>
      </c>
      <c r="R1401" s="825"/>
      <c r="S1401" s="3" t="s">
        <v>130</v>
      </c>
      <c r="T1401" s="825"/>
      <c r="U1401" s="786">
        <v>321.5</v>
      </c>
      <c r="V1401" s="825"/>
      <c r="W1401" s="825"/>
      <c r="X1401" s="3" t="s">
        <v>2556</v>
      </c>
      <c r="Y1401" s="761">
        <v>45162</v>
      </c>
      <c r="Z1401" s="3" t="s">
        <v>62</v>
      </c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</row>
    <row r="1402" spans="1:39">
      <c r="B1402" s="904">
        <v>9</v>
      </c>
      <c r="C1402" s="807" t="s">
        <v>3454</v>
      </c>
      <c r="D1402" s="801">
        <v>200103150</v>
      </c>
      <c r="E1402" s="1485" t="s">
        <v>4198</v>
      </c>
      <c r="F1402" s="3">
        <v>2</v>
      </c>
      <c r="G1402" s="3" t="s">
        <v>60</v>
      </c>
      <c r="H1402" s="3" t="s">
        <v>128</v>
      </c>
      <c r="I1402" s="786">
        <v>536.5</v>
      </c>
      <c r="J1402" s="786">
        <v>304.73</v>
      </c>
      <c r="K1402" s="761" t="s">
        <v>2556</v>
      </c>
      <c r="L1402" s="761">
        <v>45169</v>
      </c>
      <c r="M1402" s="761" t="s">
        <v>2661</v>
      </c>
      <c r="N1402" s="761">
        <v>45170</v>
      </c>
      <c r="O1402" s="3" t="s">
        <v>62</v>
      </c>
      <c r="P1402" s="4" t="s">
        <v>4199</v>
      </c>
      <c r="Q1402" s="3" t="s">
        <v>4200</v>
      </c>
      <c r="R1402" s="825"/>
      <c r="S1402" s="3" t="s">
        <v>130</v>
      </c>
      <c r="T1402" s="825"/>
      <c r="U1402" s="786">
        <v>320.39999999999998</v>
      </c>
      <c r="V1402" s="825"/>
      <c r="W1402" s="825"/>
      <c r="X1402" s="3" t="s">
        <v>2661</v>
      </c>
      <c r="Y1402" s="761">
        <v>45170</v>
      </c>
      <c r="Z1402" s="3" t="s">
        <v>62</v>
      </c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</row>
    <row r="1403" spans="1:39">
      <c r="B1403" s="904">
        <v>9</v>
      </c>
      <c r="C1403" s="807" t="s">
        <v>3454</v>
      </c>
      <c r="D1403" s="801">
        <v>200103151</v>
      </c>
      <c r="E1403" s="1485" t="s">
        <v>4201</v>
      </c>
      <c r="F1403" s="3">
        <v>3</v>
      </c>
      <c r="G1403" s="3" t="s">
        <v>60</v>
      </c>
      <c r="H1403" s="3" t="s">
        <v>128</v>
      </c>
      <c r="I1403" s="786">
        <v>535.20000000000005</v>
      </c>
      <c r="J1403" s="786">
        <v>305.51</v>
      </c>
      <c r="K1403" s="761" t="s">
        <v>2661</v>
      </c>
      <c r="L1403" s="761">
        <v>45176</v>
      </c>
      <c r="M1403" s="761" t="s">
        <v>2661</v>
      </c>
      <c r="N1403" s="761">
        <v>45176</v>
      </c>
      <c r="O1403" s="3" t="s">
        <v>62</v>
      </c>
      <c r="P1403" s="4" t="s">
        <v>4202</v>
      </c>
      <c r="Q1403" s="3" t="s">
        <v>4203</v>
      </c>
      <c r="R1403" s="825"/>
      <c r="S1403" s="3" t="s">
        <v>130</v>
      </c>
      <c r="T1403" s="825"/>
      <c r="U1403" s="786">
        <v>321.2</v>
      </c>
      <c r="V1403" s="825"/>
      <c r="W1403" s="825"/>
      <c r="X1403" s="3" t="s">
        <v>2661</v>
      </c>
      <c r="Y1403" s="761">
        <v>45176</v>
      </c>
      <c r="Z1403" s="3" t="s">
        <v>62</v>
      </c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</row>
    <row r="1404" spans="1:39">
      <c r="B1404" s="904">
        <v>9</v>
      </c>
      <c r="C1404" s="807" t="s">
        <v>3454</v>
      </c>
      <c r="D1404" s="801">
        <v>200103152</v>
      </c>
      <c r="E1404" s="12" t="s">
        <v>4204</v>
      </c>
      <c r="F1404" s="3">
        <v>4</v>
      </c>
      <c r="G1404" s="3" t="s">
        <v>60</v>
      </c>
      <c r="H1404" s="3" t="s">
        <v>60</v>
      </c>
      <c r="I1404" s="786">
        <v>536</v>
      </c>
      <c r="J1404" s="786">
        <v>305.55</v>
      </c>
      <c r="K1404" s="761" t="s">
        <v>2661</v>
      </c>
      <c r="L1404" s="761">
        <v>45170</v>
      </c>
      <c r="M1404" s="761" t="s">
        <v>2661</v>
      </c>
      <c r="N1404" s="761">
        <v>45170</v>
      </c>
      <c r="O1404" s="3" t="s">
        <v>62</v>
      </c>
      <c r="P1404" s="4" t="s">
        <v>4205</v>
      </c>
      <c r="Q1404" s="3" t="s">
        <v>4206</v>
      </c>
      <c r="R1404" s="825"/>
      <c r="S1404" s="3" t="s">
        <v>130</v>
      </c>
      <c r="T1404" s="825"/>
      <c r="U1404" s="786">
        <v>321.8</v>
      </c>
      <c r="V1404" s="825"/>
      <c r="W1404" s="825"/>
      <c r="X1404" s="3" t="s">
        <v>2661</v>
      </c>
      <c r="Y1404" s="761">
        <v>45170</v>
      </c>
      <c r="Z1404" s="3" t="s">
        <v>62</v>
      </c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</row>
    <row r="1405" spans="1:39">
      <c r="B1405" s="904">
        <v>9</v>
      </c>
      <c r="C1405" s="807" t="s">
        <v>3454</v>
      </c>
      <c r="D1405" s="801">
        <v>200103153</v>
      </c>
      <c r="E1405" s="1485" t="s">
        <v>4207</v>
      </c>
      <c r="F1405" s="3">
        <v>5</v>
      </c>
      <c r="G1405" s="3" t="s">
        <v>60</v>
      </c>
      <c r="H1405" s="3" t="s">
        <v>60</v>
      </c>
      <c r="I1405" s="786">
        <v>540.1</v>
      </c>
      <c r="J1405" s="786">
        <v>303.43</v>
      </c>
      <c r="K1405" s="761" t="s">
        <v>2661</v>
      </c>
      <c r="L1405" s="761">
        <v>45173</v>
      </c>
      <c r="M1405" s="761" t="s">
        <v>2661</v>
      </c>
      <c r="N1405" s="761">
        <v>45173</v>
      </c>
      <c r="O1405" s="3" t="s">
        <v>62</v>
      </c>
      <c r="P1405" s="4" t="s">
        <v>4208</v>
      </c>
      <c r="Q1405" s="3" t="s">
        <v>4209</v>
      </c>
      <c r="R1405" s="825"/>
      <c r="S1405" s="3" t="s">
        <v>130</v>
      </c>
      <c r="T1405" s="825"/>
      <c r="U1405" s="762">
        <v>329.61</v>
      </c>
      <c r="V1405" s="825"/>
      <c r="W1405" s="825"/>
      <c r="X1405" s="3" t="s">
        <v>2661</v>
      </c>
      <c r="Y1405" s="761">
        <v>45173</v>
      </c>
      <c r="Z1405" s="3" t="s">
        <v>62</v>
      </c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</row>
    <row r="1406" spans="1:39">
      <c r="B1406" s="904">
        <v>9</v>
      </c>
      <c r="C1406" s="807" t="s">
        <v>3454</v>
      </c>
      <c r="D1406" s="801">
        <v>200103154</v>
      </c>
      <c r="E1406" s="1485" t="s">
        <v>4210</v>
      </c>
      <c r="F1406" s="3">
        <v>6</v>
      </c>
      <c r="G1406" s="3" t="s">
        <v>60</v>
      </c>
      <c r="H1406" s="3" t="s">
        <v>128</v>
      </c>
      <c r="I1406" s="786">
        <v>537.61</v>
      </c>
      <c r="J1406" s="786">
        <v>306.11</v>
      </c>
      <c r="K1406" s="761" t="s">
        <v>2661</v>
      </c>
      <c r="L1406" s="761">
        <v>45174</v>
      </c>
      <c r="M1406" s="761" t="s">
        <v>2661</v>
      </c>
      <c r="N1406" s="761">
        <v>45174</v>
      </c>
      <c r="O1406" s="3" t="s">
        <v>62</v>
      </c>
      <c r="P1406" s="4" t="s">
        <v>4211</v>
      </c>
      <c r="Q1406" s="3" t="s">
        <v>4212</v>
      </c>
      <c r="R1406" s="825"/>
      <c r="S1406" s="3" t="s">
        <v>130</v>
      </c>
      <c r="T1406" s="825"/>
      <c r="U1406" s="786">
        <v>322.7</v>
      </c>
      <c r="V1406" s="825"/>
      <c r="W1406" s="825"/>
      <c r="X1406" s="3" t="s">
        <v>2661</v>
      </c>
      <c r="Y1406" s="761">
        <v>45174</v>
      </c>
      <c r="Z1406" s="3" t="s">
        <v>62</v>
      </c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</row>
    <row r="1407" spans="1:39">
      <c r="B1407" s="904">
        <v>9</v>
      </c>
      <c r="C1407" s="807" t="s">
        <v>3454</v>
      </c>
      <c r="D1407" s="801">
        <v>200103155</v>
      </c>
      <c r="E1407" s="1485" t="s">
        <v>4213</v>
      </c>
      <c r="F1407" s="3">
        <v>7</v>
      </c>
      <c r="G1407" s="3" t="s">
        <v>60</v>
      </c>
      <c r="H1407" s="3" t="s">
        <v>128</v>
      </c>
      <c r="I1407" s="786">
        <v>541.41999999999996</v>
      </c>
      <c r="J1407" s="786">
        <v>306.49</v>
      </c>
      <c r="K1407" s="761" t="s">
        <v>2661</v>
      </c>
      <c r="L1407" s="761">
        <v>45174</v>
      </c>
      <c r="M1407" s="761" t="s">
        <v>2661</v>
      </c>
      <c r="N1407" s="761">
        <v>45174</v>
      </c>
      <c r="O1407" s="3" t="s">
        <v>62</v>
      </c>
      <c r="P1407" s="4" t="s">
        <v>4214</v>
      </c>
      <c r="Q1407" s="3" t="s">
        <v>4212</v>
      </c>
      <c r="R1407" s="825"/>
      <c r="S1407" s="3" t="s">
        <v>130</v>
      </c>
      <c r="T1407" s="825"/>
      <c r="U1407" s="786">
        <v>323.10000000000002</v>
      </c>
      <c r="V1407" s="825"/>
      <c r="W1407" s="825"/>
      <c r="X1407" s="3" t="s">
        <v>2661</v>
      </c>
      <c r="Y1407" s="761">
        <v>45174</v>
      </c>
      <c r="Z1407" s="3" t="s">
        <v>62</v>
      </c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</row>
    <row r="1408" spans="1:39">
      <c r="B1408" s="904">
        <v>9</v>
      </c>
      <c r="C1408" s="807" t="s">
        <v>3454</v>
      </c>
      <c r="D1408" s="801">
        <v>200103156</v>
      </c>
      <c r="E1408" s="1485" t="s">
        <v>4215</v>
      </c>
      <c r="F1408" s="3">
        <v>8</v>
      </c>
      <c r="G1408" s="3" t="s">
        <v>60</v>
      </c>
      <c r="H1408" s="3" t="s">
        <v>128</v>
      </c>
      <c r="I1408" s="762">
        <v>541.37</v>
      </c>
      <c r="J1408" s="786">
        <v>303.61</v>
      </c>
      <c r="K1408" s="761" t="s">
        <v>2661</v>
      </c>
      <c r="L1408" s="761">
        <v>45174</v>
      </c>
      <c r="M1408" s="761" t="s">
        <v>2661</v>
      </c>
      <c r="N1408" s="761">
        <v>45175</v>
      </c>
      <c r="O1408" s="3" t="s">
        <v>62</v>
      </c>
      <c r="P1408" s="4" t="s">
        <v>4216</v>
      </c>
      <c r="Q1408" s="3" t="s">
        <v>4217</v>
      </c>
      <c r="R1408" s="825"/>
      <c r="S1408" s="3" t="s">
        <v>130</v>
      </c>
      <c r="T1408" s="825"/>
      <c r="U1408" s="786">
        <v>303.61</v>
      </c>
      <c r="V1408" s="825"/>
      <c r="W1408" s="825"/>
      <c r="X1408" s="3" t="s">
        <v>2661</v>
      </c>
      <c r="Y1408" s="761">
        <v>45175</v>
      </c>
      <c r="Z1408" s="3" t="s">
        <v>62</v>
      </c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</row>
    <row r="1409" spans="1:39">
      <c r="B1409" s="904">
        <v>9</v>
      </c>
      <c r="C1409" s="807" t="s">
        <v>3454</v>
      </c>
      <c r="D1409" s="801">
        <v>200103157</v>
      </c>
      <c r="E1409" s="1485" t="s">
        <v>4218</v>
      </c>
      <c r="F1409" s="3">
        <v>9</v>
      </c>
      <c r="G1409" s="3" t="s">
        <v>60</v>
      </c>
      <c r="H1409" s="3" t="s">
        <v>128</v>
      </c>
      <c r="I1409" s="786">
        <v>536.65</v>
      </c>
      <c r="J1409" s="786">
        <v>307.16000000000003</v>
      </c>
      <c r="K1409" s="761" t="s">
        <v>2661</v>
      </c>
      <c r="L1409" s="761">
        <v>45176</v>
      </c>
      <c r="M1409" s="761" t="s">
        <v>2661</v>
      </c>
      <c r="N1409" s="761">
        <v>45175</v>
      </c>
      <c r="O1409" s="3" t="s">
        <v>62</v>
      </c>
      <c r="P1409" s="4" t="s">
        <v>4219</v>
      </c>
      <c r="Q1409" s="3" t="s">
        <v>4220</v>
      </c>
      <c r="R1409" s="825"/>
      <c r="S1409" s="3" t="s">
        <v>130</v>
      </c>
      <c r="T1409" s="825"/>
      <c r="U1409" s="762">
        <v>322.89999999999998</v>
      </c>
      <c r="V1409" s="825"/>
      <c r="W1409" s="825"/>
      <c r="X1409" s="3" t="s">
        <v>2661</v>
      </c>
      <c r="Y1409" s="761">
        <v>45175</v>
      </c>
      <c r="Z1409" s="3" t="s">
        <v>62</v>
      </c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</row>
    <row r="1410" spans="1:39">
      <c r="B1410" s="904">
        <v>9</v>
      </c>
      <c r="C1410" s="807" t="s">
        <v>3454</v>
      </c>
      <c r="D1410" s="801">
        <v>200103158</v>
      </c>
      <c r="E1410" s="1485" t="s">
        <v>4221</v>
      </c>
      <c r="F1410" s="3">
        <v>10</v>
      </c>
      <c r="G1410" s="3" t="s">
        <v>60</v>
      </c>
      <c r="H1410" s="3" t="s">
        <v>128</v>
      </c>
      <c r="I1410" s="762">
        <v>538.4</v>
      </c>
      <c r="J1410" s="786">
        <v>308.16000000000003</v>
      </c>
      <c r="K1410" s="761" t="s">
        <v>2661</v>
      </c>
      <c r="L1410" s="761">
        <v>45176</v>
      </c>
      <c r="M1410" s="761" t="s">
        <v>2661</v>
      </c>
      <c r="N1410" s="761">
        <v>45176</v>
      </c>
      <c r="O1410" s="3" t="s">
        <v>62</v>
      </c>
      <c r="P1410" s="4" t="s">
        <v>4222</v>
      </c>
      <c r="Q1410" s="3" t="s">
        <v>4223</v>
      </c>
      <c r="R1410" s="825"/>
      <c r="S1410" s="3" t="s">
        <v>130</v>
      </c>
      <c r="T1410" s="825"/>
      <c r="U1410" s="762">
        <v>324.2</v>
      </c>
      <c r="V1410" s="825"/>
      <c r="W1410" s="825"/>
      <c r="X1410" s="3" t="s">
        <v>2661</v>
      </c>
      <c r="Y1410" s="761">
        <v>45176</v>
      </c>
      <c r="Z1410" s="3" t="s">
        <v>62</v>
      </c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</row>
    <row r="1411" spans="1:39">
      <c r="B1411" s="904">
        <v>9</v>
      </c>
      <c r="C1411" s="807" t="s">
        <v>3454</v>
      </c>
      <c r="D1411" s="801">
        <v>200103356</v>
      </c>
      <c r="E1411" s="1485" t="s">
        <v>4224</v>
      </c>
      <c r="F1411" s="3">
        <v>11</v>
      </c>
      <c r="G1411" s="3" t="s">
        <v>60</v>
      </c>
      <c r="H1411" s="3" t="s">
        <v>128</v>
      </c>
      <c r="I1411" s="3">
        <v>543.98</v>
      </c>
      <c r="J1411" s="762">
        <v>300.55</v>
      </c>
      <c r="K1411" s="761" t="s">
        <v>2661</v>
      </c>
      <c r="L1411" s="761">
        <v>45176</v>
      </c>
      <c r="M1411" s="761" t="s">
        <v>2661</v>
      </c>
      <c r="N1411" s="761">
        <v>45176</v>
      </c>
      <c r="O1411" s="3" t="s">
        <v>62</v>
      </c>
      <c r="P1411" s="927" t="s">
        <v>4225</v>
      </c>
      <c r="Q1411" s="3" t="s">
        <v>4226</v>
      </c>
      <c r="R1411" s="825"/>
      <c r="S1411" s="3" t="s">
        <v>130</v>
      </c>
      <c r="T1411" s="825"/>
      <c r="U1411" s="786">
        <v>316.3</v>
      </c>
      <c r="V1411" s="825"/>
      <c r="W1411" s="825"/>
      <c r="X1411" s="3" t="s">
        <v>2661</v>
      </c>
      <c r="Y1411" s="761">
        <v>45176</v>
      </c>
      <c r="Z1411" s="3" t="s">
        <v>62</v>
      </c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</row>
    <row r="1412" spans="1:39">
      <c r="B1412" s="904">
        <v>9</v>
      </c>
      <c r="C1412" s="807" t="s">
        <v>3454</v>
      </c>
      <c r="D1412" s="801">
        <v>200103357</v>
      </c>
      <c r="E1412" s="1485" t="s">
        <v>4227</v>
      </c>
      <c r="F1412" s="3">
        <v>12</v>
      </c>
      <c r="G1412" s="3" t="s">
        <v>60</v>
      </c>
      <c r="H1412" s="3" t="s">
        <v>128</v>
      </c>
      <c r="I1412" s="786">
        <v>536.4</v>
      </c>
      <c r="J1412" s="762">
        <v>307.82</v>
      </c>
      <c r="K1412" s="761" t="s">
        <v>2661</v>
      </c>
      <c r="L1412" s="761">
        <v>45180</v>
      </c>
      <c r="M1412" s="761" t="s">
        <v>2661</v>
      </c>
      <c r="N1412" s="761">
        <v>45176</v>
      </c>
      <c r="O1412" s="3" t="s">
        <v>62</v>
      </c>
      <c r="P1412" s="4" t="s">
        <v>4228</v>
      </c>
      <c r="Q1412" s="3" t="s">
        <v>4229</v>
      </c>
      <c r="R1412" s="825"/>
      <c r="S1412" s="3" t="s">
        <v>130</v>
      </c>
      <c r="T1412" s="825"/>
      <c r="U1412" s="762">
        <v>323.60000000000002</v>
      </c>
      <c r="V1412" s="825"/>
      <c r="W1412" s="825"/>
      <c r="X1412" s="3" t="s">
        <v>2661</v>
      </c>
      <c r="Y1412" s="761">
        <v>45176</v>
      </c>
      <c r="Z1412" s="3" t="s">
        <v>62</v>
      </c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</row>
    <row r="1413" spans="1:39">
      <c r="B1413" s="904">
        <v>9</v>
      </c>
      <c r="C1413" s="807" t="s">
        <v>3454</v>
      </c>
      <c r="D1413" s="801">
        <v>200103358</v>
      </c>
      <c r="E1413" s="1485" t="s">
        <v>4230</v>
      </c>
      <c r="F1413" s="3">
        <v>13</v>
      </c>
      <c r="G1413" s="3" t="s">
        <v>60</v>
      </c>
      <c r="H1413" s="3" t="s">
        <v>128</v>
      </c>
      <c r="I1413" s="850">
        <v>534.20000000000005</v>
      </c>
      <c r="J1413" s="762">
        <v>305.54000000000002</v>
      </c>
      <c r="K1413" s="761" t="s">
        <v>2661</v>
      </c>
      <c r="L1413" s="761">
        <v>45183</v>
      </c>
      <c r="M1413" s="761" t="s">
        <v>2661</v>
      </c>
      <c r="N1413" s="761">
        <v>45184</v>
      </c>
      <c r="O1413" s="3" t="s">
        <v>62</v>
      </c>
      <c r="P1413" s="4" t="s">
        <v>4231</v>
      </c>
      <c r="Q1413" s="3" t="s">
        <v>4232</v>
      </c>
      <c r="R1413" s="825"/>
      <c r="S1413" s="3" t="s">
        <v>130</v>
      </c>
      <c r="T1413" s="825"/>
      <c r="U1413" s="786">
        <v>321.2</v>
      </c>
      <c r="V1413" s="825"/>
      <c r="W1413" s="825"/>
      <c r="X1413" s="3" t="s">
        <v>2661</v>
      </c>
      <c r="Y1413" s="761">
        <v>45187</v>
      </c>
      <c r="Z1413" s="3" t="s">
        <v>62</v>
      </c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</row>
    <row r="1414" spans="1:39">
      <c r="B1414" s="904">
        <v>9</v>
      </c>
      <c r="C1414" s="807" t="s">
        <v>3454</v>
      </c>
      <c r="D1414" s="801">
        <v>200103359</v>
      </c>
      <c r="E1414" s="1485" t="s">
        <v>4233</v>
      </c>
      <c r="F1414" s="3">
        <v>14</v>
      </c>
      <c r="G1414" s="3" t="s">
        <v>60</v>
      </c>
      <c r="H1414" s="3" t="s">
        <v>60</v>
      </c>
      <c r="I1414" s="786">
        <v>540.4</v>
      </c>
      <c r="J1414" s="762">
        <v>303.88</v>
      </c>
      <c r="K1414" s="761" t="s">
        <v>2661</v>
      </c>
      <c r="L1414" s="761">
        <v>45183</v>
      </c>
      <c r="M1414" s="761" t="s">
        <v>2661</v>
      </c>
      <c r="N1414" s="761">
        <v>45184</v>
      </c>
      <c r="O1414" s="3" t="s">
        <v>62</v>
      </c>
      <c r="P1414" s="4" t="s">
        <v>4234</v>
      </c>
      <c r="Q1414" s="3" t="s">
        <v>4235</v>
      </c>
      <c r="R1414" s="825"/>
      <c r="S1414" s="3" t="s">
        <v>130</v>
      </c>
      <c r="T1414" s="825"/>
      <c r="U1414" s="786">
        <v>319.5</v>
      </c>
      <c r="V1414" s="825"/>
      <c r="W1414" s="825"/>
      <c r="X1414" s="3" t="s">
        <v>2661</v>
      </c>
      <c r="Y1414" s="761">
        <v>45187</v>
      </c>
      <c r="Z1414" s="3" t="s">
        <v>62</v>
      </c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</row>
    <row r="1415" spans="1:39">
      <c r="B1415" s="904">
        <v>9</v>
      </c>
      <c r="C1415" s="807" t="s">
        <v>3454</v>
      </c>
      <c r="D1415" s="801">
        <v>200103380</v>
      </c>
      <c r="E1415" s="1485" t="s">
        <v>4236</v>
      </c>
      <c r="F1415" s="3">
        <v>15</v>
      </c>
      <c r="G1415" s="3" t="s">
        <v>60</v>
      </c>
      <c r="H1415" s="3" t="s">
        <v>128</v>
      </c>
      <c r="I1415" s="786">
        <v>535.75</v>
      </c>
      <c r="J1415" s="786">
        <v>305.39999999999998</v>
      </c>
      <c r="K1415" s="761" t="s">
        <v>2661</v>
      </c>
      <c r="L1415" s="761">
        <v>45183</v>
      </c>
      <c r="M1415" s="761" t="s">
        <v>2661</v>
      </c>
      <c r="N1415" s="761">
        <v>45187</v>
      </c>
      <c r="O1415" s="3" t="s">
        <v>62</v>
      </c>
      <c r="P1415" s="4" t="s">
        <v>4237</v>
      </c>
      <c r="Q1415" s="3" t="s">
        <v>3613</v>
      </c>
      <c r="R1415" s="825"/>
      <c r="S1415" s="3" t="s">
        <v>130</v>
      </c>
      <c r="T1415" s="825"/>
      <c r="U1415" s="786">
        <v>321.10000000000002</v>
      </c>
      <c r="V1415" s="825"/>
      <c r="W1415" s="825"/>
      <c r="X1415" s="3" t="s">
        <v>2661</v>
      </c>
      <c r="Y1415" s="761">
        <v>45188</v>
      </c>
      <c r="Z1415" s="3" t="s">
        <v>62</v>
      </c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</row>
    <row r="1416" spans="1:39">
      <c r="B1416" s="904">
        <v>9</v>
      </c>
      <c r="C1416" s="807" t="s">
        <v>3454</v>
      </c>
      <c r="D1416" s="801">
        <v>200103381</v>
      </c>
      <c r="E1416" s="1485" t="s">
        <v>4238</v>
      </c>
      <c r="F1416" s="3">
        <v>16</v>
      </c>
      <c r="G1416" s="3" t="s">
        <v>60</v>
      </c>
      <c r="H1416" s="3" t="s">
        <v>128</v>
      </c>
      <c r="I1416" s="762">
        <v>538.9</v>
      </c>
      <c r="J1416" s="786">
        <v>305.54000000000002</v>
      </c>
      <c r="K1416" s="761" t="s">
        <v>2661</v>
      </c>
      <c r="L1416" s="761">
        <v>45188</v>
      </c>
      <c r="M1416" s="761" t="s">
        <v>2661</v>
      </c>
      <c r="N1416" s="761">
        <v>45187</v>
      </c>
      <c r="O1416" s="3" t="s">
        <v>62</v>
      </c>
      <c r="P1416" s="4" t="s">
        <v>4239</v>
      </c>
      <c r="Q1416" s="3" t="s">
        <v>4240</v>
      </c>
      <c r="R1416" s="825"/>
      <c r="S1416" s="3" t="s">
        <v>130</v>
      </c>
      <c r="T1416" s="825"/>
      <c r="U1416" s="786">
        <v>321.10000000000002</v>
      </c>
      <c r="V1416" s="825"/>
      <c r="W1416" s="825"/>
      <c r="X1416" s="3" t="s">
        <v>2661</v>
      </c>
      <c r="Y1416" s="761">
        <v>45188</v>
      </c>
      <c r="Z1416" s="3" t="s">
        <v>62</v>
      </c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</row>
    <row r="1417" spans="1:39">
      <c r="B1417" s="904">
        <v>9</v>
      </c>
      <c r="C1417" s="807" t="s">
        <v>3454</v>
      </c>
      <c r="D1417" s="801">
        <v>200103382</v>
      </c>
      <c r="E1417" s="1485" t="s">
        <v>4241</v>
      </c>
      <c r="F1417" s="3">
        <v>17</v>
      </c>
      <c r="G1417" s="3" t="s">
        <v>60</v>
      </c>
      <c r="H1417" s="3" t="s">
        <v>128</v>
      </c>
      <c r="I1417" s="762">
        <v>534.5</v>
      </c>
      <c r="J1417" s="762">
        <v>305.92</v>
      </c>
      <c r="K1417" s="761" t="s">
        <v>2661</v>
      </c>
      <c r="L1417" s="761">
        <v>45188</v>
      </c>
      <c r="M1417" s="761" t="s">
        <v>2661</v>
      </c>
      <c r="N1417" s="761">
        <v>45187</v>
      </c>
      <c r="O1417" s="3" t="s">
        <v>62</v>
      </c>
      <c r="P1417" s="4" t="s">
        <v>4242</v>
      </c>
      <c r="Q1417" s="3" t="s">
        <v>4243</v>
      </c>
      <c r="R1417" s="825"/>
      <c r="S1417" s="3" t="s">
        <v>130</v>
      </c>
      <c r="T1417" s="825"/>
      <c r="U1417" s="786">
        <v>322.10000000000002</v>
      </c>
      <c r="V1417" s="825"/>
      <c r="W1417" s="825"/>
      <c r="X1417" s="3" t="s">
        <v>2661</v>
      </c>
      <c r="Y1417" s="761">
        <v>45188</v>
      </c>
      <c r="Z1417" s="3" t="s">
        <v>62</v>
      </c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</row>
    <row r="1418" spans="1:39">
      <c r="B1418" s="904">
        <v>9</v>
      </c>
      <c r="C1418" s="807" t="s">
        <v>3454</v>
      </c>
      <c r="D1418" s="801">
        <v>200103307</v>
      </c>
      <c r="E1418" s="1485" t="s">
        <v>4244</v>
      </c>
      <c r="F1418" s="3">
        <v>18</v>
      </c>
      <c r="G1418" s="3" t="s">
        <v>60</v>
      </c>
      <c r="H1418" s="3" t="s">
        <v>128</v>
      </c>
      <c r="I1418" s="786">
        <v>534</v>
      </c>
      <c r="J1418" s="762">
        <v>306.89999999999998</v>
      </c>
      <c r="K1418" s="761" t="s">
        <v>2661</v>
      </c>
      <c r="L1418" s="761">
        <v>45189</v>
      </c>
      <c r="M1418" s="761" t="s">
        <v>2661</v>
      </c>
      <c r="N1418" s="761">
        <v>45187</v>
      </c>
      <c r="O1418" s="3" t="s">
        <v>62</v>
      </c>
      <c r="P1418" s="4" t="s">
        <v>4245</v>
      </c>
      <c r="Q1418" s="3" t="s">
        <v>4246</v>
      </c>
      <c r="R1418" s="825"/>
      <c r="S1418" s="3" t="s">
        <v>130</v>
      </c>
      <c r="T1418" s="825"/>
      <c r="U1418" s="786">
        <v>322.89999999999998</v>
      </c>
      <c r="V1418" s="825"/>
      <c r="W1418" s="825"/>
      <c r="X1418" s="3" t="s">
        <v>2661</v>
      </c>
      <c r="Y1418" s="761">
        <v>45188</v>
      </c>
      <c r="Z1418" s="3" t="s">
        <v>62</v>
      </c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</row>
    <row r="1419" spans="1:39">
      <c r="B1419" s="904">
        <v>9</v>
      </c>
      <c r="C1419" s="807" t="s">
        <v>3454</v>
      </c>
      <c r="D1419" s="801">
        <v>200103308</v>
      </c>
      <c r="E1419" s="1485" t="s">
        <v>4247</v>
      </c>
      <c r="F1419" s="3">
        <v>19</v>
      </c>
      <c r="G1419" s="3" t="s">
        <v>60</v>
      </c>
      <c r="H1419" s="3" t="s">
        <v>128</v>
      </c>
      <c r="I1419" s="786">
        <v>533.5</v>
      </c>
      <c r="J1419" s="786">
        <v>307.95999999999998</v>
      </c>
      <c r="K1419" s="761" t="s">
        <v>2661</v>
      </c>
      <c r="L1419" s="761">
        <v>45189</v>
      </c>
      <c r="M1419" s="761" t="s">
        <v>2661</v>
      </c>
      <c r="N1419" s="761">
        <v>45188</v>
      </c>
      <c r="O1419" s="3" t="s">
        <v>62</v>
      </c>
      <c r="P1419" s="4" t="s">
        <v>4248</v>
      </c>
      <c r="Q1419" s="3" t="s">
        <v>4249</v>
      </c>
      <c r="R1419" s="825"/>
      <c r="S1419" s="3" t="s">
        <v>130</v>
      </c>
      <c r="T1419" s="825"/>
      <c r="U1419" s="786">
        <v>323.8</v>
      </c>
      <c r="V1419" s="825"/>
      <c r="W1419" s="825"/>
      <c r="X1419" s="3" t="s">
        <v>2661</v>
      </c>
      <c r="Y1419" s="761">
        <v>45189</v>
      </c>
      <c r="Z1419" s="3" t="s">
        <v>62</v>
      </c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</row>
    <row r="1420" spans="1:39">
      <c r="B1420" s="904">
        <v>9</v>
      </c>
      <c r="C1420" s="807" t="s">
        <v>3454</v>
      </c>
      <c r="D1420" s="801">
        <v>200103422</v>
      </c>
      <c r="E1420" s="1485" t="s">
        <v>4250</v>
      </c>
      <c r="F1420" s="3">
        <v>20</v>
      </c>
      <c r="G1420" s="3" t="s">
        <v>128</v>
      </c>
      <c r="H1420" s="3" t="s">
        <v>128</v>
      </c>
      <c r="I1420" s="3">
        <v>541.54</v>
      </c>
      <c r="J1420" s="762">
        <v>307.83999999999997</v>
      </c>
      <c r="K1420" s="761" t="s">
        <v>2661</v>
      </c>
      <c r="L1420" s="761">
        <v>45189</v>
      </c>
      <c r="M1420" s="761" t="s">
        <v>2661</v>
      </c>
      <c r="N1420" s="761">
        <v>45188</v>
      </c>
      <c r="O1420" s="3" t="s">
        <v>62</v>
      </c>
      <c r="P1420" s="927" t="s">
        <v>4251</v>
      </c>
      <c r="Q1420" s="3" t="s">
        <v>4252</v>
      </c>
      <c r="R1420" s="825"/>
      <c r="S1420" s="3" t="s">
        <v>130</v>
      </c>
      <c r="T1420" s="825"/>
      <c r="U1420" s="786">
        <v>323.7</v>
      </c>
      <c r="V1420" s="825"/>
      <c r="W1420" s="825"/>
      <c r="X1420" s="3" t="s">
        <v>2661</v>
      </c>
      <c r="Y1420" s="761">
        <v>45189</v>
      </c>
      <c r="Z1420" s="3" t="s">
        <v>62</v>
      </c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</row>
    <row r="1421" spans="1:39">
      <c r="B1421" s="904">
        <v>9</v>
      </c>
      <c r="C1421" s="807" t="s">
        <v>3454</v>
      </c>
      <c r="D1421" s="801">
        <v>200103423</v>
      </c>
      <c r="E1421" s="1485" t="s">
        <v>4253</v>
      </c>
      <c r="F1421" s="3">
        <v>21</v>
      </c>
      <c r="G1421" s="3" t="s">
        <v>60</v>
      </c>
      <c r="H1421" s="3" t="s">
        <v>128</v>
      </c>
      <c r="I1421" s="786">
        <v>534.5</v>
      </c>
      <c r="J1421" s="786">
        <v>304.14999999999998</v>
      </c>
      <c r="K1421" s="761" t="s">
        <v>2661</v>
      </c>
      <c r="L1421" s="761">
        <v>45190</v>
      </c>
      <c r="M1421" s="761" t="s">
        <v>2661</v>
      </c>
      <c r="N1421" s="761">
        <v>45190</v>
      </c>
      <c r="O1421" s="3" t="s">
        <v>62</v>
      </c>
      <c r="P1421" s="4" t="s">
        <v>4254</v>
      </c>
      <c r="Q1421" s="3" t="s">
        <v>4255</v>
      </c>
      <c r="R1421" s="825"/>
      <c r="S1421" s="3" t="s">
        <v>130</v>
      </c>
      <c r="T1421" s="825"/>
      <c r="U1421" s="786">
        <v>319.8</v>
      </c>
      <c r="V1421" s="825"/>
      <c r="W1421" s="825"/>
      <c r="X1421" s="3" t="s">
        <v>2661</v>
      </c>
      <c r="Y1421" s="761">
        <v>45191</v>
      </c>
      <c r="Z1421" s="3" t="s">
        <v>62</v>
      </c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</row>
    <row r="1422" spans="1:39" s="707" customFormat="1">
      <c r="A1422"/>
      <c r="B1422" s="914" t="s">
        <v>13</v>
      </c>
      <c r="C1422" s="915" t="s">
        <v>1899</v>
      </c>
      <c r="D1422" s="823"/>
      <c r="E1422" s="9"/>
      <c r="F1422" s="807"/>
      <c r="G1422" s="807"/>
      <c r="H1422" s="807"/>
      <c r="I1422" s="820"/>
      <c r="J1422" s="820"/>
      <c r="K1422" s="819"/>
      <c r="L1422" s="819"/>
      <c r="M1422" s="819"/>
      <c r="N1422" s="819"/>
      <c r="O1422" s="807"/>
      <c r="P1422" s="710"/>
      <c r="Q1422" s="807"/>
      <c r="R1422" s="807"/>
      <c r="S1422" s="807"/>
      <c r="T1422" s="807"/>
      <c r="U1422" s="820"/>
      <c r="V1422" s="807"/>
      <c r="W1422" s="807"/>
      <c r="X1422" s="807"/>
      <c r="Y1422" s="819"/>
      <c r="Z1422" s="807"/>
      <c r="AA1422" s="710"/>
      <c r="AB1422" s="710"/>
      <c r="AC1422" s="710"/>
      <c r="AD1422" s="710"/>
      <c r="AE1422" s="710"/>
      <c r="AF1422" s="710"/>
      <c r="AG1422" s="710"/>
      <c r="AH1422" s="710"/>
      <c r="AI1422" s="710"/>
      <c r="AJ1422" s="710"/>
      <c r="AK1422" s="710"/>
      <c r="AL1422" s="710"/>
      <c r="AM1422" s="710"/>
    </row>
    <row r="1423" spans="1:39">
      <c r="B1423" s="904">
        <v>10</v>
      </c>
      <c r="C1423" s="807" t="s">
        <v>3454</v>
      </c>
      <c r="D1423" s="801">
        <v>200103510</v>
      </c>
      <c r="E1423" s="8">
        <v>100223</v>
      </c>
      <c r="F1423" s="3">
        <v>1</v>
      </c>
      <c r="G1423" s="3" t="s">
        <v>60</v>
      </c>
      <c r="H1423" s="3" t="s">
        <v>128</v>
      </c>
      <c r="I1423" s="786">
        <v>541.86</v>
      </c>
      <c r="J1423" s="786">
        <v>307.72000000000003</v>
      </c>
      <c r="K1423" s="761" t="s">
        <v>2661</v>
      </c>
      <c r="L1423" s="761">
        <v>45190</v>
      </c>
      <c r="M1423" s="761" t="s">
        <v>2661</v>
      </c>
      <c r="N1423" s="761">
        <v>45190</v>
      </c>
      <c r="O1423" s="3" t="s">
        <v>62</v>
      </c>
      <c r="P1423" s="3" t="s">
        <v>4256</v>
      </c>
      <c r="Q1423" s="3" t="s">
        <v>4257</v>
      </c>
      <c r="R1423" s="825"/>
      <c r="S1423" s="3" t="s">
        <v>130</v>
      </c>
      <c r="T1423" s="825"/>
      <c r="U1423" s="786">
        <v>323.5</v>
      </c>
      <c r="V1423" s="825"/>
      <c r="W1423" s="825"/>
      <c r="X1423" s="3" t="s">
        <v>2661</v>
      </c>
      <c r="Y1423" s="761">
        <v>45191</v>
      </c>
      <c r="Z1423" s="3" t="s">
        <v>62</v>
      </c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</row>
    <row r="1424" spans="1:39">
      <c r="B1424" s="904">
        <v>10</v>
      </c>
      <c r="C1424" s="807" t="s">
        <v>3454</v>
      </c>
      <c r="D1424" s="801">
        <v>200103511</v>
      </c>
      <c r="E1424" s="8">
        <v>100233</v>
      </c>
      <c r="F1424" s="3">
        <v>2</v>
      </c>
      <c r="G1424" s="3" t="s">
        <v>60</v>
      </c>
      <c r="H1424" s="3" t="s">
        <v>128</v>
      </c>
      <c r="I1424" s="786">
        <v>539.07000000000005</v>
      </c>
      <c r="J1424" s="786">
        <v>305.83999999999997</v>
      </c>
      <c r="K1424" s="761" t="s">
        <v>2661</v>
      </c>
      <c r="L1424" s="761">
        <v>45194</v>
      </c>
      <c r="M1424" s="761" t="s">
        <v>2661</v>
      </c>
      <c r="N1424" s="761">
        <v>45191</v>
      </c>
      <c r="O1424" s="3" t="s">
        <v>62</v>
      </c>
      <c r="P1424" s="3" t="s">
        <v>4258</v>
      </c>
      <c r="Q1424" s="3" t="s">
        <v>3856</v>
      </c>
      <c r="R1424" s="825"/>
      <c r="S1424" s="3" t="s">
        <v>130</v>
      </c>
      <c r="T1424" s="825"/>
      <c r="U1424" s="786">
        <v>321.7</v>
      </c>
      <c r="V1424" s="825"/>
      <c r="W1424" s="825"/>
      <c r="X1424" s="3" t="s">
        <v>2661</v>
      </c>
      <c r="Y1424" s="761">
        <v>45191</v>
      </c>
      <c r="Z1424" s="3" t="s">
        <v>62</v>
      </c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</row>
    <row r="1425" spans="1:39">
      <c r="B1425" s="904">
        <v>10</v>
      </c>
      <c r="C1425" s="807" t="s">
        <v>3454</v>
      </c>
      <c r="D1425" s="801">
        <v>200103512</v>
      </c>
      <c r="E1425" s="8">
        <v>100243</v>
      </c>
      <c r="F1425" s="3">
        <v>3</v>
      </c>
      <c r="G1425" s="3" t="s">
        <v>60</v>
      </c>
      <c r="H1425" s="3" t="s">
        <v>128</v>
      </c>
      <c r="I1425" s="786">
        <v>533.6</v>
      </c>
      <c r="J1425" s="786">
        <v>306.83</v>
      </c>
      <c r="K1425" s="761" t="s">
        <v>2661</v>
      </c>
      <c r="L1425" s="761">
        <v>45194</v>
      </c>
      <c r="M1425" s="761" t="s">
        <v>2661</v>
      </c>
      <c r="N1425" s="761">
        <v>45191</v>
      </c>
      <c r="O1425" s="3" t="s">
        <v>62</v>
      </c>
      <c r="P1425" s="3" t="s">
        <v>4259</v>
      </c>
      <c r="Q1425" s="3" t="s">
        <v>4260</v>
      </c>
      <c r="R1425" s="825"/>
      <c r="S1425" s="3" t="s">
        <v>130</v>
      </c>
      <c r="T1425" s="825"/>
      <c r="U1425" s="786">
        <v>322.3</v>
      </c>
      <c r="V1425" s="825"/>
      <c r="W1425" s="825"/>
      <c r="X1425" s="3" t="s">
        <v>2661</v>
      </c>
      <c r="Y1425" s="761">
        <v>45194</v>
      </c>
      <c r="Z1425" s="3" t="s">
        <v>62</v>
      </c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</row>
    <row r="1426" spans="1:39">
      <c r="B1426" s="904">
        <v>10</v>
      </c>
      <c r="C1426" s="807" t="s">
        <v>3454</v>
      </c>
      <c r="D1426" s="801">
        <v>200103513</v>
      </c>
      <c r="E1426" s="8">
        <v>100253</v>
      </c>
      <c r="F1426" s="3">
        <v>4</v>
      </c>
      <c r="G1426" s="3" t="s">
        <v>60</v>
      </c>
      <c r="H1426" s="3" t="s">
        <v>128</v>
      </c>
      <c r="I1426" s="762">
        <v>541</v>
      </c>
      <c r="J1426" s="786">
        <v>305.37</v>
      </c>
      <c r="K1426" s="761" t="s">
        <v>2661</v>
      </c>
      <c r="L1426" s="761">
        <v>45194</v>
      </c>
      <c r="M1426" s="761" t="s">
        <v>2661</v>
      </c>
      <c r="N1426" s="761">
        <v>45194</v>
      </c>
      <c r="O1426" s="3" t="s">
        <v>62</v>
      </c>
      <c r="P1426" s="3" t="s">
        <v>4261</v>
      </c>
      <c r="Q1426" s="3" t="s">
        <v>4262</v>
      </c>
      <c r="R1426" s="825"/>
      <c r="S1426" s="3" t="s">
        <v>130</v>
      </c>
      <c r="T1426" s="825"/>
      <c r="U1426" s="786">
        <v>321.60000000000002</v>
      </c>
      <c r="V1426" s="825"/>
      <c r="W1426" s="825"/>
      <c r="X1426" s="3" t="s">
        <v>2661</v>
      </c>
      <c r="Y1426" s="761">
        <v>45194</v>
      </c>
      <c r="Z1426" s="3" t="s">
        <v>62</v>
      </c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</row>
    <row r="1427" spans="1:39">
      <c r="B1427" s="904">
        <v>10</v>
      </c>
      <c r="C1427" s="807" t="s">
        <v>3454</v>
      </c>
      <c r="D1427" s="801">
        <v>200103514</v>
      </c>
      <c r="E1427" s="8">
        <v>100263</v>
      </c>
      <c r="F1427" s="3">
        <v>5</v>
      </c>
      <c r="G1427" s="3" t="s">
        <v>60</v>
      </c>
      <c r="H1427" s="3" t="s">
        <v>128</v>
      </c>
      <c r="I1427" s="786">
        <v>539.17999999999995</v>
      </c>
      <c r="J1427" s="786">
        <v>306.41000000000003</v>
      </c>
      <c r="K1427" s="761" t="s">
        <v>2661</v>
      </c>
      <c r="L1427" s="761">
        <v>45194</v>
      </c>
      <c r="M1427" s="761" t="s">
        <v>2661</v>
      </c>
      <c r="N1427" s="761">
        <v>45194</v>
      </c>
      <c r="O1427" s="3" t="s">
        <v>62</v>
      </c>
      <c r="P1427" s="3" t="s">
        <v>4263</v>
      </c>
      <c r="Q1427" s="3" t="s">
        <v>4264</v>
      </c>
      <c r="R1427" s="825"/>
      <c r="S1427" s="3" t="s">
        <v>130</v>
      </c>
      <c r="T1427" s="825"/>
      <c r="U1427" s="762">
        <v>322</v>
      </c>
      <c r="V1427" s="825"/>
      <c r="W1427" s="825"/>
      <c r="X1427" s="3" t="s">
        <v>2661</v>
      </c>
      <c r="Y1427" s="761">
        <v>45194</v>
      </c>
      <c r="Z1427" s="3" t="s">
        <v>62</v>
      </c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</row>
    <row r="1428" spans="1:39">
      <c r="B1428" s="904">
        <v>10</v>
      </c>
      <c r="C1428" s="807" t="s">
        <v>3454</v>
      </c>
      <c r="D1428" s="801">
        <v>200103706</v>
      </c>
      <c r="E1428" s="8">
        <v>101073</v>
      </c>
      <c r="F1428" s="3">
        <v>6</v>
      </c>
      <c r="G1428" s="3" t="s">
        <v>60</v>
      </c>
      <c r="H1428" s="3" t="s">
        <v>128</v>
      </c>
      <c r="I1428" s="786">
        <v>531.77</v>
      </c>
      <c r="J1428" s="786">
        <v>306.33</v>
      </c>
      <c r="K1428" s="761" t="s">
        <v>2661</v>
      </c>
      <c r="L1428" s="761">
        <v>45195</v>
      </c>
      <c r="M1428" s="761" t="s">
        <v>2661</v>
      </c>
      <c r="N1428" s="761">
        <v>45194</v>
      </c>
      <c r="O1428" s="3" t="s">
        <v>62</v>
      </c>
      <c r="P1428" s="4" t="s">
        <v>4265</v>
      </c>
      <c r="Q1428" s="3" t="s">
        <v>4266</v>
      </c>
      <c r="R1428" s="825"/>
      <c r="S1428" s="3" t="s">
        <v>130</v>
      </c>
      <c r="T1428" s="825"/>
      <c r="U1428" s="762">
        <v>322.10000000000002</v>
      </c>
      <c r="V1428" s="825"/>
      <c r="W1428" s="825"/>
      <c r="X1428" s="3" t="s">
        <v>2661</v>
      </c>
      <c r="Y1428" s="761">
        <v>45194</v>
      </c>
      <c r="Z1428" s="3" t="s">
        <v>62</v>
      </c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</row>
    <row r="1429" spans="1:39">
      <c r="B1429" s="904">
        <v>10</v>
      </c>
      <c r="C1429" s="807" t="s">
        <v>3454</v>
      </c>
      <c r="D1429" s="801">
        <v>200103707</v>
      </c>
      <c r="E1429" s="8">
        <v>101083</v>
      </c>
      <c r="F1429" s="3">
        <v>7</v>
      </c>
      <c r="G1429" s="3" t="s">
        <v>60</v>
      </c>
      <c r="H1429" s="3" t="s">
        <v>128</v>
      </c>
      <c r="I1429" s="786">
        <v>542.28</v>
      </c>
      <c r="J1429" s="786">
        <v>306.76</v>
      </c>
      <c r="K1429" s="761" t="s">
        <v>2661</v>
      </c>
      <c r="L1429" s="761">
        <v>45195</v>
      </c>
      <c r="M1429" s="761" t="s">
        <v>2661</v>
      </c>
      <c r="N1429" s="761">
        <v>45194</v>
      </c>
      <c r="O1429" s="3" t="s">
        <v>62</v>
      </c>
      <c r="P1429" s="4" t="s">
        <v>4267</v>
      </c>
      <c r="Q1429" s="3" t="s">
        <v>4266</v>
      </c>
      <c r="R1429" s="825"/>
      <c r="S1429" s="3" t="s">
        <v>130</v>
      </c>
      <c r="T1429" s="825"/>
      <c r="U1429" s="762">
        <v>322.89999999999998</v>
      </c>
      <c r="V1429" s="825"/>
      <c r="W1429" s="825"/>
      <c r="X1429" s="3" t="s">
        <v>2661</v>
      </c>
      <c r="Y1429" s="761">
        <v>45194</v>
      </c>
      <c r="Z1429" s="3" t="s">
        <v>62</v>
      </c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</row>
    <row r="1430" spans="1:39">
      <c r="B1430" s="904">
        <v>10</v>
      </c>
      <c r="C1430" s="807" t="s">
        <v>3454</v>
      </c>
      <c r="D1430" s="801">
        <v>200103662</v>
      </c>
      <c r="E1430" s="8">
        <v>101093</v>
      </c>
      <c r="F1430" s="3">
        <v>8</v>
      </c>
      <c r="G1430" s="3" t="s">
        <v>60</v>
      </c>
      <c r="H1430" s="3" t="s">
        <v>128</v>
      </c>
      <c r="I1430" s="786">
        <v>540.16999999999996</v>
      </c>
      <c r="J1430" s="786">
        <v>304.75</v>
      </c>
      <c r="K1430" s="761" t="s">
        <v>2661</v>
      </c>
      <c r="L1430" s="761">
        <v>45195</v>
      </c>
      <c r="M1430" s="761" t="s">
        <v>2661</v>
      </c>
      <c r="N1430" s="761">
        <v>45196</v>
      </c>
      <c r="O1430" s="3" t="s">
        <v>62</v>
      </c>
      <c r="P1430" s="4" t="s">
        <v>4268</v>
      </c>
      <c r="Q1430" s="3" t="s">
        <v>4269</v>
      </c>
      <c r="R1430" s="825"/>
      <c r="S1430" s="3" t="s">
        <v>130</v>
      </c>
      <c r="T1430" s="825"/>
      <c r="U1430" s="786">
        <v>320.5</v>
      </c>
      <c r="V1430" s="825"/>
      <c r="W1430" s="825"/>
      <c r="X1430" s="3" t="s">
        <v>2661</v>
      </c>
      <c r="Y1430" s="761">
        <v>45196</v>
      </c>
      <c r="Z1430" s="3" t="s">
        <v>62</v>
      </c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</row>
    <row r="1431" spans="1:39">
      <c r="B1431" s="904">
        <v>10</v>
      </c>
      <c r="C1431" s="807" t="s">
        <v>3454</v>
      </c>
      <c r="D1431" s="801">
        <v>200103807</v>
      </c>
      <c r="E1431" s="8">
        <v>101813</v>
      </c>
      <c r="F1431" s="3">
        <v>9</v>
      </c>
      <c r="G1431" s="3" t="s">
        <v>60</v>
      </c>
      <c r="H1431" s="3" t="s">
        <v>128</v>
      </c>
      <c r="I1431" s="786">
        <v>541.5</v>
      </c>
      <c r="J1431" s="786">
        <v>305.77</v>
      </c>
      <c r="K1431" s="761" t="s">
        <v>2716</v>
      </c>
      <c r="L1431" s="761">
        <v>45218</v>
      </c>
      <c r="M1431" s="761" t="s">
        <v>2716</v>
      </c>
      <c r="N1431" s="761">
        <v>45218</v>
      </c>
      <c r="O1431" s="3" t="s">
        <v>62</v>
      </c>
      <c r="P1431" s="3" t="s">
        <v>4270</v>
      </c>
      <c r="Q1431" s="3" t="s">
        <v>811</v>
      </c>
      <c r="R1431" s="825"/>
      <c r="S1431" s="3" t="s">
        <v>130</v>
      </c>
      <c r="T1431" s="825"/>
      <c r="U1431" s="786">
        <v>321.3</v>
      </c>
      <c r="V1431" s="825"/>
      <c r="W1431" s="825"/>
      <c r="X1431" s="3" t="s">
        <v>2698</v>
      </c>
      <c r="Y1431" s="761">
        <v>45222</v>
      </c>
      <c r="Z1431" s="3" t="s">
        <v>62</v>
      </c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</row>
    <row r="1432" spans="1:39">
      <c r="B1432" s="904">
        <v>10</v>
      </c>
      <c r="C1432" s="807" t="s">
        <v>3454</v>
      </c>
      <c r="D1432" s="801">
        <v>200103808</v>
      </c>
      <c r="E1432" s="8">
        <v>101823</v>
      </c>
      <c r="F1432" s="3">
        <v>10</v>
      </c>
      <c r="G1432" s="3" t="s">
        <v>60</v>
      </c>
      <c r="H1432" s="3" t="s">
        <v>128</v>
      </c>
      <c r="I1432" s="786">
        <v>538.6</v>
      </c>
      <c r="J1432" s="786">
        <v>305.25</v>
      </c>
      <c r="K1432" s="761" t="s">
        <v>2716</v>
      </c>
      <c r="L1432" s="761">
        <v>45218</v>
      </c>
      <c r="M1432" s="761" t="s">
        <v>2716</v>
      </c>
      <c r="N1432" s="761">
        <v>45218</v>
      </c>
      <c r="O1432" s="3" t="s">
        <v>62</v>
      </c>
      <c r="P1432" s="3" t="s">
        <v>4271</v>
      </c>
      <c r="Q1432" s="3" t="s">
        <v>4272</v>
      </c>
      <c r="R1432" s="825"/>
      <c r="S1432" s="3" t="s">
        <v>130</v>
      </c>
      <c r="T1432" s="825"/>
      <c r="U1432" s="786">
        <v>320.7</v>
      </c>
      <c r="V1432" s="825"/>
      <c r="W1432" s="825"/>
      <c r="X1432" s="3" t="s">
        <v>2698</v>
      </c>
      <c r="Y1432" s="761">
        <v>45222</v>
      </c>
      <c r="Z1432" s="3" t="s">
        <v>62</v>
      </c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</row>
    <row r="1433" spans="1:39">
      <c r="B1433" s="904">
        <v>10</v>
      </c>
      <c r="C1433" s="807" t="s">
        <v>3454</v>
      </c>
      <c r="D1433" s="801">
        <v>200103809</v>
      </c>
      <c r="E1433" s="8">
        <v>101833</v>
      </c>
      <c r="F1433" s="3">
        <v>11</v>
      </c>
      <c r="G1433" s="3" t="s">
        <v>60</v>
      </c>
      <c r="H1433" s="3" t="s">
        <v>128</v>
      </c>
      <c r="I1433" s="786">
        <v>544.44000000000005</v>
      </c>
      <c r="J1433" s="786">
        <f>152.48+154.39</f>
        <v>306.87</v>
      </c>
      <c r="K1433" s="761" t="s">
        <v>2716</v>
      </c>
      <c r="L1433" s="761">
        <v>45218</v>
      </c>
      <c r="M1433" s="761" t="s">
        <v>2716</v>
      </c>
      <c r="N1433" s="761">
        <v>45218</v>
      </c>
      <c r="O1433" s="3" t="s">
        <v>62</v>
      </c>
      <c r="P1433" s="784" t="s">
        <v>4273</v>
      </c>
      <c r="Q1433" s="3" t="s">
        <v>4274</v>
      </c>
      <c r="R1433" s="825"/>
      <c r="S1433" s="3" t="s">
        <v>130</v>
      </c>
      <c r="T1433" s="825"/>
      <c r="U1433" s="786">
        <v>322.39999999999998</v>
      </c>
      <c r="V1433" s="825"/>
      <c r="W1433" s="825"/>
      <c r="X1433" s="3" t="s">
        <v>2698</v>
      </c>
      <c r="Y1433" s="761">
        <v>45222</v>
      </c>
      <c r="Z1433" s="3" t="s">
        <v>62</v>
      </c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</row>
    <row r="1434" spans="1:39">
      <c r="B1434" s="904">
        <v>10</v>
      </c>
      <c r="C1434" s="807" t="s">
        <v>3454</v>
      </c>
      <c r="D1434" s="801">
        <v>200103810</v>
      </c>
      <c r="E1434" s="8">
        <v>101843</v>
      </c>
      <c r="F1434" s="3">
        <v>12</v>
      </c>
      <c r="G1434" s="3" t="s">
        <v>60</v>
      </c>
      <c r="H1434" s="3" t="s">
        <v>128</v>
      </c>
      <c r="I1434" s="786">
        <v>540.4</v>
      </c>
      <c r="J1434" s="786">
        <f>147.26+158.64</f>
        <v>305.89999999999998</v>
      </c>
      <c r="K1434" s="761" t="s">
        <v>2716</v>
      </c>
      <c r="L1434" s="761">
        <v>45219</v>
      </c>
      <c r="M1434" s="761" t="s">
        <v>2716</v>
      </c>
      <c r="N1434" s="761">
        <v>45222</v>
      </c>
      <c r="O1434" s="3" t="s">
        <v>62</v>
      </c>
      <c r="P1434" s="784" t="s">
        <v>4275</v>
      </c>
      <c r="Q1434" s="3" t="s">
        <v>4276</v>
      </c>
      <c r="R1434" s="825"/>
      <c r="S1434" s="3" t="s">
        <v>130</v>
      </c>
      <c r="T1434" s="825"/>
      <c r="U1434" s="786">
        <v>321.39999999999998</v>
      </c>
      <c r="V1434" s="825"/>
      <c r="W1434" s="825"/>
      <c r="X1434" s="3" t="s">
        <v>2698</v>
      </c>
      <c r="Y1434" s="761">
        <v>45224</v>
      </c>
      <c r="Z1434" s="3" t="s">
        <v>62</v>
      </c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</row>
    <row r="1435" spans="1:39" s="707" customFormat="1">
      <c r="A1435"/>
      <c r="B1435" s="914" t="s">
        <v>13</v>
      </c>
      <c r="C1435" s="915" t="s">
        <v>1756</v>
      </c>
      <c r="D1435" s="823"/>
      <c r="E1435" s="9"/>
      <c r="F1435" s="807"/>
      <c r="G1435" s="807"/>
      <c r="H1435" s="807"/>
      <c r="I1435" s="820"/>
      <c r="J1435" s="820"/>
      <c r="K1435" s="819"/>
      <c r="L1435" s="819"/>
      <c r="M1435" s="819"/>
      <c r="N1435" s="819"/>
      <c r="O1435" s="807"/>
      <c r="P1435" s="710"/>
      <c r="Q1435" s="807"/>
      <c r="R1435" s="807"/>
      <c r="S1435" s="807"/>
      <c r="T1435" s="807"/>
      <c r="U1435" s="820"/>
      <c r="V1435" s="807"/>
      <c r="W1435" s="807"/>
      <c r="X1435" s="807"/>
      <c r="Y1435" s="819"/>
      <c r="Z1435" s="807"/>
      <c r="AA1435" s="710"/>
      <c r="AB1435" s="710"/>
      <c r="AC1435" s="710"/>
      <c r="AD1435" s="710"/>
      <c r="AE1435" s="710"/>
      <c r="AF1435" s="710"/>
      <c r="AG1435" s="710"/>
      <c r="AH1435" s="710"/>
      <c r="AI1435" s="710"/>
      <c r="AJ1435" s="710"/>
      <c r="AK1435" s="710"/>
      <c r="AL1435" s="710"/>
      <c r="AM1435" s="710"/>
    </row>
    <row r="1436" spans="1:39">
      <c r="B1436" s="904">
        <v>11</v>
      </c>
      <c r="C1436" s="807" t="s">
        <v>3454</v>
      </c>
      <c r="D1436" s="801">
        <v>200103811</v>
      </c>
      <c r="E1436" s="8">
        <v>110013</v>
      </c>
      <c r="F1436" s="3">
        <v>1</v>
      </c>
      <c r="G1436" s="3" t="s">
        <v>128</v>
      </c>
      <c r="H1436" s="3" t="s">
        <v>128</v>
      </c>
      <c r="I1436" s="786">
        <v>540</v>
      </c>
      <c r="J1436" s="786">
        <v>305.44</v>
      </c>
      <c r="K1436" s="761" t="s">
        <v>2716</v>
      </c>
      <c r="L1436" s="761">
        <v>45223</v>
      </c>
      <c r="M1436" s="761" t="s">
        <v>2716</v>
      </c>
      <c r="N1436" s="761">
        <v>45222</v>
      </c>
      <c r="O1436" s="3" t="s">
        <v>62</v>
      </c>
      <c r="P1436" s="3" t="s">
        <v>4277</v>
      </c>
      <c r="Q1436" s="3" t="s">
        <v>4087</v>
      </c>
      <c r="R1436" s="825"/>
      <c r="S1436" s="3" t="s">
        <v>130</v>
      </c>
      <c r="T1436" s="825"/>
      <c r="U1436" s="786">
        <v>320.89999999999998</v>
      </c>
      <c r="V1436" s="825"/>
      <c r="W1436" s="825"/>
      <c r="X1436" s="3" t="s">
        <v>2698</v>
      </c>
      <c r="Y1436" s="761">
        <v>45224</v>
      </c>
      <c r="Z1436" s="3" t="s">
        <v>62</v>
      </c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</row>
    <row r="1437" spans="1:39">
      <c r="B1437" s="904">
        <v>11</v>
      </c>
      <c r="C1437" s="807" t="s">
        <v>3454</v>
      </c>
      <c r="D1437" s="801">
        <v>200103812</v>
      </c>
      <c r="E1437" s="8">
        <v>110023</v>
      </c>
      <c r="F1437" s="3">
        <f t="shared" ref="F1437:F1444" si="15">F1436+1</f>
        <v>2</v>
      </c>
      <c r="G1437" s="3" t="s">
        <v>128</v>
      </c>
      <c r="H1437" s="3" t="s">
        <v>128</v>
      </c>
      <c r="I1437" s="786">
        <f>130.8+135.8+135.1+136.8</f>
        <v>538.5</v>
      </c>
      <c r="J1437" s="786">
        <v>306.33</v>
      </c>
      <c r="K1437" s="761" t="s">
        <v>2716</v>
      </c>
      <c r="L1437" s="761">
        <v>45223</v>
      </c>
      <c r="M1437" s="761" t="s">
        <v>2716</v>
      </c>
      <c r="N1437" s="761">
        <v>45223</v>
      </c>
      <c r="O1437" s="3" t="s">
        <v>62</v>
      </c>
      <c r="P1437" s="784" t="s">
        <v>4278</v>
      </c>
      <c r="Q1437" s="3" t="s">
        <v>4279</v>
      </c>
      <c r="R1437" s="825"/>
      <c r="S1437" s="3" t="s">
        <v>130</v>
      </c>
      <c r="T1437" s="825"/>
      <c r="U1437" s="786">
        <v>322.39999999999998</v>
      </c>
      <c r="V1437" s="825"/>
      <c r="W1437" s="825"/>
      <c r="X1437" s="3" t="s">
        <v>2698</v>
      </c>
      <c r="Y1437" s="761">
        <v>45224</v>
      </c>
      <c r="Z1437" s="3" t="s">
        <v>62</v>
      </c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</row>
    <row r="1438" spans="1:39">
      <c r="B1438" s="904">
        <v>11</v>
      </c>
      <c r="C1438" s="807" t="s">
        <v>3454</v>
      </c>
      <c r="D1438" s="801">
        <v>200103813</v>
      </c>
      <c r="E1438" s="8">
        <v>110033</v>
      </c>
      <c r="F1438" s="3">
        <f t="shared" si="15"/>
        <v>3</v>
      </c>
      <c r="G1438" s="3" t="s">
        <v>128</v>
      </c>
      <c r="H1438" s="3" t="s">
        <v>128</v>
      </c>
      <c r="I1438" s="8">
        <v>544.6</v>
      </c>
      <c r="J1438" s="786">
        <v>305.45999999999998</v>
      </c>
      <c r="K1438" s="761" t="s">
        <v>2716</v>
      </c>
      <c r="L1438" s="761">
        <v>45224</v>
      </c>
      <c r="M1438" s="761" t="s">
        <v>2716</v>
      </c>
      <c r="N1438" s="761">
        <v>45223</v>
      </c>
      <c r="O1438" s="3" t="s">
        <v>62</v>
      </c>
      <c r="P1438" s="928" t="s">
        <v>4280</v>
      </c>
      <c r="Q1438" s="3" t="s">
        <v>4281</v>
      </c>
      <c r="R1438" s="825"/>
      <c r="S1438" s="3" t="s">
        <v>130</v>
      </c>
      <c r="T1438" s="825"/>
      <c r="U1438" s="786">
        <v>321.8</v>
      </c>
      <c r="V1438" s="825"/>
      <c r="W1438" s="825"/>
      <c r="X1438" s="3" t="s">
        <v>2698</v>
      </c>
      <c r="Y1438" s="761">
        <v>45224</v>
      </c>
      <c r="Z1438" s="3" t="s">
        <v>62</v>
      </c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</row>
    <row r="1439" spans="1:39">
      <c r="B1439" s="904">
        <v>11</v>
      </c>
      <c r="C1439" s="807" t="s">
        <v>3454</v>
      </c>
      <c r="D1439" s="801">
        <v>200103814</v>
      </c>
      <c r="E1439" s="8">
        <v>110043</v>
      </c>
      <c r="F1439" s="3">
        <f t="shared" si="15"/>
        <v>4</v>
      </c>
      <c r="G1439" s="3" t="s">
        <v>60</v>
      </c>
      <c r="H1439" s="3" t="s">
        <v>60</v>
      </c>
      <c r="I1439" s="786">
        <v>534</v>
      </c>
      <c r="J1439" s="786">
        <v>304.08999999999997</v>
      </c>
      <c r="K1439" s="761" t="s">
        <v>2716</v>
      </c>
      <c r="L1439" s="761">
        <v>45229</v>
      </c>
      <c r="M1439" s="761" t="s">
        <v>2716</v>
      </c>
      <c r="N1439" s="761">
        <v>45230</v>
      </c>
      <c r="O1439" s="3" t="s">
        <v>62</v>
      </c>
      <c r="P1439" s="3" t="s">
        <v>4282</v>
      </c>
      <c r="Q1439" s="3" t="s">
        <v>3607</v>
      </c>
      <c r="R1439" s="825"/>
      <c r="S1439" s="3" t="s">
        <v>130</v>
      </c>
      <c r="T1439" s="825"/>
      <c r="U1439" s="762">
        <v>319.39999999999998</v>
      </c>
      <c r="V1439" s="825"/>
      <c r="W1439" s="825"/>
      <c r="X1439" s="3" t="s">
        <v>1756</v>
      </c>
      <c r="Y1439" s="761">
        <v>45231</v>
      </c>
      <c r="Z1439" s="3" t="s">
        <v>62</v>
      </c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</row>
    <row r="1440" spans="1:39">
      <c r="B1440" s="904">
        <v>11</v>
      </c>
      <c r="C1440" s="807" t="s">
        <v>3454</v>
      </c>
      <c r="D1440" s="801">
        <v>200103815</v>
      </c>
      <c r="E1440" s="8">
        <v>110053</v>
      </c>
      <c r="F1440" s="3">
        <f t="shared" si="15"/>
        <v>5</v>
      </c>
      <c r="G1440" s="3" t="s">
        <v>60</v>
      </c>
      <c r="H1440" s="3" t="s">
        <v>60</v>
      </c>
      <c r="I1440" s="786">
        <v>540.70000000000005</v>
      </c>
      <c r="J1440" s="786">
        <v>305.74</v>
      </c>
      <c r="K1440" s="761" t="s">
        <v>2716</v>
      </c>
      <c r="L1440" s="761">
        <v>45229</v>
      </c>
      <c r="M1440" s="761" t="s">
        <v>2716</v>
      </c>
      <c r="N1440" s="761">
        <v>45230</v>
      </c>
      <c r="O1440" s="3" t="s">
        <v>62</v>
      </c>
      <c r="P1440" s="3" t="s">
        <v>4283</v>
      </c>
      <c r="Q1440" s="3" t="s">
        <v>4284</v>
      </c>
      <c r="R1440" s="825"/>
      <c r="S1440" s="3" t="s">
        <v>130</v>
      </c>
      <c r="T1440" s="825"/>
      <c r="U1440" s="762">
        <v>321.3</v>
      </c>
      <c r="V1440" s="825"/>
      <c r="W1440" s="825"/>
      <c r="X1440" s="3" t="s">
        <v>1756</v>
      </c>
      <c r="Y1440" s="761">
        <v>45231</v>
      </c>
      <c r="Z1440" s="3" t="s">
        <v>62</v>
      </c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</row>
    <row r="1441" spans="1:39">
      <c r="B1441" s="904">
        <v>11</v>
      </c>
      <c r="C1441" s="807" t="s">
        <v>3454</v>
      </c>
      <c r="D1441" s="801">
        <v>200103816</v>
      </c>
      <c r="E1441" s="8">
        <v>110063</v>
      </c>
      <c r="F1441" s="3">
        <f t="shared" si="15"/>
        <v>6</v>
      </c>
      <c r="G1441" s="3" t="s">
        <v>60</v>
      </c>
      <c r="H1441" s="3" t="s">
        <v>128</v>
      </c>
      <c r="I1441" s="786">
        <v>535.70000000000005</v>
      </c>
      <c r="J1441" s="786">
        <v>301.08999999999997</v>
      </c>
      <c r="K1441" s="761" t="s">
        <v>1756</v>
      </c>
      <c r="L1441" s="761">
        <v>45231</v>
      </c>
      <c r="M1441" s="761" t="s">
        <v>1756</v>
      </c>
      <c r="N1441" s="761">
        <v>45231</v>
      </c>
      <c r="O1441" s="3" t="s">
        <v>62</v>
      </c>
      <c r="P1441" s="4" t="s">
        <v>4285</v>
      </c>
      <c r="Q1441" s="3" t="s">
        <v>4286</v>
      </c>
      <c r="R1441" s="825"/>
      <c r="S1441" s="3" t="s">
        <v>130</v>
      </c>
      <c r="T1441" s="825"/>
      <c r="U1441" s="762">
        <v>316.8</v>
      </c>
      <c r="V1441" s="825"/>
      <c r="W1441" s="825"/>
      <c r="X1441" s="3" t="s">
        <v>1756</v>
      </c>
      <c r="Y1441" s="761">
        <v>45231</v>
      </c>
      <c r="Z1441" s="3" t="s">
        <v>62</v>
      </c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</row>
    <row r="1442" spans="1:39">
      <c r="B1442" s="904">
        <v>11</v>
      </c>
      <c r="C1442" s="807" t="s">
        <v>3454</v>
      </c>
      <c r="D1442" s="801">
        <v>200103832</v>
      </c>
      <c r="E1442" s="8">
        <v>110873</v>
      </c>
      <c r="F1442" s="3">
        <f t="shared" si="15"/>
        <v>7</v>
      </c>
      <c r="G1442" s="3" t="s">
        <v>60</v>
      </c>
      <c r="H1442" s="3" t="s">
        <v>128</v>
      </c>
      <c r="I1442" s="786">
        <v>533.4</v>
      </c>
      <c r="J1442" s="786">
        <v>306.45</v>
      </c>
      <c r="K1442" s="761" t="s">
        <v>1756</v>
      </c>
      <c r="L1442" s="761">
        <v>45231</v>
      </c>
      <c r="M1442" s="761" t="s">
        <v>1756</v>
      </c>
      <c r="N1442" s="761">
        <v>45231</v>
      </c>
      <c r="O1442" s="3" t="s">
        <v>62</v>
      </c>
      <c r="P1442" s="4" t="s">
        <v>4287</v>
      </c>
      <c r="Q1442" s="3" t="s">
        <v>4288</v>
      </c>
      <c r="R1442" s="825"/>
      <c r="S1442" s="3" t="s">
        <v>130</v>
      </c>
      <c r="T1442" s="825"/>
      <c r="U1442" s="762">
        <v>322.7</v>
      </c>
      <c r="V1442" s="825"/>
      <c r="W1442" s="825"/>
      <c r="X1442" s="3" t="s">
        <v>1756</v>
      </c>
      <c r="Y1442" s="761">
        <v>45231</v>
      </c>
      <c r="Z1442" s="3" t="s">
        <v>62</v>
      </c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</row>
    <row r="1443" spans="1:39">
      <c r="B1443" s="904">
        <v>11</v>
      </c>
      <c r="C1443" s="807" t="s">
        <v>3454</v>
      </c>
      <c r="D1443" s="801">
        <v>200103833</v>
      </c>
      <c r="E1443" s="8">
        <v>110883</v>
      </c>
      <c r="F1443" s="3">
        <f t="shared" si="15"/>
        <v>8</v>
      </c>
      <c r="G1443" s="3" t="s">
        <v>60</v>
      </c>
      <c r="H1443" s="3" t="s">
        <v>128</v>
      </c>
      <c r="I1443" s="786">
        <v>533.4</v>
      </c>
      <c r="J1443" s="786">
        <v>304.98</v>
      </c>
      <c r="K1443" s="761" t="s">
        <v>1756</v>
      </c>
      <c r="L1443" s="761">
        <v>45231</v>
      </c>
      <c r="M1443" s="761" t="s">
        <v>1756</v>
      </c>
      <c r="N1443" s="761">
        <v>45231</v>
      </c>
      <c r="O1443" s="3" t="s">
        <v>62</v>
      </c>
      <c r="P1443" s="4" t="s">
        <v>4289</v>
      </c>
      <c r="Q1443" s="3" t="s">
        <v>4290</v>
      </c>
      <c r="R1443" s="825"/>
      <c r="S1443" s="3" t="s">
        <v>130</v>
      </c>
      <c r="T1443" s="825"/>
      <c r="U1443" s="786">
        <v>320.3</v>
      </c>
      <c r="V1443" s="825"/>
      <c r="W1443" s="825"/>
      <c r="X1443" s="3" t="s">
        <v>1756</v>
      </c>
      <c r="Y1443" s="761">
        <v>45232</v>
      </c>
      <c r="Z1443" s="3" t="s">
        <v>62</v>
      </c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</row>
    <row r="1444" spans="1:39">
      <c r="B1444" s="904">
        <v>11</v>
      </c>
      <c r="C1444" s="807" t="s">
        <v>3454</v>
      </c>
      <c r="D1444" s="801">
        <v>200103834</v>
      </c>
      <c r="E1444" s="8">
        <v>110893</v>
      </c>
      <c r="F1444" s="3">
        <f t="shared" si="15"/>
        <v>9</v>
      </c>
      <c r="G1444" s="3" t="s">
        <v>60</v>
      </c>
      <c r="H1444" s="3" t="s">
        <v>60</v>
      </c>
      <c r="I1444" s="786">
        <v>533.53</v>
      </c>
      <c r="J1444" s="762">
        <v>308.39999999999998</v>
      </c>
      <c r="K1444" s="761" t="s">
        <v>1756</v>
      </c>
      <c r="L1444" s="761">
        <v>45232</v>
      </c>
      <c r="M1444" s="761" t="s">
        <v>1756</v>
      </c>
      <c r="N1444" s="761">
        <v>45232</v>
      </c>
      <c r="O1444" s="3" t="s">
        <v>62</v>
      </c>
      <c r="P1444" s="4" t="s">
        <v>4291</v>
      </c>
      <c r="Q1444" s="3" t="s">
        <v>847</v>
      </c>
      <c r="R1444" s="825"/>
      <c r="S1444" s="3" t="s">
        <v>130</v>
      </c>
      <c r="T1444" s="825"/>
      <c r="U1444" s="786">
        <v>324.5</v>
      </c>
      <c r="V1444" s="825"/>
      <c r="W1444" s="825"/>
      <c r="X1444" s="3" t="s">
        <v>1756</v>
      </c>
      <c r="Y1444" s="761">
        <v>45232</v>
      </c>
      <c r="Z1444" s="3" t="s">
        <v>62</v>
      </c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</row>
    <row r="1445" spans="1:39" s="707" customFormat="1">
      <c r="A1445"/>
      <c r="B1445" s="914" t="s">
        <v>13</v>
      </c>
      <c r="C1445" s="915" t="s">
        <v>1710</v>
      </c>
      <c r="D1445" s="823"/>
      <c r="E1445" s="9"/>
      <c r="F1445" s="807"/>
      <c r="G1445" s="807"/>
      <c r="H1445" s="807"/>
      <c r="I1445" s="820"/>
      <c r="J1445" s="820"/>
      <c r="K1445" s="819"/>
      <c r="L1445" s="819"/>
      <c r="M1445" s="819"/>
      <c r="N1445" s="819"/>
      <c r="O1445" s="807"/>
      <c r="P1445" s="710"/>
      <c r="Q1445" s="807"/>
      <c r="R1445" s="807"/>
      <c r="S1445" s="807"/>
      <c r="T1445" s="807"/>
      <c r="U1445" s="820"/>
      <c r="V1445" s="807"/>
      <c r="W1445" s="807"/>
      <c r="X1445" s="807"/>
      <c r="Y1445" s="819"/>
      <c r="Z1445" s="807"/>
      <c r="AA1445" s="710"/>
      <c r="AB1445" s="710"/>
      <c r="AC1445" s="710"/>
      <c r="AD1445" s="710"/>
      <c r="AE1445" s="710"/>
      <c r="AF1445" s="710"/>
      <c r="AG1445" s="710"/>
      <c r="AH1445" s="710"/>
      <c r="AI1445" s="710"/>
      <c r="AJ1445" s="710"/>
      <c r="AK1445" s="710"/>
      <c r="AL1445" s="710"/>
      <c r="AM1445" s="710"/>
    </row>
    <row r="1446" spans="1:39">
      <c r="B1446" s="904">
        <v>12</v>
      </c>
      <c r="C1446" s="807" t="s">
        <v>3454</v>
      </c>
      <c r="D1446" s="801">
        <v>200104384</v>
      </c>
      <c r="E1446" s="8">
        <v>121303</v>
      </c>
      <c r="F1446" s="3">
        <v>1</v>
      </c>
      <c r="G1446" s="3" t="s">
        <v>60</v>
      </c>
      <c r="H1446" s="3" t="s">
        <v>128</v>
      </c>
      <c r="I1446" s="786">
        <v>530.6</v>
      </c>
      <c r="J1446" s="762">
        <v>303.85000000000002</v>
      </c>
      <c r="K1446" s="761" t="s">
        <v>1710</v>
      </c>
      <c r="L1446" s="761">
        <v>45271</v>
      </c>
      <c r="M1446" s="761" t="s">
        <v>1710</v>
      </c>
      <c r="N1446" s="761">
        <v>45272</v>
      </c>
      <c r="O1446" s="3" t="s">
        <v>62</v>
      </c>
      <c r="P1446" s="4" t="s">
        <v>4292</v>
      </c>
      <c r="Q1446" s="3" t="s">
        <v>4293</v>
      </c>
      <c r="R1446" s="825"/>
      <c r="S1446" s="3" t="s">
        <v>130</v>
      </c>
      <c r="T1446" s="825"/>
      <c r="U1446" s="786">
        <v>319.60000000000002</v>
      </c>
      <c r="V1446" s="825"/>
      <c r="W1446" s="825"/>
      <c r="X1446" s="3" t="s">
        <v>1710</v>
      </c>
      <c r="Y1446" s="761">
        <v>45273</v>
      </c>
      <c r="Z1446" s="3" t="s">
        <v>62</v>
      </c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</row>
    <row r="1447" spans="1:39">
      <c r="B1447" s="904">
        <v>12</v>
      </c>
      <c r="C1447" s="807" t="s">
        <v>3454</v>
      </c>
      <c r="D1447" s="801">
        <v>200104385</v>
      </c>
      <c r="E1447" s="8">
        <v>121313</v>
      </c>
      <c r="F1447" s="3">
        <v>2</v>
      </c>
      <c r="G1447" s="3" t="s">
        <v>60</v>
      </c>
      <c r="H1447" s="3" t="s">
        <v>60</v>
      </c>
      <c r="I1447" s="786">
        <v>539.9</v>
      </c>
      <c r="J1447" s="786">
        <v>302.11</v>
      </c>
      <c r="K1447" s="761" t="s">
        <v>1710</v>
      </c>
      <c r="L1447" s="761">
        <v>45271</v>
      </c>
      <c r="M1447" s="761" t="s">
        <v>1710</v>
      </c>
      <c r="N1447" s="761">
        <v>45273</v>
      </c>
      <c r="O1447" s="3" t="s">
        <v>62</v>
      </c>
      <c r="P1447" s="4" t="s">
        <v>4294</v>
      </c>
      <c r="Q1447" s="4" t="s">
        <v>4295</v>
      </c>
      <c r="R1447" s="825"/>
      <c r="S1447" s="3" t="s">
        <v>130</v>
      </c>
      <c r="T1447" s="825"/>
      <c r="U1447" s="786">
        <v>318</v>
      </c>
      <c r="V1447" s="825"/>
      <c r="W1447" s="825"/>
      <c r="X1447" s="3" t="s">
        <v>1710</v>
      </c>
      <c r="Y1447" s="761">
        <v>45273</v>
      </c>
      <c r="Z1447" s="3" t="s">
        <v>62</v>
      </c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</row>
    <row r="1448" spans="1:39" s="709" customFormat="1" ht="24" customHeight="1">
      <c r="A1448" s="920"/>
      <c r="B1448" s="921"/>
      <c r="C1448" s="922">
        <v>2024</v>
      </c>
      <c r="D1448" s="923"/>
      <c r="E1448" s="924"/>
      <c r="F1448" s="925"/>
      <c r="G1448" s="925"/>
      <c r="H1448" s="925"/>
      <c r="I1448" s="925"/>
      <c r="J1448" s="925"/>
      <c r="K1448" s="925"/>
      <c r="L1448" s="929"/>
      <c r="M1448" s="929"/>
      <c r="N1448" s="929"/>
      <c r="O1448" s="925"/>
      <c r="P1448" s="925"/>
      <c r="Q1448" s="925"/>
      <c r="R1448" s="925"/>
      <c r="S1448" s="925"/>
      <c r="T1448" s="925"/>
      <c r="U1448" s="925"/>
      <c r="V1448" s="930"/>
      <c r="W1448" s="929"/>
      <c r="X1448" s="929"/>
      <c r="Y1448" s="929"/>
      <c r="Z1448" s="925"/>
      <c r="AA1448" s="930"/>
      <c r="AB1448" s="930"/>
      <c r="AC1448" s="930"/>
      <c r="AD1448" s="930"/>
      <c r="AE1448" s="930"/>
      <c r="AF1448" s="930"/>
      <c r="AG1448" s="930"/>
      <c r="AH1448" s="930"/>
      <c r="AI1448" s="930"/>
      <c r="AJ1448" s="930"/>
      <c r="AK1448" s="930"/>
      <c r="AL1448" s="930"/>
      <c r="AM1448" s="930"/>
    </row>
    <row r="1449" spans="1:39" s="709" customFormat="1" ht="13.95" customHeight="1">
      <c r="A1449" s="920"/>
      <c r="B1449" s="921"/>
      <c r="C1449" s="926" t="s">
        <v>3313</v>
      </c>
      <c r="D1449" s="923"/>
      <c r="E1449" s="924"/>
      <c r="F1449" s="925"/>
      <c r="G1449" s="925"/>
      <c r="H1449" s="925"/>
      <c r="I1449" s="925"/>
      <c r="J1449" s="925"/>
      <c r="K1449" s="925"/>
      <c r="L1449" s="929"/>
      <c r="M1449" s="929"/>
      <c r="N1449" s="929"/>
      <c r="O1449" s="925"/>
      <c r="P1449" s="925"/>
      <c r="Q1449" s="925"/>
      <c r="R1449" s="925"/>
      <c r="S1449" s="925"/>
      <c r="T1449" s="925"/>
      <c r="U1449" s="925"/>
      <c r="V1449" s="930"/>
      <c r="W1449" s="929"/>
      <c r="X1449" s="929"/>
      <c r="Y1449" s="929"/>
      <c r="Z1449" s="925"/>
      <c r="AA1449" s="930"/>
      <c r="AB1449" s="930"/>
      <c r="AC1449" s="930"/>
      <c r="AD1449" s="930"/>
      <c r="AE1449" s="930"/>
      <c r="AF1449" s="930"/>
      <c r="AG1449" s="930"/>
      <c r="AH1449" s="930"/>
      <c r="AI1449" s="930"/>
      <c r="AJ1449" s="930"/>
      <c r="AK1449" s="930"/>
      <c r="AL1449" s="930"/>
      <c r="AM1449" s="930"/>
    </row>
    <row r="1450" spans="1:39">
      <c r="B1450" s="904">
        <v>1</v>
      </c>
      <c r="C1450" s="807" t="s">
        <v>3454</v>
      </c>
      <c r="D1450" s="801">
        <v>200104496</v>
      </c>
      <c r="E1450" s="1485" t="s">
        <v>586</v>
      </c>
      <c r="F1450" s="3">
        <v>1</v>
      </c>
      <c r="G1450" s="3" t="s">
        <v>60</v>
      </c>
      <c r="H1450" s="3" t="s">
        <v>60</v>
      </c>
      <c r="I1450" s="762">
        <v>538.29999999999995</v>
      </c>
      <c r="J1450" s="762">
        <v>303.13</v>
      </c>
      <c r="K1450" s="761" t="s">
        <v>1710</v>
      </c>
      <c r="L1450" s="761">
        <v>45288</v>
      </c>
      <c r="M1450" s="761" t="s">
        <v>1710</v>
      </c>
      <c r="N1450" s="761">
        <v>45288</v>
      </c>
      <c r="O1450" s="3" t="s">
        <v>62</v>
      </c>
      <c r="P1450" s="4" t="s">
        <v>587</v>
      </c>
      <c r="Q1450" s="3" t="s">
        <v>588</v>
      </c>
      <c r="R1450" s="825"/>
      <c r="S1450" s="3" t="s">
        <v>130</v>
      </c>
      <c r="T1450" s="825"/>
      <c r="U1450" s="762">
        <v>319</v>
      </c>
      <c r="V1450" s="825"/>
      <c r="W1450" s="825"/>
      <c r="X1450" s="3" t="s">
        <v>1710</v>
      </c>
      <c r="Y1450" s="761">
        <v>45654</v>
      </c>
      <c r="Z1450" s="3" t="s">
        <v>62</v>
      </c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</row>
    <row r="1451" spans="1:39">
      <c r="B1451" s="904">
        <v>1</v>
      </c>
      <c r="C1451" s="807" t="s">
        <v>3454</v>
      </c>
      <c r="D1451" s="801">
        <v>200104497</v>
      </c>
      <c r="E1451" s="1485" t="s">
        <v>589</v>
      </c>
      <c r="F1451" s="3">
        <v>2</v>
      </c>
      <c r="G1451" s="3" t="s">
        <v>60</v>
      </c>
      <c r="H1451" s="3" t="s">
        <v>60</v>
      </c>
      <c r="I1451" s="786">
        <v>530.70000000000005</v>
      </c>
      <c r="J1451" s="762">
        <v>304.25</v>
      </c>
      <c r="K1451" s="761" t="s">
        <v>1710</v>
      </c>
      <c r="L1451" s="761">
        <v>45289</v>
      </c>
      <c r="M1451" s="761" t="s">
        <v>1710</v>
      </c>
      <c r="N1451" s="761">
        <v>45288</v>
      </c>
      <c r="O1451" s="3" t="s">
        <v>62</v>
      </c>
      <c r="P1451" s="4" t="s">
        <v>590</v>
      </c>
      <c r="Q1451" s="3" t="s">
        <v>591</v>
      </c>
      <c r="R1451" s="825"/>
      <c r="S1451" s="3" t="s">
        <v>130</v>
      </c>
      <c r="T1451" s="825"/>
      <c r="U1451" s="762">
        <v>320.2</v>
      </c>
      <c r="V1451" s="825"/>
      <c r="W1451" s="825"/>
      <c r="X1451" s="3" t="s">
        <v>1710</v>
      </c>
      <c r="Y1451" s="761">
        <v>45654</v>
      </c>
      <c r="Z1451" s="3" t="s">
        <v>62</v>
      </c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</row>
    <row r="1452" spans="1:39">
      <c r="B1452" s="904">
        <v>1</v>
      </c>
      <c r="C1452" s="807" t="s">
        <v>3454</v>
      </c>
      <c r="D1452" s="801">
        <v>200104498</v>
      </c>
      <c r="E1452" s="1485" t="s">
        <v>592</v>
      </c>
      <c r="F1452" s="3">
        <v>3</v>
      </c>
      <c r="G1452" s="3" t="s">
        <v>60</v>
      </c>
      <c r="H1452" s="3" t="s">
        <v>60</v>
      </c>
      <c r="I1452" s="762">
        <v>536.20000000000005</v>
      </c>
      <c r="J1452" s="762">
        <v>304</v>
      </c>
      <c r="K1452" s="761" t="s">
        <v>1710</v>
      </c>
      <c r="L1452" s="761">
        <v>45289</v>
      </c>
      <c r="M1452" s="761" t="s">
        <v>1710</v>
      </c>
      <c r="N1452" s="761">
        <v>45288</v>
      </c>
      <c r="O1452" s="3" t="s">
        <v>62</v>
      </c>
      <c r="P1452" s="4" t="s">
        <v>593</v>
      </c>
      <c r="Q1452" s="3" t="s">
        <v>594</v>
      </c>
      <c r="R1452" s="825"/>
      <c r="S1452" s="3" t="s">
        <v>130</v>
      </c>
      <c r="T1452" s="825"/>
      <c r="U1452" s="762">
        <v>320.2</v>
      </c>
      <c r="V1452" s="825"/>
      <c r="W1452" s="825"/>
      <c r="X1452" s="3" t="s">
        <v>1710</v>
      </c>
      <c r="Y1452" s="761">
        <v>45655</v>
      </c>
      <c r="Z1452" s="3" t="s">
        <v>62</v>
      </c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</row>
    <row r="1453" spans="1:39">
      <c r="B1453" s="904">
        <v>1</v>
      </c>
      <c r="C1453" s="807" t="s">
        <v>3454</v>
      </c>
      <c r="D1453" s="801">
        <v>200104499</v>
      </c>
      <c r="E1453" s="1485" t="s">
        <v>595</v>
      </c>
      <c r="F1453" s="3">
        <v>4</v>
      </c>
      <c r="G1453" s="3" t="s">
        <v>60</v>
      </c>
      <c r="H1453" s="3" t="s">
        <v>60</v>
      </c>
      <c r="I1453" s="762">
        <v>542.5</v>
      </c>
      <c r="J1453" s="762">
        <v>308.02</v>
      </c>
      <c r="K1453" s="761" t="s">
        <v>1710</v>
      </c>
      <c r="L1453" s="761">
        <v>45289</v>
      </c>
      <c r="M1453" s="761" t="s">
        <v>1710</v>
      </c>
      <c r="N1453" s="761">
        <v>45288</v>
      </c>
      <c r="O1453" s="3" t="s">
        <v>62</v>
      </c>
      <c r="P1453" s="4" t="s">
        <v>596</v>
      </c>
      <c r="Q1453" s="3" t="s">
        <v>597</v>
      </c>
      <c r="R1453" s="825"/>
      <c r="S1453" s="3" t="s">
        <v>130</v>
      </c>
      <c r="T1453" s="825"/>
      <c r="U1453" s="762">
        <v>324.10000000000002</v>
      </c>
      <c r="V1453" s="825"/>
      <c r="W1453" s="825"/>
      <c r="X1453" s="3" t="s">
        <v>1710</v>
      </c>
      <c r="Y1453" s="761">
        <v>45655</v>
      </c>
      <c r="Z1453" s="3" t="s">
        <v>62</v>
      </c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</row>
    <row r="1454" spans="1:39">
      <c r="B1454" s="904">
        <v>1</v>
      </c>
      <c r="C1454" s="807" t="s">
        <v>3454</v>
      </c>
      <c r="D1454" s="801">
        <v>200104500</v>
      </c>
      <c r="E1454" s="1485" t="s">
        <v>598</v>
      </c>
      <c r="F1454" s="3">
        <v>5</v>
      </c>
      <c r="G1454" s="3" t="s">
        <v>128</v>
      </c>
      <c r="H1454" s="3" t="s">
        <v>128</v>
      </c>
      <c r="I1454" s="786">
        <v>534.1</v>
      </c>
      <c r="J1454" s="786">
        <v>303.82</v>
      </c>
      <c r="K1454" s="761" t="s">
        <v>2094</v>
      </c>
      <c r="L1454" s="761">
        <v>45295</v>
      </c>
      <c r="M1454" s="761" t="s">
        <v>4296</v>
      </c>
      <c r="N1454" s="761">
        <v>45293</v>
      </c>
      <c r="O1454" s="3" t="s">
        <v>62</v>
      </c>
      <c r="P1454" s="4" t="s">
        <v>599</v>
      </c>
      <c r="Q1454" s="3" t="s">
        <v>600</v>
      </c>
      <c r="R1454" s="825"/>
      <c r="S1454" s="3" t="s">
        <v>130</v>
      </c>
      <c r="T1454" s="825"/>
      <c r="U1454" s="786">
        <v>320</v>
      </c>
      <c r="V1454" s="825"/>
      <c r="W1454" s="825"/>
      <c r="X1454" s="3" t="s">
        <v>2094</v>
      </c>
      <c r="Y1454" s="761">
        <v>45294</v>
      </c>
      <c r="Z1454" s="3" t="s">
        <v>62</v>
      </c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</row>
    <row r="1455" spans="1:39">
      <c r="B1455" s="904">
        <v>1</v>
      </c>
      <c r="C1455" s="807" t="s">
        <v>3454</v>
      </c>
      <c r="D1455" s="801">
        <v>200104501</v>
      </c>
      <c r="E1455" s="1485" t="s">
        <v>601</v>
      </c>
      <c r="F1455" s="3">
        <v>6</v>
      </c>
      <c r="G1455" s="3" t="s">
        <v>128</v>
      </c>
      <c r="H1455" s="3" t="s">
        <v>128</v>
      </c>
      <c r="I1455" s="786">
        <v>537.5</v>
      </c>
      <c r="J1455" s="786">
        <v>306.47000000000003</v>
      </c>
      <c r="K1455" s="761" t="s">
        <v>2094</v>
      </c>
      <c r="L1455" s="761">
        <v>45295</v>
      </c>
      <c r="M1455" s="761" t="s">
        <v>4296</v>
      </c>
      <c r="N1455" s="761">
        <v>45293</v>
      </c>
      <c r="O1455" s="3" t="s">
        <v>62</v>
      </c>
      <c r="P1455" s="4" t="s">
        <v>602</v>
      </c>
      <c r="Q1455" s="3" t="s">
        <v>603</v>
      </c>
      <c r="R1455" s="825"/>
      <c r="S1455" s="3" t="s">
        <v>130</v>
      </c>
      <c r="T1455" s="825"/>
      <c r="U1455" s="786">
        <v>322.39999999999998</v>
      </c>
      <c r="V1455" s="825"/>
      <c r="W1455" s="825"/>
      <c r="X1455" s="3" t="s">
        <v>2094</v>
      </c>
      <c r="Y1455" s="761">
        <v>45294</v>
      </c>
      <c r="Z1455" s="3" t="s">
        <v>62</v>
      </c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</row>
    <row r="1456" spans="1:39">
      <c r="B1456" s="904">
        <v>1</v>
      </c>
      <c r="C1456" s="807" t="s">
        <v>3454</v>
      </c>
      <c r="D1456" s="801">
        <v>200104502</v>
      </c>
      <c r="E1456" s="1485" t="s">
        <v>604</v>
      </c>
      <c r="F1456" s="3">
        <v>7</v>
      </c>
      <c r="G1456" s="3" t="s">
        <v>128</v>
      </c>
      <c r="H1456" s="3" t="s">
        <v>60</v>
      </c>
      <c r="I1456" s="786">
        <v>533.70000000000005</v>
      </c>
      <c r="J1456" s="786">
        <v>303.86</v>
      </c>
      <c r="K1456" s="761" t="s">
        <v>2094</v>
      </c>
      <c r="L1456" s="761">
        <v>45296</v>
      </c>
      <c r="M1456" s="761" t="s">
        <v>2094</v>
      </c>
      <c r="N1456" s="761">
        <v>45295</v>
      </c>
      <c r="O1456" s="3" t="s">
        <v>62</v>
      </c>
      <c r="P1456" s="4" t="s">
        <v>605</v>
      </c>
      <c r="Q1456" s="3" t="s">
        <v>606</v>
      </c>
      <c r="R1456" s="825"/>
      <c r="S1456" s="3" t="s">
        <v>130</v>
      </c>
      <c r="T1456" s="825"/>
      <c r="U1456" s="786">
        <v>319.5</v>
      </c>
      <c r="V1456" s="825"/>
      <c r="W1456" s="825"/>
      <c r="X1456" s="3" t="s">
        <v>2094</v>
      </c>
      <c r="Y1456" s="761">
        <v>45295</v>
      </c>
      <c r="Z1456" s="3" t="s">
        <v>62</v>
      </c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</row>
    <row r="1457" spans="1:39">
      <c r="B1457" s="904">
        <v>1</v>
      </c>
      <c r="C1457" s="807" t="s">
        <v>3454</v>
      </c>
      <c r="D1457" s="801">
        <v>200104640</v>
      </c>
      <c r="E1457" s="1485" t="s">
        <v>608</v>
      </c>
      <c r="F1457" s="3">
        <v>8</v>
      </c>
      <c r="G1457" s="3" t="s">
        <v>60</v>
      </c>
      <c r="H1457" s="3" t="s">
        <v>60</v>
      </c>
      <c r="I1457" s="762">
        <v>535.4</v>
      </c>
      <c r="J1457" s="762">
        <v>304.08</v>
      </c>
      <c r="K1457" s="761" t="s">
        <v>2094</v>
      </c>
      <c r="L1457" s="761">
        <v>45306</v>
      </c>
      <c r="M1457" s="761" t="s">
        <v>2094</v>
      </c>
      <c r="N1457" s="761">
        <v>45303</v>
      </c>
      <c r="O1457" s="3" t="s">
        <v>62</v>
      </c>
      <c r="P1457" s="3" t="s">
        <v>609</v>
      </c>
      <c r="Q1457" s="3" t="s">
        <v>610</v>
      </c>
      <c r="R1457" s="825"/>
      <c r="S1457" s="3" t="s">
        <v>130</v>
      </c>
      <c r="T1457" s="825"/>
      <c r="U1457" s="762">
        <v>319.83999999999997</v>
      </c>
      <c r="V1457" s="825"/>
      <c r="W1457" s="825"/>
      <c r="X1457" s="3" t="s">
        <v>2094</v>
      </c>
      <c r="Y1457" s="761">
        <v>45306</v>
      </c>
      <c r="Z1457" s="3" t="s">
        <v>62</v>
      </c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</row>
    <row r="1458" spans="1:39">
      <c r="B1458" s="904">
        <v>1</v>
      </c>
      <c r="C1458" s="807" t="s">
        <v>3454</v>
      </c>
      <c r="D1458" s="801">
        <v>200104641</v>
      </c>
      <c r="E1458" s="1485" t="s">
        <v>611</v>
      </c>
      <c r="F1458" s="3">
        <v>9</v>
      </c>
      <c r="G1458" s="3" t="s">
        <v>60</v>
      </c>
      <c r="H1458" s="3" t="s">
        <v>60</v>
      </c>
      <c r="I1458" s="762">
        <v>536.20000000000005</v>
      </c>
      <c r="J1458" s="762">
        <v>304.85000000000002</v>
      </c>
      <c r="K1458" s="761" t="s">
        <v>2094</v>
      </c>
      <c r="L1458" s="761">
        <v>45306</v>
      </c>
      <c r="M1458" s="761" t="s">
        <v>2094</v>
      </c>
      <c r="N1458" s="761">
        <v>45303</v>
      </c>
      <c r="O1458" s="3" t="s">
        <v>62</v>
      </c>
      <c r="P1458" s="3" t="s">
        <v>612</v>
      </c>
      <c r="Q1458" s="3" t="s">
        <v>613</v>
      </c>
      <c r="R1458" s="825"/>
      <c r="S1458" s="3" t="s">
        <v>130</v>
      </c>
      <c r="T1458" s="825"/>
      <c r="U1458" s="762">
        <v>320.3</v>
      </c>
      <c r="V1458" s="825"/>
      <c r="W1458" s="825"/>
      <c r="X1458" s="3" t="s">
        <v>2094</v>
      </c>
      <c r="Y1458" s="761">
        <v>45306</v>
      </c>
      <c r="Z1458" s="3" t="s">
        <v>62</v>
      </c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</row>
    <row r="1459" spans="1:39">
      <c r="B1459" s="904">
        <v>1</v>
      </c>
      <c r="C1459" s="807" t="s">
        <v>3454</v>
      </c>
      <c r="D1459" s="801">
        <v>200104642</v>
      </c>
      <c r="E1459" s="1485" t="s">
        <v>614</v>
      </c>
      <c r="F1459" s="3">
        <v>10</v>
      </c>
      <c r="G1459" s="3" t="s">
        <v>60</v>
      </c>
      <c r="H1459" s="3" t="s">
        <v>60</v>
      </c>
      <c r="I1459" s="762">
        <v>540.5</v>
      </c>
      <c r="J1459" s="762">
        <f>152.21+155.25</f>
        <v>307.46000000000004</v>
      </c>
      <c r="K1459" s="761" t="s">
        <v>2094</v>
      </c>
      <c r="L1459" s="761">
        <v>45306</v>
      </c>
      <c r="M1459" s="761" t="s">
        <v>2094</v>
      </c>
      <c r="N1459" s="761">
        <v>45303</v>
      </c>
      <c r="O1459" s="3" t="s">
        <v>62</v>
      </c>
      <c r="P1459" s="3" t="s">
        <v>615</v>
      </c>
      <c r="Q1459" s="3" t="s">
        <v>616</v>
      </c>
      <c r="R1459" s="825"/>
      <c r="S1459" s="3" t="s">
        <v>130</v>
      </c>
      <c r="T1459" s="825"/>
      <c r="U1459" s="762">
        <v>323</v>
      </c>
      <c r="V1459" s="825"/>
      <c r="W1459" s="825"/>
      <c r="X1459" s="3" t="s">
        <v>2094</v>
      </c>
      <c r="Y1459" s="761">
        <v>45306</v>
      </c>
      <c r="Z1459" s="3" t="s">
        <v>62</v>
      </c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</row>
    <row r="1460" spans="1:39">
      <c r="B1460" s="904">
        <v>1</v>
      </c>
      <c r="C1460" s="807" t="s">
        <v>3454</v>
      </c>
      <c r="D1460" s="801">
        <v>200104643</v>
      </c>
      <c r="E1460" s="1485" t="s">
        <v>618</v>
      </c>
      <c r="F1460" s="3">
        <v>11</v>
      </c>
      <c r="G1460" s="3" t="s">
        <v>60</v>
      </c>
      <c r="H1460" s="3" t="s">
        <v>128</v>
      </c>
      <c r="I1460" s="762">
        <v>530.1</v>
      </c>
      <c r="J1460" s="762">
        <f>147.39+157.75</f>
        <v>305.14</v>
      </c>
      <c r="K1460" s="761" t="s">
        <v>2094</v>
      </c>
      <c r="L1460" s="761">
        <v>45307</v>
      </c>
      <c r="M1460" s="761" t="s">
        <v>2094</v>
      </c>
      <c r="N1460" s="761">
        <v>45307</v>
      </c>
      <c r="O1460" s="3" t="s">
        <v>62</v>
      </c>
      <c r="P1460" s="3" t="s">
        <v>619</v>
      </c>
      <c r="Q1460" s="3" t="s">
        <v>620</v>
      </c>
      <c r="R1460" s="825"/>
      <c r="S1460" s="3" t="s">
        <v>130</v>
      </c>
      <c r="T1460" s="825"/>
      <c r="U1460" s="762">
        <v>320.8</v>
      </c>
      <c r="V1460" s="825"/>
      <c r="W1460" s="825"/>
      <c r="X1460" s="3" t="s">
        <v>2094</v>
      </c>
      <c r="Y1460" s="761">
        <v>45309</v>
      </c>
      <c r="Z1460" s="3" t="s">
        <v>62</v>
      </c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</row>
    <row r="1461" spans="1:39" s="709" customFormat="1" ht="24" customHeight="1">
      <c r="A1461" s="920"/>
      <c r="B1461" s="921"/>
      <c r="C1461" s="922" t="s">
        <v>4297</v>
      </c>
      <c r="D1461" s="923"/>
      <c r="E1461" s="924"/>
      <c r="F1461" s="925"/>
      <c r="G1461" s="925"/>
      <c r="H1461" s="925"/>
      <c r="I1461" s="925"/>
      <c r="J1461" s="925"/>
      <c r="K1461" s="925"/>
      <c r="L1461" s="929"/>
      <c r="M1461" s="929"/>
      <c r="N1461" s="929"/>
      <c r="O1461" s="925"/>
      <c r="P1461" s="925"/>
      <c r="Q1461" s="925"/>
      <c r="R1461" s="925"/>
      <c r="S1461" s="925"/>
      <c r="T1461" s="925"/>
      <c r="U1461" s="925"/>
      <c r="V1461" s="930"/>
      <c r="W1461" s="929"/>
      <c r="X1461" s="929"/>
      <c r="Y1461" s="929"/>
      <c r="Z1461" s="925"/>
      <c r="AA1461" s="930"/>
      <c r="AB1461" s="930"/>
      <c r="AC1461" s="930"/>
      <c r="AD1461" s="930"/>
      <c r="AE1461" s="930"/>
      <c r="AF1461" s="930"/>
      <c r="AG1461" s="930"/>
      <c r="AH1461" s="930"/>
      <c r="AI1461" s="930"/>
      <c r="AJ1461" s="930"/>
      <c r="AK1461" s="930"/>
      <c r="AL1461" s="930"/>
      <c r="AM1461" s="930"/>
    </row>
    <row r="1462" spans="1:39" s="709" customFormat="1" ht="13.95" customHeight="1">
      <c r="A1462" s="920"/>
      <c r="B1462" s="921"/>
      <c r="C1462" s="926" t="s">
        <v>3315</v>
      </c>
      <c r="D1462" s="923"/>
      <c r="E1462" s="924"/>
      <c r="F1462" s="925"/>
      <c r="G1462" s="925"/>
      <c r="H1462" s="925"/>
      <c r="I1462" s="925"/>
      <c r="J1462" s="925"/>
      <c r="K1462" s="925"/>
      <c r="L1462" s="929"/>
      <c r="M1462" s="929"/>
      <c r="N1462" s="929"/>
      <c r="O1462" s="925"/>
      <c r="P1462" s="925"/>
      <c r="Q1462" s="925"/>
      <c r="R1462" s="925"/>
      <c r="S1462" s="925"/>
      <c r="T1462" s="925"/>
      <c r="U1462" s="925"/>
      <c r="V1462" s="930"/>
      <c r="W1462" s="929"/>
      <c r="X1462" s="929"/>
      <c r="Y1462" s="929"/>
      <c r="Z1462" s="925"/>
      <c r="AA1462" s="930"/>
      <c r="AB1462" s="930"/>
      <c r="AC1462" s="930"/>
      <c r="AD1462" s="930"/>
      <c r="AE1462" s="930"/>
      <c r="AF1462" s="930"/>
      <c r="AG1462" s="930"/>
      <c r="AH1462" s="930"/>
      <c r="AI1462" s="930"/>
      <c r="AJ1462" s="930"/>
      <c r="AK1462" s="930"/>
      <c r="AL1462" s="930"/>
      <c r="AM1462" s="930"/>
    </row>
    <row r="1463" spans="1:39">
      <c r="B1463" s="904" t="s">
        <v>163</v>
      </c>
      <c r="C1463" s="807" t="s">
        <v>3454</v>
      </c>
      <c r="D1463" s="801">
        <v>200104754</v>
      </c>
      <c r="E1463" s="1485" t="s">
        <v>622</v>
      </c>
      <c r="F1463" s="3">
        <v>1</v>
      </c>
      <c r="G1463" s="3" t="s">
        <v>60</v>
      </c>
      <c r="H1463" s="3" t="s">
        <v>128</v>
      </c>
      <c r="I1463" s="762">
        <v>535</v>
      </c>
      <c r="J1463" s="762">
        <v>306.63</v>
      </c>
      <c r="K1463" s="761" t="s">
        <v>2094</v>
      </c>
      <c r="L1463" s="761">
        <v>45316</v>
      </c>
      <c r="M1463" s="761" t="s">
        <v>2094</v>
      </c>
      <c r="N1463" s="761">
        <v>45317</v>
      </c>
      <c r="O1463" s="3" t="s">
        <v>62</v>
      </c>
      <c r="P1463" s="3" t="s">
        <v>623</v>
      </c>
      <c r="Q1463" s="3" t="s">
        <v>624</v>
      </c>
      <c r="R1463" s="825"/>
      <c r="S1463" s="3" t="s">
        <v>130</v>
      </c>
      <c r="T1463" s="825"/>
      <c r="U1463" s="762">
        <v>322.39999999999998</v>
      </c>
      <c r="V1463" s="825"/>
      <c r="W1463" s="825"/>
      <c r="X1463" s="3" t="s">
        <v>2094</v>
      </c>
      <c r="Y1463" s="761">
        <v>45317</v>
      </c>
      <c r="Z1463" s="3" t="s">
        <v>62</v>
      </c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</row>
    <row r="1464" spans="1:39">
      <c r="B1464" s="904" t="s">
        <v>163</v>
      </c>
      <c r="C1464" s="807" t="s">
        <v>3454</v>
      </c>
      <c r="D1464" s="801">
        <v>200104755</v>
      </c>
      <c r="E1464" s="1485" t="s">
        <v>626</v>
      </c>
      <c r="F1464" s="3">
        <v>2</v>
      </c>
      <c r="G1464" s="3" t="s">
        <v>60</v>
      </c>
      <c r="H1464" s="3" t="s">
        <v>128</v>
      </c>
      <c r="I1464" s="762">
        <v>537.79999999999995</v>
      </c>
      <c r="J1464" s="762">
        <v>305.20999999999998</v>
      </c>
      <c r="K1464" s="761" t="s">
        <v>2094</v>
      </c>
      <c r="L1464" s="761">
        <v>45316</v>
      </c>
      <c r="M1464" s="761" t="s">
        <v>2094</v>
      </c>
      <c r="N1464" s="761">
        <v>45317</v>
      </c>
      <c r="O1464" s="3" t="s">
        <v>62</v>
      </c>
      <c r="P1464" s="3" t="s">
        <v>627</v>
      </c>
      <c r="Q1464" s="3" t="s">
        <v>628</v>
      </c>
      <c r="R1464" s="825"/>
      <c r="S1464" s="3" t="s">
        <v>130</v>
      </c>
      <c r="T1464" s="825"/>
      <c r="U1464" s="762">
        <v>321.10000000000002</v>
      </c>
      <c r="V1464" s="825"/>
      <c r="W1464" s="825"/>
      <c r="X1464" s="3" t="s">
        <v>2094</v>
      </c>
      <c r="Y1464" s="761">
        <v>45317</v>
      </c>
      <c r="Z1464" s="3" t="s">
        <v>62</v>
      </c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</row>
    <row r="1465" spans="1:39">
      <c r="B1465" s="904" t="s">
        <v>163</v>
      </c>
      <c r="C1465" s="807" t="s">
        <v>3454</v>
      </c>
      <c r="D1465" s="801">
        <v>200104756</v>
      </c>
      <c r="E1465" s="1485" t="s">
        <v>630</v>
      </c>
      <c r="F1465" s="3">
        <v>3</v>
      </c>
      <c r="G1465" s="3" t="s">
        <v>60</v>
      </c>
      <c r="H1465" s="3" t="s">
        <v>128</v>
      </c>
      <c r="I1465" s="762">
        <v>543.9</v>
      </c>
      <c r="J1465" s="762">
        <v>305.72000000000003</v>
      </c>
      <c r="K1465" s="761" t="s">
        <v>2094</v>
      </c>
      <c r="L1465" s="761">
        <v>45316</v>
      </c>
      <c r="M1465" s="761" t="s">
        <v>2094</v>
      </c>
      <c r="N1465" s="761">
        <v>45317</v>
      </c>
      <c r="O1465" s="3" t="s">
        <v>62</v>
      </c>
      <c r="P1465" s="3" t="s">
        <v>631</v>
      </c>
      <c r="Q1465" s="3" t="s">
        <v>632</v>
      </c>
      <c r="R1465" s="825"/>
      <c r="S1465" s="3" t="s">
        <v>130</v>
      </c>
      <c r="T1465" s="825"/>
      <c r="U1465" s="762">
        <v>321.2</v>
      </c>
      <c r="V1465" s="825"/>
      <c r="W1465" s="825"/>
      <c r="X1465" s="3" t="s">
        <v>2094</v>
      </c>
      <c r="Y1465" s="761">
        <v>45317</v>
      </c>
      <c r="Z1465" s="3" t="s">
        <v>62</v>
      </c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</row>
    <row r="1466" spans="1:39">
      <c r="B1466" s="904" t="s">
        <v>163</v>
      </c>
      <c r="C1466" s="807" t="s">
        <v>3454</v>
      </c>
      <c r="D1466" s="801">
        <v>200104757</v>
      </c>
      <c r="E1466" s="1485" t="s">
        <v>634</v>
      </c>
      <c r="F1466" s="3">
        <v>4</v>
      </c>
      <c r="G1466" s="3" t="s">
        <v>60</v>
      </c>
      <c r="H1466" s="3" t="s">
        <v>128</v>
      </c>
      <c r="I1466" s="762">
        <v>537.79999999999995</v>
      </c>
      <c r="J1466" s="762">
        <v>308.08999999999997</v>
      </c>
      <c r="K1466" s="761" t="s">
        <v>2094</v>
      </c>
      <c r="L1466" s="761">
        <v>45320</v>
      </c>
      <c r="M1466" s="761" t="s">
        <v>2094</v>
      </c>
      <c r="N1466" s="761">
        <v>45317</v>
      </c>
      <c r="O1466" s="3" t="s">
        <v>62</v>
      </c>
      <c r="P1466" s="3" t="s">
        <v>635</v>
      </c>
      <c r="Q1466" s="3" t="s">
        <v>636</v>
      </c>
      <c r="R1466" s="825"/>
      <c r="S1466" s="3" t="s">
        <v>130</v>
      </c>
      <c r="T1466" s="825"/>
      <c r="U1466" s="762">
        <v>324.2</v>
      </c>
      <c r="V1466" s="825"/>
      <c r="W1466" s="825"/>
      <c r="X1466" s="3" t="s">
        <v>2094</v>
      </c>
      <c r="Y1466" s="761">
        <v>45320</v>
      </c>
      <c r="Z1466" s="3" t="s">
        <v>62</v>
      </c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</row>
    <row r="1467" spans="1:39">
      <c r="B1467" s="904" t="s">
        <v>163</v>
      </c>
      <c r="C1467" s="807" t="s">
        <v>3454</v>
      </c>
      <c r="D1467" s="801">
        <v>200104758</v>
      </c>
      <c r="E1467" s="1485" t="s">
        <v>638</v>
      </c>
      <c r="F1467" s="3">
        <v>5</v>
      </c>
      <c r="G1467" s="3" t="s">
        <v>60</v>
      </c>
      <c r="H1467" s="3" t="s">
        <v>128</v>
      </c>
      <c r="I1467" s="762">
        <v>542.5</v>
      </c>
      <c r="J1467" s="762">
        <v>306.56</v>
      </c>
      <c r="K1467" s="761" t="s">
        <v>2094</v>
      </c>
      <c r="L1467" s="761">
        <v>45320</v>
      </c>
      <c r="M1467" s="761" t="s">
        <v>2094</v>
      </c>
      <c r="N1467" s="761">
        <v>45321</v>
      </c>
      <c r="O1467" s="3" t="s">
        <v>62</v>
      </c>
      <c r="P1467" s="3" t="s">
        <v>639</v>
      </c>
      <c r="Q1467" s="3" t="s">
        <v>640</v>
      </c>
      <c r="R1467" s="825"/>
      <c r="S1467" s="3" t="s">
        <v>130</v>
      </c>
      <c r="T1467" s="825"/>
      <c r="U1467" s="762">
        <v>322.3</v>
      </c>
      <c r="V1467" s="825"/>
      <c r="W1467" s="825"/>
      <c r="X1467" s="3" t="s">
        <v>2094</v>
      </c>
      <c r="Y1467" s="761">
        <v>45321</v>
      </c>
      <c r="Z1467" s="3" t="s">
        <v>62</v>
      </c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</row>
    <row r="1468" spans="1:39">
      <c r="B1468" s="904" t="s">
        <v>163</v>
      </c>
      <c r="C1468" s="807" t="s">
        <v>3454</v>
      </c>
      <c r="D1468" s="801">
        <v>200104759</v>
      </c>
      <c r="E1468" s="1485" t="s">
        <v>642</v>
      </c>
      <c r="F1468" s="3">
        <v>6</v>
      </c>
      <c r="G1468" s="3" t="s">
        <v>60</v>
      </c>
      <c r="H1468" s="3" t="s">
        <v>128</v>
      </c>
      <c r="I1468" s="762">
        <v>534.79999999999995</v>
      </c>
      <c r="J1468" s="762">
        <v>307.60000000000002</v>
      </c>
      <c r="K1468" s="761" t="s">
        <v>2094</v>
      </c>
      <c r="L1468" s="761">
        <v>45321</v>
      </c>
      <c r="M1468" s="761" t="s">
        <v>2094</v>
      </c>
      <c r="N1468" s="761">
        <v>45321</v>
      </c>
      <c r="O1468" s="3" t="s">
        <v>62</v>
      </c>
      <c r="P1468" s="3" t="s">
        <v>643</v>
      </c>
      <c r="Q1468" s="3" t="s">
        <v>644</v>
      </c>
      <c r="R1468" s="825"/>
      <c r="S1468" s="3" t="s">
        <v>130</v>
      </c>
      <c r="T1468" s="825"/>
      <c r="U1468" s="762">
        <v>323.8</v>
      </c>
      <c r="V1468" s="825"/>
      <c r="W1468" s="825"/>
      <c r="X1468" s="3" t="s">
        <v>2094</v>
      </c>
      <c r="Y1468" s="761">
        <v>45321</v>
      </c>
      <c r="Z1468" s="3" t="s">
        <v>62</v>
      </c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</row>
    <row r="1469" spans="1:39">
      <c r="B1469" s="904" t="s">
        <v>163</v>
      </c>
      <c r="C1469" s="807" t="s">
        <v>3454</v>
      </c>
      <c r="D1469" s="801">
        <v>200104760</v>
      </c>
      <c r="E1469" s="1485" t="s">
        <v>646</v>
      </c>
      <c r="F1469" s="3">
        <v>7</v>
      </c>
      <c r="G1469" s="3" t="s">
        <v>60</v>
      </c>
      <c r="H1469" s="3" t="s">
        <v>128</v>
      </c>
      <c r="I1469" s="762">
        <v>535.4</v>
      </c>
      <c r="J1469" s="762">
        <v>305.08999999999997</v>
      </c>
      <c r="K1469" s="761" t="s">
        <v>2094</v>
      </c>
      <c r="L1469" s="761">
        <v>45321</v>
      </c>
      <c r="M1469" s="761" t="s">
        <v>2094</v>
      </c>
      <c r="N1469" s="761">
        <v>45322</v>
      </c>
      <c r="O1469" s="3" t="s">
        <v>62</v>
      </c>
      <c r="P1469" s="3" t="s">
        <v>647</v>
      </c>
      <c r="Q1469" s="3" t="s">
        <v>648</v>
      </c>
      <c r="R1469" s="825"/>
      <c r="S1469" s="3" t="s">
        <v>130</v>
      </c>
      <c r="T1469" s="825"/>
      <c r="U1469" s="762">
        <v>320.89999999999998</v>
      </c>
      <c r="V1469" s="825"/>
      <c r="W1469" s="825"/>
      <c r="X1469" s="3" t="s">
        <v>2094</v>
      </c>
      <c r="Y1469" s="761">
        <v>45322</v>
      </c>
      <c r="Z1469" s="3" t="s">
        <v>62</v>
      </c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</row>
    <row r="1470" spans="1:39">
      <c r="B1470" s="904" t="s">
        <v>163</v>
      </c>
      <c r="C1470" s="807" t="s">
        <v>3454</v>
      </c>
      <c r="D1470" s="801">
        <v>200104761</v>
      </c>
      <c r="E1470" s="1485" t="s">
        <v>650</v>
      </c>
      <c r="F1470" s="3">
        <v>8</v>
      </c>
      <c r="G1470" s="3" t="s">
        <v>60</v>
      </c>
      <c r="H1470" s="3" t="s">
        <v>128</v>
      </c>
      <c r="I1470" s="762">
        <v>536.1</v>
      </c>
      <c r="J1470" s="762">
        <v>306.22000000000003</v>
      </c>
      <c r="K1470" s="761" t="s">
        <v>2094</v>
      </c>
      <c r="L1470" s="761">
        <v>45322</v>
      </c>
      <c r="M1470" s="761" t="s">
        <v>2094</v>
      </c>
      <c r="N1470" s="761">
        <v>45322</v>
      </c>
      <c r="O1470" s="3" t="s">
        <v>62</v>
      </c>
      <c r="P1470" s="3" t="s">
        <v>651</v>
      </c>
      <c r="Q1470" s="3" t="s">
        <v>652</v>
      </c>
      <c r="R1470" s="825"/>
      <c r="S1470" s="3" t="s">
        <v>130</v>
      </c>
      <c r="T1470" s="825"/>
      <c r="U1470" s="762">
        <v>322</v>
      </c>
      <c r="V1470" s="825"/>
      <c r="W1470" s="825"/>
      <c r="X1470" s="3" t="s">
        <v>2094</v>
      </c>
      <c r="Y1470" s="761">
        <v>45322</v>
      </c>
      <c r="Z1470" s="3" t="s">
        <v>62</v>
      </c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</row>
    <row r="1471" spans="1:39">
      <c r="B1471" s="904" t="s">
        <v>163</v>
      </c>
      <c r="C1471" s="807" t="s">
        <v>3454</v>
      </c>
      <c r="D1471" s="801">
        <v>200104611</v>
      </c>
      <c r="E1471" s="1485" t="s">
        <v>653</v>
      </c>
      <c r="F1471" s="3">
        <v>9</v>
      </c>
      <c r="G1471" s="3" t="s">
        <v>128</v>
      </c>
      <c r="H1471" s="3" t="s">
        <v>128</v>
      </c>
      <c r="I1471" s="3">
        <v>535.1</v>
      </c>
      <c r="J1471" s="762">
        <v>305.17</v>
      </c>
      <c r="K1471" s="761" t="s">
        <v>2125</v>
      </c>
      <c r="L1471" s="761">
        <v>45335</v>
      </c>
      <c r="M1471" s="761" t="s">
        <v>2125</v>
      </c>
      <c r="N1471" s="761">
        <v>45337</v>
      </c>
      <c r="O1471" s="3" t="s">
        <v>62</v>
      </c>
      <c r="P1471" s="3" t="s">
        <v>654</v>
      </c>
      <c r="Q1471" s="3" t="s">
        <v>655</v>
      </c>
      <c r="R1471" s="825"/>
      <c r="S1471" s="3" t="s">
        <v>130</v>
      </c>
      <c r="T1471" s="825"/>
      <c r="U1471" s="762">
        <v>320.7</v>
      </c>
      <c r="V1471" s="825"/>
      <c r="W1471" s="825"/>
      <c r="X1471" s="3" t="s">
        <v>2125</v>
      </c>
      <c r="Y1471" s="761">
        <v>45337</v>
      </c>
      <c r="Z1471" s="3" t="s">
        <v>62</v>
      </c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</row>
    <row r="1472" spans="1:39">
      <c r="B1472" s="904" t="s">
        <v>163</v>
      </c>
      <c r="C1472" s="807" t="s">
        <v>3454</v>
      </c>
      <c r="D1472" s="801">
        <v>200104612</v>
      </c>
      <c r="E1472" s="1485" t="s">
        <v>656</v>
      </c>
      <c r="F1472" s="3">
        <v>10</v>
      </c>
      <c r="G1472" s="3" t="s">
        <v>128</v>
      </c>
      <c r="H1472" s="3" t="s">
        <v>128</v>
      </c>
      <c r="I1472" s="3">
        <v>543.1</v>
      </c>
      <c r="J1472" s="762">
        <v>306.62</v>
      </c>
      <c r="K1472" s="761" t="s">
        <v>2125</v>
      </c>
      <c r="L1472" s="761">
        <v>45335</v>
      </c>
      <c r="M1472" s="761" t="s">
        <v>2125</v>
      </c>
      <c r="N1472" s="761">
        <v>45337</v>
      </c>
      <c r="O1472" s="3" t="s">
        <v>62</v>
      </c>
      <c r="P1472" s="3" t="s">
        <v>657</v>
      </c>
      <c r="Q1472" s="3" t="s">
        <v>658</v>
      </c>
      <c r="R1472" s="825"/>
      <c r="S1472" s="3" t="s">
        <v>130</v>
      </c>
      <c r="T1472" s="825"/>
      <c r="U1472" s="762">
        <v>322.60000000000002</v>
      </c>
      <c r="V1472" s="825"/>
      <c r="W1472" s="825"/>
      <c r="X1472" s="3" t="s">
        <v>2125</v>
      </c>
      <c r="Y1472" s="761">
        <v>45337</v>
      </c>
      <c r="Z1472" s="3" t="s">
        <v>62</v>
      </c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</row>
    <row r="1473" spans="1:39" s="709" customFormat="1" ht="15" customHeight="1">
      <c r="A1473" s="920"/>
      <c r="B1473" s="921"/>
      <c r="C1473" s="926" t="s">
        <v>3446</v>
      </c>
      <c r="D1473" s="923"/>
      <c r="E1473" s="924"/>
      <c r="F1473" s="925"/>
      <c r="G1473" s="925"/>
      <c r="H1473" s="925"/>
      <c r="I1473" s="925"/>
      <c r="J1473" s="925"/>
      <c r="K1473" s="925"/>
      <c r="L1473" s="929"/>
      <c r="M1473" s="929"/>
      <c r="N1473" s="929"/>
      <c r="O1473" s="925"/>
      <c r="P1473" s="925"/>
      <c r="Q1473" s="925"/>
      <c r="R1473" s="925"/>
      <c r="S1473" s="925"/>
      <c r="T1473" s="925"/>
      <c r="U1473" s="925"/>
      <c r="V1473" s="930"/>
      <c r="W1473" s="929"/>
      <c r="X1473" s="929"/>
      <c r="Y1473" s="929"/>
      <c r="Z1473" s="925"/>
      <c r="AA1473" s="930"/>
      <c r="AB1473" s="930"/>
      <c r="AC1473" s="930"/>
      <c r="AD1473" s="930"/>
      <c r="AE1473" s="930"/>
      <c r="AF1473" s="930"/>
      <c r="AG1473" s="930"/>
      <c r="AH1473" s="930"/>
      <c r="AI1473" s="930"/>
      <c r="AJ1473" s="930"/>
      <c r="AK1473" s="930"/>
      <c r="AL1473" s="930"/>
      <c r="AM1473" s="930"/>
    </row>
    <row r="1474" spans="1:39">
      <c r="B1474" s="904" t="s">
        <v>213</v>
      </c>
      <c r="C1474" s="807" t="s">
        <v>3454</v>
      </c>
      <c r="D1474" s="801">
        <v>200105036</v>
      </c>
      <c r="E1474" s="1485" t="s">
        <v>659</v>
      </c>
      <c r="F1474" s="3">
        <v>1</v>
      </c>
      <c r="G1474" s="3" t="s">
        <v>60</v>
      </c>
      <c r="H1474" s="3" t="s">
        <v>128</v>
      </c>
      <c r="I1474" s="762">
        <v>532.29999999999995</v>
      </c>
      <c r="J1474" s="762">
        <v>299.61</v>
      </c>
      <c r="K1474" s="761" t="s">
        <v>2125</v>
      </c>
      <c r="L1474" s="761">
        <v>45338</v>
      </c>
      <c r="M1474" s="761" t="s">
        <v>2125</v>
      </c>
      <c r="N1474" s="761">
        <v>45338</v>
      </c>
      <c r="O1474" s="3" t="s">
        <v>62</v>
      </c>
      <c r="P1474" s="3" t="s">
        <v>660</v>
      </c>
      <c r="Q1474" s="3" t="s">
        <v>661</v>
      </c>
      <c r="R1474" s="825"/>
      <c r="S1474" s="3" t="s">
        <v>130</v>
      </c>
      <c r="T1474" s="825"/>
      <c r="U1474" s="762">
        <v>317.7</v>
      </c>
      <c r="V1474" s="825"/>
      <c r="W1474" s="825"/>
      <c r="X1474" s="3" t="s">
        <v>2125</v>
      </c>
      <c r="Y1474" s="761">
        <v>45338</v>
      </c>
      <c r="Z1474" s="3" t="s">
        <v>62</v>
      </c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</row>
    <row r="1475" spans="1:39">
      <c r="B1475" s="904" t="s">
        <v>213</v>
      </c>
      <c r="C1475" s="807" t="s">
        <v>3454</v>
      </c>
      <c r="D1475" s="801">
        <v>200105037</v>
      </c>
      <c r="E1475" s="1485" t="s">
        <v>662</v>
      </c>
      <c r="F1475" s="3">
        <v>2</v>
      </c>
      <c r="G1475" s="3" t="s">
        <v>60</v>
      </c>
      <c r="H1475" s="3" t="s">
        <v>128</v>
      </c>
      <c r="I1475" s="762">
        <v>531</v>
      </c>
      <c r="J1475" s="762">
        <v>303.85000000000002</v>
      </c>
      <c r="K1475" s="761" t="s">
        <v>2125</v>
      </c>
      <c r="L1475" s="761">
        <v>45341</v>
      </c>
      <c r="M1475" s="761" t="s">
        <v>2125</v>
      </c>
      <c r="N1475" s="761">
        <v>45338</v>
      </c>
      <c r="O1475" s="3" t="s">
        <v>62</v>
      </c>
      <c r="P1475" s="3" t="s">
        <v>663</v>
      </c>
      <c r="Q1475" s="3" t="s">
        <v>664</v>
      </c>
      <c r="R1475" s="825"/>
      <c r="S1475" s="3" t="s">
        <v>130</v>
      </c>
      <c r="T1475" s="825"/>
      <c r="U1475" s="762">
        <v>321</v>
      </c>
      <c r="V1475" s="825"/>
      <c r="W1475" s="825"/>
      <c r="X1475" s="3" t="s">
        <v>2125</v>
      </c>
      <c r="Y1475" s="761">
        <v>45338</v>
      </c>
      <c r="Z1475" s="3" t="s">
        <v>62</v>
      </c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</row>
    <row r="1476" spans="1:39">
      <c r="B1476" s="904" t="s">
        <v>213</v>
      </c>
      <c r="C1476" s="807" t="s">
        <v>3454</v>
      </c>
      <c r="D1476" s="801">
        <v>200105038</v>
      </c>
      <c r="E1476" s="1485" t="s">
        <v>665</v>
      </c>
      <c r="F1476" s="3">
        <v>3</v>
      </c>
      <c r="G1476" s="3" t="s">
        <v>60</v>
      </c>
      <c r="H1476" s="3" t="s">
        <v>128</v>
      </c>
      <c r="I1476" s="762">
        <v>540.1</v>
      </c>
      <c r="J1476" s="762">
        <v>303.8</v>
      </c>
      <c r="K1476" s="761" t="s">
        <v>2125</v>
      </c>
      <c r="L1476" s="761">
        <v>45341</v>
      </c>
      <c r="M1476" s="761" t="s">
        <v>2125</v>
      </c>
      <c r="N1476" s="761">
        <v>45341</v>
      </c>
      <c r="O1476" s="3" t="s">
        <v>62</v>
      </c>
      <c r="P1476" s="3" t="s">
        <v>666</v>
      </c>
      <c r="Q1476" s="3" t="s">
        <v>667</v>
      </c>
      <c r="R1476" s="825"/>
      <c r="S1476" s="3" t="s">
        <v>130</v>
      </c>
      <c r="T1476" s="825"/>
      <c r="U1476" s="762">
        <v>319.7</v>
      </c>
      <c r="V1476" s="825"/>
      <c r="W1476" s="825"/>
      <c r="X1476" s="3" t="s">
        <v>2125</v>
      </c>
      <c r="Y1476" s="761">
        <v>45342</v>
      </c>
      <c r="Z1476" s="3" t="s">
        <v>62</v>
      </c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</row>
    <row r="1477" spans="1:39">
      <c r="B1477" s="904" t="s">
        <v>213</v>
      </c>
      <c r="C1477" s="807" t="s">
        <v>3454</v>
      </c>
      <c r="D1477" s="801">
        <v>200105039</v>
      </c>
      <c r="E1477" s="1485" t="s">
        <v>668</v>
      </c>
      <c r="F1477" s="3">
        <v>4</v>
      </c>
      <c r="G1477" s="3" t="s">
        <v>60</v>
      </c>
      <c r="H1477" s="3" t="s">
        <v>128</v>
      </c>
      <c r="I1477" s="762">
        <v>537.29999999999995</v>
      </c>
      <c r="J1477" s="762">
        <v>306.38</v>
      </c>
      <c r="K1477" s="761" t="s">
        <v>2125</v>
      </c>
      <c r="L1477" s="761">
        <v>45341</v>
      </c>
      <c r="M1477" s="761" t="s">
        <v>2125</v>
      </c>
      <c r="N1477" s="761">
        <v>45341</v>
      </c>
      <c r="O1477" s="3" t="s">
        <v>62</v>
      </c>
      <c r="P1477" s="3" t="s">
        <v>669</v>
      </c>
      <c r="Q1477" s="3" t="s">
        <v>670</v>
      </c>
      <c r="R1477" s="825"/>
      <c r="S1477" s="3" t="s">
        <v>130</v>
      </c>
      <c r="T1477" s="825"/>
      <c r="U1477" s="762">
        <v>319.7</v>
      </c>
      <c r="V1477" s="825"/>
      <c r="W1477" s="825"/>
      <c r="X1477" s="3" t="s">
        <v>2125</v>
      </c>
      <c r="Y1477" s="761">
        <v>45342</v>
      </c>
      <c r="Z1477" s="3" t="s">
        <v>62</v>
      </c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</row>
    <row r="1478" spans="1:39">
      <c r="B1478" s="904" t="s">
        <v>213</v>
      </c>
      <c r="C1478" s="807" t="s">
        <v>3454</v>
      </c>
      <c r="D1478" s="801">
        <v>200105040</v>
      </c>
      <c r="E1478" s="1485" t="s">
        <v>671</v>
      </c>
      <c r="F1478" s="3">
        <v>5</v>
      </c>
      <c r="G1478" s="3" t="s">
        <v>60</v>
      </c>
      <c r="H1478" s="3" t="s">
        <v>128</v>
      </c>
      <c r="I1478" s="762">
        <v>534.79999999999995</v>
      </c>
      <c r="J1478" s="762">
        <v>304.44</v>
      </c>
      <c r="K1478" s="761" t="s">
        <v>2125</v>
      </c>
      <c r="L1478" s="761">
        <v>45342</v>
      </c>
      <c r="M1478" s="761" t="s">
        <v>2125</v>
      </c>
      <c r="N1478" s="761">
        <v>45342</v>
      </c>
      <c r="O1478" s="3" t="s">
        <v>62</v>
      </c>
      <c r="P1478" s="3" t="s">
        <v>672</v>
      </c>
      <c r="Q1478" s="3" t="s">
        <v>673</v>
      </c>
      <c r="R1478" s="825"/>
      <c r="S1478" s="3" t="s">
        <v>130</v>
      </c>
      <c r="T1478" s="825"/>
      <c r="U1478" s="762">
        <v>320.3</v>
      </c>
      <c r="V1478" s="825"/>
      <c r="W1478" s="825"/>
      <c r="X1478" s="3" t="s">
        <v>2125</v>
      </c>
      <c r="Y1478" s="761">
        <v>45343</v>
      </c>
      <c r="Z1478" s="3" t="s">
        <v>62</v>
      </c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</row>
    <row r="1479" spans="1:39">
      <c r="B1479" s="904" t="s">
        <v>213</v>
      </c>
      <c r="C1479" s="807" t="s">
        <v>3454</v>
      </c>
      <c r="D1479" s="801">
        <v>200105041</v>
      </c>
      <c r="E1479" s="1485" t="s">
        <v>674</v>
      </c>
      <c r="F1479" s="3">
        <v>6</v>
      </c>
      <c r="G1479" s="3" t="s">
        <v>60</v>
      </c>
      <c r="H1479" s="3" t="s">
        <v>128</v>
      </c>
      <c r="I1479" s="762">
        <v>533.70000000000005</v>
      </c>
      <c r="J1479" s="762">
        <v>306.06</v>
      </c>
      <c r="K1479" s="761" t="s">
        <v>2125</v>
      </c>
      <c r="L1479" s="761">
        <v>45343</v>
      </c>
      <c r="M1479" s="761" t="s">
        <v>2125</v>
      </c>
      <c r="N1479" s="761">
        <v>45342</v>
      </c>
      <c r="O1479" s="3" t="s">
        <v>62</v>
      </c>
      <c r="P1479" s="3" t="s">
        <v>675</v>
      </c>
      <c r="Q1479" s="3" t="s">
        <v>676</v>
      </c>
      <c r="R1479" s="825"/>
      <c r="S1479" s="3" t="s">
        <v>130</v>
      </c>
      <c r="T1479" s="825"/>
      <c r="U1479" s="762">
        <v>322</v>
      </c>
      <c r="V1479" s="825"/>
      <c r="W1479" s="825"/>
      <c r="X1479" s="3" t="s">
        <v>2125</v>
      </c>
      <c r="Y1479" s="761">
        <v>45344</v>
      </c>
      <c r="Z1479" s="3" t="s">
        <v>62</v>
      </c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</row>
    <row r="1480" spans="1:39">
      <c r="B1480" s="904" t="s">
        <v>213</v>
      </c>
      <c r="C1480" s="807" t="s">
        <v>3454</v>
      </c>
      <c r="D1480" s="801">
        <v>200105166</v>
      </c>
      <c r="E1480" s="1485" t="s">
        <v>677</v>
      </c>
      <c r="F1480" s="3">
        <v>7</v>
      </c>
      <c r="G1480" s="3" t="s">
        <v>60</v>
      </c>
      <c r="H1480" s="3" t="s">
        <v>128</v>
      </c>
      <c r="I1480" s="786">
        <v>533.4</v>
      </c>
      <c r="J1480" s="762">
        <v>302.64</v>
      </c>
      <c r="K1480" s="761" t="s">
        <v>1716</v>
      </c>
      <c r="L1480" s="761">
        <v>45352</v>
      </c>
      <c r="M1480" s="761" t="s">
        <v>2125</v>
      </c>
      <c r="N1480" s="761">
        <v>45351</v>
      </c>
      <c r="O1480" s="3" t="s">
        <v>62</v>
      </c>
      <c r="P1480" s="3" t="s">
        <v>678</v>
      </c>
      <c r="Q1480" s="3" t="s">
        <v>679</v>
      </c>
      <c r="R1480" s="825"/>
      <c r="S1480" s="3" t="s">
        <v>130</v>
      </c>
      <c r="T1480" s="825"/>
      <c r="U1480" s="762">
        <v>318.39999999999998</v>
      </c>
      <c r="V1480" s="825"/>
      <c r="W1480" s="825"/>
      <c r="X1480" s="3" t="s">
        <v>2125</v>
      </c>
      <c r="Y1480" s="761">
        <v>45351</v>
      </c>
      <c r="Z1480" s="3" t="s">
        <v>62</v>
      </c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</row>
    <row r="1481" spans="1:39">
      <c r="B1481" s="904" t="s">
        <v>213</v>
      </c>
      <c r="C1481" s="807" t="s">
        <v>3454</v>
      </c>
      <c r="D1481" s="801">
        <v>200105167</v>
      </c>
      <c r="E1481" s="1485" t="s">
        <v>680</v>
      </c>
      <c r="F1481" s="3">
        <v>8</v>
      </c>
      <c r="G1481" s="3" t="s">
        <v>60</v>
      </c>
      <c r="H1481" s="3" t="s">
        <v>128</v>
      </c>
      <c r="I1481" s="762">
        <v>538.20000000000005</v>
      </c>
      <c r="J1481" s="762">
        <v>303.58999999999997</v>
      </c>
      <c r="K1481" s="761" t="s">
        <v>1716</v>
      </c>
      <c r="L1481" s="761">
        <v>45352</v>
      </c>
      <c r="M1481" s="761" t="s">
        <v>2125</v>
      </c>
      <c r="N1481" s="761">
        <v>45351</v>
      </c>
      <c r="O1481" s="3" t="s">
        <v>62</v>
      </c>
      <c r="P1481" s="3" t="s">
        <v>681</v>
      </c>
      <c r="Q1481" s="3" t="s">
        <v>682</v>
      </c>
      <c r="R1481" s="825"/>
      <c r="S1481" s="3" t="s">
        <v>130</v>
      </c>
      <c r="T1481" s="825"/>
      <c r="U1481" s="762">
        <v>319.60000000000002</v>
      </c>
      <c r="V1481" s="825"/>
      <c r="W1481" s="825"/>
      <c r="X1481" s="3" t="s">
        <v>2125</v>
      </c>
      <c r="Y1481" s="761">
        <v>45351</v>
      </c>
      <c r="Z1481" s="3" t="s">
        <v>62</v>
      </c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</row>
    <row r="1482" spans="1:39">
      <c r="B1482" s="904" t="s">
        <v>213</v>
      </c>
      <c r="C1482" s="807" t="s">
        <v>3454</v>
      </c>
      <c r="D1482" s="801">
        <v>200105168</v>
      </c>
      <c r="E1482" s="1485" t="s">
        <v>683</v>
      </c>
      <c r="F1482" s="3">
        <v>9</v>
      </c>
      <c r="G1482" s="3" t="s">
        <v>60</v>
      </c>
      <c r="H1482" s="3" t="s">
        <v>128</v>
      </c>
      <c r="I1482" s="762">
        <f>134.7+132.9+132.23+139.71</f>
        <v>539.54000000000008</v>
      </c>
      <c r="J1482" s="762">
        <v>306.18</v>
      </c>
      <c r="K1482" s="761" t="s">
        <v>1716</v>
      </c>
      <c r="L1482" s="761">
        <v>45352</v>
      </c>
      <c r="M1482" s="761" t="s">
        <v>2125</v>
      </c>
      <c r="N1482" s="761">
        <v>45351</v>
      </c>
      <c r="O1482" s="3" t="s">
        <v>62</v>
      </c>
      <c r="P1482" s="3" t="s">
        <v>684</v>
      </c>
      <c r="Q1482" s="785" t="s">
        <v>685</v>
      </c>
      <c r="R1482" s="825"/>
      <c r="S1482" s="3" t="s">
        <v>130</v>
      </c>
      <c r="T1482" s="825"/>
      <c r="U1482" s="762">
        <v>322.10000000000002</v>
      </c>
      <c r="V1482" s="825"/>
      <c r="W1482" s="825"/>
      <c r="X1482" s="3" t="s">
        <v>2125</v>
      </c>
      <c r="Y1482" s="761">
        <v>45351</v>
      </c>
      <c r="Z1482" s="3" t="s">
        <v>62</v>
      </c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</row>
    <row r="1483" spans="1:39">
      <c r="B1483" s="904" t="s">
        <v>213</v>
      </c>
      <c r="C1483" s="807" t="s">
        <v>3454</v>
      </c>
      <c r="D1483" s="801">
        <v>200105169</v>
      </c>
      <c r="E1483" s="1485" t="s">
        <v>686</v>
      </c>
      <c r="F1483" s="3">
        <v>10</v>
      </c>
      <c r="G1483" s="3" t="s">
        <v>60</v>
      </c>
      <c r="H1483" s="3" t="s">
        <v>128</v>
      </c>
      <c r="I1483" s="786">
        <v>532.4</v>
      </c>
      <c r="J1483" s="762">
        <f>152+154.82</f>
        <v>306.82</v>
      </c>
      <c r="K1483" s="761" t="s">
        <v>1716</v>
      </c>
      <c r="L1483" s="761">
        <v>45355</v>
      </c>
      <c r="M1483" s="761" t="s">
        <v>2125</v>
      </c>
      <c r="N1483" s="761">
        <v>45351</v>
      </c>
      <c r="O1483" s="3" t="s">
        <v>62</v>
      </c>
      <c r="P1483" s="4" t="s">
        <v>687</v>
      </c>
      <c r="Q1483" s="3" t="s">
        <v>688</v>
      </c>
      <c r="R1483" s="825"/>
      <c r="S1483" s="3" t="s">
        <v>130</v>
      </c>
      <c r="T1483" s="825"/>
      <c r="U1483" s="762">
        <v>323</v>
      </c>
      <c r="V1483" s="825"/>
      <c r="W1483" s="825"/>
      <c r="X1483" s="3" t="s">
        <v>2125</v>
      </c>
      <c r="Y1483" s="761">
        <v>45351</v>
      </c>
      <c r="Z1483" s="3" t="s">
        <v>62</v>
      </c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</row>
    <row r="1484" spans="1:39" s="709" customFormat="1" ht="15" customHeight="1">
      <c r="A1484" s="920"/>
      <c r="B1484" s="921"/>
      <c r="C1484" s="926" t="s">
        <v>4298</v>
      </c>
      <c r="D1484" s="923"/>
      <c r="E1484" s="924"/>
      <c r="F1484" s="925"/>
      <c r="G1484" s="925"/>
      <c r="H1484" s="925"/>
      <c r="I1484" s="925"/>
      <c r="J1484" s="925"/>
      <c r="K1484" s="925"/>
      <c r="L1484" s="929"/>
      <c r="M1484" s="929"/>
      <c r="N1484" s="929"/>
      <c r="O1484" s="925"/>
      <c r="P1484" s="925"/>
      <c r="Q1484" s="925"/>
      <c r="R1484" s="925"/>
      <c r="S1484" s="925"/>
      <c r="T1484" s="925"/>
      <c r="U1484" s="925"/>
      <c r="V1484" s="930"/>
      <c r="W1484" s="929"/>
      <c r="X1484" s="929"/>
      <c r="Y1484" s="929"/>
      <c r="Z1484" s="925"/>
      <c r="AA1484" s="930"/>
      <c r="AB1484" s="930"/>
      <c r="AC1484" s="930"/>
      <c r="AD1484" s="930"/>
      <c r="AE1484" s="930"/>
      <c r="AF1484" s="930"/>
      <c r="AG1484" s="930"/>
      <c r="AH1484" s="930"/>
      <c r="AI1484" s="930"/>
      <c r="AJ1484" s="930"/>
      <c r="AK1484" s="930"/>
      <c r="AL1484" s="930"/>
      <c r="AM1484" s="930"/>
    </row>
    <row r="1485" spans="1:39">
      <c r="B1485" s="904" t="s">
        <v>277</v>
      </c>
      <c r="C1485" s="807" t="s">
        <v>3454</v>
      </c>
      <c r="D1485" s="801">
        <v>200105383</v>
      </c>
      <c r="E1485" s="1485" t="s">
        <v>689</v>
      </c>
      <c r="F1485" s="3">
        <v>1</v>
      </c>
      <c r="G1485" s="3" t="s">
        <v>60</v>
      </c>
      <c r="H1485" s="3" t="s">
        <v>128</v>
      </c>
      <c r="I1485" s="786">
        <v>532.67999999999995</v>
      </c>
      <c r="J1485" s="786">
        <v>303</v>
      </c>
      <c r="K1485" s="761" t="s">
        <v>2185</v>
      </c>
      <c r="L1485" s="890">
        <v>45372</v>
      </c>
      <c r="M1485" s="761" t="s">
        <v>1716</v>
      </c>
      <c r="N1485" s="890">
        <v>45372</v>
      </c>
      <c r="O1485" s="3" t="s">
        <v>62</v>
      </c>
      <c r="P1485" s="785" t="s">
        <v>690</v>
      </c>
      <c r="Q1485" s="3" t="s">
        <v>691</v>
      </c>
      <c r="R1485" s="825"/>
      <c r="S1485" s="3" t="s">
        <v>130</v>
      </c>
      <c r="T1485" s="825"/>
      <c r="U1485" s="762">
        <v>319.10000000000002</v>
      </c>
      <c r="V1485" s="825"/>
      <c r="W1485" s="825"/>
      <c r="X1485" s="3" t="s">
        <v>1716</v>
      </c>
      <c r="Y1485" s="890">
        <v>45373</v>
      </c>
      <c r="Z1485" s="3" t="s">
        <v>62</v>
      </c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</row>
    <row r="1486" spans="1:39">
      <c r="B1486" s="904" t="s">
        <v>277</v>
      </c>
      <c r="C1486" s="807" t="s">
        <v>3454</v>
      </c>
      <c r="D1486" s="801">
        <v>200105384</v>
      </c>
      <c r="E1486" s="1485" t="s">
        <v>4299</v>
      </c>
      <c r="F1486" s="3">
        <f t="shared" ref="F1486:F1495" si="16">F1485+1</f>
        <v>2</v>
      </c>
      <c r="G1486" s="3" t="s">
        <v>60</v>
      </c>
      <c r="H1486" s="3" t="s">
        <v>128</v>
      </c>
      <c r="I1486" s="786">
        <v>539.66999999999996</v>
      </c>
      <c r="J1486" s="786">
        <v>308</v>
      </c>
      <c r="K1486" s="761" t="s">
        <v>2185</v>
      </c>
      <c r="L1486" s="890">
        <v>45376</v>
      </c>
      <c r="M1486" s="761" t="s">
        <v>1716</v>
      </c>
      <c r="N1486" s="890">
        <v>45372</v>
      </c>
      <c r="O1486" s="3" t="s">
        <v>62</v>
      </c>
      <c r="P1486" s="3" t="s">
        <v>693</v>
      </c>
      <c r="Q1486" s="3" t="s">
        <v>694</v>
      </c>
      <c r="R1486" s="825"/>
      <c r="S1486" s="3" t="s">
        <v>130</v>
      </c>
      <c r="T1486" s="825"/>
      <c r="U1486" s="762">
        <v>324</v>
      </c>
      <c r="V1486" s="825"/>
      <c r="W1486" s="825"/>
      <c r="X1486" s="3" t="s">
        <v>1716</v>
      </c>
      <c r="Y1486" s="890">
        <v>45373</v>
      </c>
      <c r="Z1486" s="3" t="s">
        <v>62</v>
      </c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</row>
    <row r="1487" spans="1:39">
      <c r="B1487" s="904" t="s">
        <v>277</v>
      </c>
      <c r="C1487" s="807" t="s">
        <v>3454</v>
      </c>
      <c r="D1487" s="801">
        <v>200105385</v>
      </c>
      <c r="E1487" s="1485" t="s">
        <v>695</v>
      </c>
      <c r="F1487" s="3">
        <f t="shared" si="16"/>
        <v>3</v>
      </c>
      <c r="G1487" s="3" t="s">
        <v>60</v>
      </c>
      <c r="H1487" s="3" t="s">
        <v>128</v>
      </c>
      <c r="I1487" s="786">
        <v>536.6</v>
      </c>
      <c r="J1487" s="762">
        <f>150.47+154.47</f>
        <v>304.94</v>
      </c>
      <c r="K1487" s="761" t="s">
        <v>2185</v>
      </c>
      <c r="L1487" s="890">
        <v>45376</v>
      </c>
      <c r="M1487" s="761" t="s">
        <v>1716</v>
      </c>
      <c r="N1487" s="890">
        <v>45373</v>
      </c>
      <c r="O1487" s="3" t="s">
        <v>62</v>
      </c>
      <c r="P1487" s="3" t="s">
        <v>696</v>
      </c>
      <c r="Q1487" s="785" t="s">
        <v>697</v>
      </c>
      <c r="R1487" s="825"/>
      <c r="S1487" s="3" t="s">
        <v>130</v>
      </c>
      <c r="T1487" s="825"/>
      <c r="U1487" s="762">
        <v>320.5</v>
      </c>
      <c r="V1487" s="825"/>
      <c r="W1487" s="825"/>
      <c r="X1487" s="3" t="s">
        <v>1716</v>
      </c>
      <c r="Y1487" s="890">
        <v>45373</v>
      </c>
      <c r="Z1487" s="3" t="s">
        <v>62</v>
      </c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</row>
    <row r="1488" spans="1:39">
      <c r="B1488" s="904" t="s">
        <v>277</v>
      </c>
      <c r="C1488" s="807" t="s">
        <v>3454</v>
      </c>
      <c r="D1488" s="801">
        <v>200105386</v>
      </c>
      <c r="E1488" s="1485" t="s">
        <v>699</v>
      </c>
      <c r="F1488" s="3">
        <f t="shared" si="16"/>
        <v>4</v>
      </c>
      <c r="G1488" s="3" t="s">
        <v>60</v>
      </c>
      <c r="H1488" s="3" t="s">
        <v>128</v>
      </c>
      <c r="I1488" s="786">
        <v>542.1</v>
      </c>
      <c r="J1488" s="762">
        <v>306.48</v>
      </c>
      <c r="K1488" s="761" t="s">
        <v>2185</v>
      </c>
      <c r="L1488" s="890">
        <v>45376</v>
      </c>
      <c r="M1488" s="761" t="s">
        <v>1716</v>
      </c>
      <c r="N1488" s="890">
        <v>45373</v>
      </c>
      <c r="O1488" s="3" t="s">
        <v>62</v>
      </c>
      <c r="P1488" s="3" t="s">
        <v>700</v>
      </c>
      <c r="Q1488" s="3" t="s">
        <v>701</v>
      </c>
      <c r="R1488" s="825"/>
      <c r="S1488" s="3" t="s">
        <v>130</v>
      </c>
      <c r="T1488" s="825"/>
      <c r="U1488" s="762">
        <v>322</v>
      </c>
      <c r="V1488" s="825"/>
      <c r="W1488" s="825"/>
      <c r="X1488" s="3" t="s">
        <v>1716</v>
      </c>
      <c r="Y1488" s="890">
        <v>45373</v>
      </c>
      <c r="Z1488" s="3" t="s">
        <v>62</v>
      </c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</row>
    <row r="1489" spans="1:39">
      <c r="B1489" s="904" t="s">
        <v>277</v>
      </c>
      <c r="C1489" s="807" t="s">
        <v>3454</v>
      </c>
      <c r="D1489" s="801">
        <v>200105387</v>
      </c>
      <c r="E1489" s="1485" t="s">
        <v>702</v>
      </c>
      <c r="F1489" s="3">
        <f t="shared" si="16"/>
        <v>5</v>
      </c>
      <c r="G1489" s="3" t="s">
        <v>60</v>
      </c>
      <c r="H1489" s="3" t="s">
        <v>128</v>
      </c>
      <c r="I1489" s="762">
        <v>532.79999999999995</v>
      </c>
      <c r="J1489" s="762">
        <v>303.98</v>
      </c>
      <c r="K1489" s="761" t="s">
        <v>2185</v>
      </c>
      <c r="L1489" s="890">
        <v>45379</v>
      </c>
      <c r="M1489" s="761" t="s">
        <v>1716</v>
      </c>
      <c r="N1489" s="890">
        <v>45377</v>
      </c>
      <c r="O1489" s="3" t="s">
        <v>62</v>
      </c>
      <c r="P1489" s="3" t="s">
        <v>703</v>
      </c>
      <c r="Q1489" s="3" t="s">
        <v>704</v>
      </c>
      <c r="R1489" s="825"/>
      <c r="S1489" s="3" t="s">
        <v>130</v>
      </c>
      <c r="T1489" s="825"/>
      <c r="U1489" s="762">
        <v>320.3</v>
      </c>
      <c r="V1489" s="825"/>
      <c r="W1489" s="825"/>
      <c r="X1489" s="3" t="s">
        <v>1716</v>
      </c>
      <c r="Y1489" s="890">
        <v>45377</v>
      </c>
      <c r="Z1489" s="3" t="s">
        <v>62</v>
      </c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</row>
    <row r="1490" spans="1:39">
      <c r="B1490" s="904" t="s">
        <v>277</v>
      </c>
      <c r="C1490" s="807" t="s">
        <v>3454</v>
      </c>
      <c r="D1490" s="801">
        <v>200105388</v>
      </c>
      <c r="E1490" s="1485" t="s">
        <v>705</v>
      </c>
      <c r="F1490" s="3">
        <f t="shared" si="16"/>
        <v>6</v>
      </c>
      <c r="G1490" s="3" t="s">
        <v>60</v>
      </c>
      <c r="H1490" s="3" t="s">
        <v>128</v>
      </c>
      <c r="I1490" s="762">
        <v>537.20000000000005</v>
      </c>
      <c r="J1490" s="762">
        <v>307.38</v>
      </c>
      <c r="K1490" s="761" t="s">
        <v>2185</v>
      </c>
      <c r="L1490" s="890">
        <v>45379</v>
      </c>
      <c r="M1490" s="761" t="s">
        <v>1716</v>
      </c>
      <c r="N1490" s="890">
        <v>45377</v>
      </c>
      <c r="O1490" s="3" t="s">
        <v>62</v>
      </c>
      <c r="P1490" s="785" t="s">
        <v>706</v>
      </c>
      <c r="Q1490" s="3" t="s">
        <v>707</v>
      </c>
      <c r="R1490" s="825"/>
      <c r="S1490" s="3" t="s">
        <v>130</v>
      </c>
      <c r="T1490" s="825"/>
      <c r="U1490" s="786">
        <v>323.60000000000002</v>
      </c>
      <c r="V1490" s="825"/>
      <c r="W1490" s="825"/>
      <c r="X1490" s="3" t="s">
        <v>1716</v>
      </c>
      <c r="Y1490" s="890">
        <v>45377</v>
      </c>
      <c r="Z1490" s="3" t="s">
        <v>62</v>
      </c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</row>
    <row r="1491" spans="1:39">
      <c r="B1491" s="904" t="s">
        <v>277</v>
      </c>
      <c r="C1491" s="807" t="s">
        <v>3454</v>
      </c>
      <c r="D1491" s="801">
        <v>200105389</v>
      </c>
      <c r="E1491" s="1485" t="s">
        <v>708</v>
      </c>
      <c r="F1491" s="3">
        <f t="shared" si="16"/>
        <v>7</v>
      </c>
      <c r="G1491" s="3" t="s">
        <v>60</v>
      </c>
      <c r="H1491" s="3" t="s">
        <v>128</v>
      </c>
      <c r="I1491" s="863">
        <v>532.5</v>
      </c>
      <c r="J1491" s="762">
        <v>303.01</v>
      </c>
      <c r="K1491" s="761" t="s">
        <v>2272</v>
      </c>
      <c r="L1491" s="890">
        <v>45385</v>
      </c>
      <c r="M1491" s="761" t="s">
        <v>2272</v>
      </c>
      <c r="N1491" s="890">
        <v>45397</v>
      </c>
      <c r="O1491" s="3" t="s">
        <v>62</v>
      </c>
      <c r="P1491" s="931" t="s">
        <v>709</v>
      </c>
      <c r="Q1491" s="3" t="s">
        <v>710</v>
      </c>
      <c r="R1491" s="825"/>
      <c r="S1491" s="3" t="s">
        <v>130</v>
      </c>
      <c r="T1491" s="825"/>
      <c r="U1491" s="3">
        <v>319.10000000000002</v>
      </c>
      <c r="V1491" s="825"/>
      <c r="W1491" s="825"/>
      <c r="X1491" s="3" t="s">
        <v>2272</v>
      </c>
      <c r="Y1491" s="890">
        <v>45397</v>
      </c>
      <c r="Z1491" s="3" t="s">
        <v>62</v>
      </c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</row>
    <row r="1492" spans="1:39">
      <c r="B1492" s="904" t="s">
        <v>277</v>
      </c>
      <c r="C1492" s="807" t="s">
        <v>3454</v>
      </c>
      <c r="D1492" s="801">
        <v>200105390</v>
      </c>
      <c r="E1492" s="1485" t="s">
        <v>711</v>
      </c>
      <c r="F1492" s="3">
        <f t="shared" si="16"/>
        <v>8</v>
      </c>
      <c r="G1492" s="3" t="s">
        <v>60</v>
      </c>
      <c r="H1492" s="3" t="s">
        <v>128</v>
      </c>
      <c r="I1492" s="786">
        <v>535.70000000000005</v>
      </c>
      <c r="J1492" s="762">
        <v>305.83</v>
      </c>
      <c r="K1492" s="761" t="s">
        <v>2272</v>
      </c>
      <c r="L1492" s="890">
        <v>45386</v>
      </c>
      <c r="M1492" s="761" t="s">
        <v>2272</v>
      </c>
      <c r="N1492" s="890">
        <v>45397</v>
      </c>
      <c r="O1492" s="3" t="s">
        <v>62</v>
      </c>
      <c r="P1492" s="3" t="s">
        <v>712</v>
      </c>
      <c r="Q1492" s="3" t="s">
        <v>713</v>
      </c>
      <c r="R1492" s="825"/>
      <c r="S1492" s="3" t="s">
        <v>130</v>
      </c>
      <c r="T1492" s="825"/>
      <c r="U1492" s="3">
        <v>322</v>
      </c>
      <c r="V1492" s="825"/>
      <c r="W1492" s="825"/>
      <c r="X1492" s="3" t="s">
        <v>2272</v>
      </c>
      <c r="Y1492" s="890">
        <v>45397</v>
      </c>
      <c r="Z1492" s="3" t="s">
        <v>62</v>
      </c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</row>
    <row r="1493" spans="1:39" ht="13.95" customHeight="1">
      <c r="B1493" s="904" t="s">
        <v>277</v>
      </c>
      <c r="C1493" s="807" t="s">
        <v>3454</v>
      </c>
      <c r="D1493" s="801">
        <v>200105391</v>
      </c>
      <c r="E1493" s="1485" t="s">
        <v>714</v>
      </c>
      <c r="F1493" s="3">
        <f t="shared" si="16"/>
        <v>9</v>
      </c>
      <c r="G1493" s="3" t="s">
        <v>60</v>
      </c>
      <c r="H1493" s="3" t="s">
        <v>128</v>
      </c>
      <c r="I1493" s="786">
        <v>534.9</v>
      </c>
      <c r="J1493" s="3">
        <v>307.86</v>
      </c>
      <c r="K1493" s="761" t="s">
        <v>2272</v>
      </c>
      <c r="L1493" s="890">
        <v>45386</v>
      </c>
      <c r="M1493" s="761" t="s">
        <v>2272</v>
      </c>
      <c r="N1493" s="890">
        <v>45397</v>
      </c>
      <c r="O1493" s="3" t="s">
        <v>62</v>
      </c>
      <c r="P1493" s="3" t="s">
        <v>715</v>
      </c>
      <c r="Q1493" s="3" t="s">
        <v>716</v>
      </c>
      <c r="R1493" s="825"/>
      <c r="S1493" s="3" t="s">
        <v>130</v>
      </c>
      <c r="T1493" s="825"/>
      <c r="U1493" s="3">
        <v>323.3</v>
      </c>
      <c r="V1493" s="825"/>
      <c r="W1493" s="825"/>
      <c r="X1493" s="3" t="s">
        <v>2272</v>
      </c>
      <c r="Y1493" s="890">
        <v>45397</v>
      </c>
      <c r="Z1493" s="3" t="s">
        <v>62</v>
      </c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</row>
    <row r="1494" spans="1:39" ht="13.95" customHeight="1">
      <c r="B1494" s="904" t="s">
        <v>277</v>
      </c>
      <c r="C1494" s="807" t="s">
        <v>3454</v>
      </c>
      <c r="D1494" s="801">
        <v>200105624</v>
      </c>
      <c r="E1494" s="1485" t="s">
        <v>717</v>
      </c>
      <c r="F1494" s="3">
        <f t="shared" si="16"/>
        <v>10</v>
      </c>
      <c r="G1494" s="3" t="s">
        <v>60</v>
      </c>
      <c r="H1494" s="3" t="s">
        <v>60</v>
      </c>
      <c r="I1494" s="762">
        <v>536.9</v>
      </c>
      <c r="J1494" s="762">
        <v>302.66000000000003</v>
      </c>
      <c r="K1494" s="761" t="s">
        <v>2272</v>
      </c>
      <c r="L1494" s="890">
        <v>45399</v>
      </c>
      <c r="M1494" s="761" t="s">
        <v>2272</v>
      </c>
      <c r="N1494" s="890">
        <v>45398</v>
      </c>
      <c r="O1494" s="3" t="s">
        <v>62</v>
      </c>
      <c r="P1494" s="3" t="s">
        <v>718</v>
      </c>
      <c r="Q1494" s="828" t="s">
        <v>719</v>
      </c>
      <c r="R1494" s="825"/>
      <c r="S1494" s="3" t="s">
        <v>130</v>
      </c>
      <c r="T1494" s="825"/>
      <c r="U1494" s="762">
        <v>318.10000000000002</v>
      </c>
      <c r="V1494" s="825"/>
      <c r="W1494" s="825"/>
      <c r="X1494" s="3" t="s">
        <v>2272</v>
      </c>
      <c r="Y1494" s="890">
        <v>45398</v>
      </c>
      <c r="Z1494" s="3" t="s">
        <v>62</v>
      </c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</row>
    <row r="1495" spans="1:39" ht="13.95" customHeight="1">
      <c r="B1495" s="904" t="s">
        <v>277</v>
      </c>
      <c r="C1495" s="807" t="s">
        <v>3454</v>
      </c>
      <c r="D1495" s="801">
        <v>200105625</v>
      </c>
      <c r="E1495" s="1485" t="s">
        <v>720</v>
      </c>
      <c r="F1495" s="3">
        <f t="shared" si="16"/>
        <v>11</v>
      </c>
      <c r="G1495" s="3" t="s">
        <v>60</v>
      </c>
      <c r="H1495" s="3" t="s">
        <v>60</v>
      </c>
      <c r="I1495" s="3">
        <v>539.29999999999995</v>
      </c>
      <c r="J1495" s="762">
        <v>305.61200000000002</v>
      </c>
      <c r="K1495" s="761" t="s">
        <v>2272</v>
      </c>
      <c r="L1495" s="890">
        <v>45399</v>
      </c>
      <c r="M1495" s="761" t="s">
        <v>2272</v>
      </c>
      <c r="N1495" s="890">
        <v>45398</v>
      </c>
      <c r="O1495" s="3" t="s">
        <v>62</v>
      </c>
      <c r="P1495" s="927" t="s">
        <v>721</v>
      </c>
      <c r="Q1495" s="828" t="s">
        <v>722</v>
      </c>
      <c r="R1495" s="825"/>
      <c r="S1495" s="3" t="s">
        <v>130</v>
      </c>
      <c r="T1495" s="825"/>
      <c r="U1495" s="762">
        <v>321.60000000000002</v>
      </c>
      <c r="V1495" s="825"/>
      <c r="W1495" s="825"/>
      <c r="X1495" s="3" t="s">
        <v>2272</v>
      </c>
      <c r="Y1495" s="890">
        <v>45398</v>
      </c>
      <c r="Z1495" s="3" t="s">
        <v>62</v>
      </c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</row>
    <row r="1496" spans="1:39" s="709" customFormat="1" ht="15" customHeight="1">
      <c r="A1496" s="920"/>
      <c r="B1496" s="921"/>
      <c r="C1496" s="926" t="s">
        <v>3447</v>
      </c>
      <c r="D1496" s="923"/>
      <c r="E1496" s="924"/>
      <c r="F1496" s="925"/>
      <c r="G1496" s="925"/>
      <c r="H1496" s="925"/>
      <c r="I1496" s="925"/>
      <c r="J1496" s="925"/>
      <c r="K1496" s="925"/>
      <c r="L1496" s="929"/>
      <c r="M1496" s="929"/>
      <c r="N1496" s="929"/>
      <c r="O1496" s="925"/>
      <c r="P1496" s="925"/>
      <c r="Q1496" s="925"/>
      <c r="R1496" s="925"/>
      <c r="S1496" s="925"/>
      <c r="T1496" s="925"/>
      <c r="U1496" s="925"/>
      <c r="V1496" s="930"/>
      <c r="W1496" s="929"/>
      <c r="X1496" s="929"/>
      <c r="Y1496" s="929"/>
      <c r="Z1496" s="925"/>
      <c r="AA1496" s="930"/>
      <c r="AB1496" s="930"/>
      <c r="AC1496" s="930"/>
      <c r="AD1496" s="930"/>
      <c r="AE1496" s="930"/>
      <c r="AF1496" s="930"/>
      <c r="AG1496" s="930"/>
      <c r="AH1496" s="930"/>
      <c r="AI1496" s="930"/>
      <c r="AJ1496" s="930"/>
      <c r="AK1496" s="930"/>
      <c r="AL1496" s="930"/>
      <c r="AM1496" s="930"/>
    </row>
    <row r="1497" spans="1:39" ht="13.95" customHeight="1">
      <c r="B1497" s="904" t="s">
        <v>57</v>
      </c>
      <c r="C1497" s="807" t="s">
        <v>3454</v>
      </c>
      <c r="D1497" s="801">
        <v>200105643</v>
      </c>
      <c r="E1497" s="1485" t="s">
        <v>723</v>
      </c>
      <c r="F1497" s="3">
        <v>1</v>
      </c>
      <c r="G1497" s="3" t="s">
        <v>60</v>
      </c>
      <c r="H1497" s="3" t="s">
        <v>60</v>
      </c>
      <c r="I1497" s="13">
        <v>543.1</v>
      </c>
      <c r="J1497" s="13">
        <v>300.91000000000003</v>
      </c>
      <c r="K1497" s="761" t="s">
        <v>2272</v>
      </c>
      <c r="L1497" s="890">
        <v>45399</v>
      </c>
      <c r="M1497" s="761" t="s">
        <v>2272</v>
      </c>
      <c r="N1497" s="890">
        <v>45400</v>
      </c>
      <c r="O1497" s="3" t="s">
        <v>62</v>
      </c>
      <c r="P1497" s="932" t="s">
        <v>724</v>
      </c>
      <c r="Q1497" s="935" t="s">
        <v>725</v>
      </c>
      <c r="R1497" s="825"/>
      <c r="S1497" s="3" t="s">
        <v>130</v>
      </c>
      <c r="T1497" s="825"/>
      <c r="U1497" s="3">
        <v>317.10000000000002</v>
      </c>
      <c r="V1497" s="825"/>
      <c r="W1497" s="825"/>
      <c r="X1497" s="3" t="s">
        <v>2272</v>
      </c>
      <c r="Y1497" s="890">
        <v>45400</v>
      </c>
      <c r="Z1497" s="3" t="s">
        <v>62</v>
      </c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</row>
    <row r="1498" spans="1:39" ht="13.95" customHeight="1">
      <c r="B1498" s="904" t="s">
        <v>57</v>
      </c>
      <c r="C1498" s="807" t="s">
        <v>3454</v>
      </c>
      <c r="D1498" s="801">
        <v>200105644</v>
      </c>
      <c r="E1498" s="1485" t="s">
        <v>726</v>
      </c>
      <c r="F1498" s="3">
        <v>2</v>
      </c>
      <c r="G1498" s="3" t="s">
        <v>60</v>
      </c>
      <c r="H1498" s="3" t="s">
        <v>60</v>
      </c>
      <c r="I1498" s="762">
        <v>535.79999999999995</v>
      </c>
      <c r="J1498" s="3">
        <v>305.33</v>
      </c>
      <c r="K1498" s="761" t="s">
        <v>2272</v>
      </c>
      <c r="L1498" s="890">
        <v>45400</v>
      </c>
      <c r="M1498" s="761" t="s">
        <v>2272</v>
      </c>
      <c r="N1498" s="890">
        <v>45400</v>
      </c>
      <c r="O1498" s="3" t="s">
        <v>62</v>
      </c>
      <c r="P1498" s="3" t="s">
        <v>727</v>
      </c>
      <c r="Q1498" s="784" t="s">
        <v>728</v>
      </c>
      <c r="R1498" s="825"/>
      <c r="S1498" s="3" t="s">
        <v>130</v>
      </c>
      <c r="T1498" s="825"/>
      <c r="U1498" s="3">
        <v>321.60000000000002</v>
      </c>
      <c r="V1498" s="825"/>
      <c r="W1498" s="825"/>
      <c r="X1498" s="3" t="s">
        <v>2272</v>
      </c>
      <c r="Y1498" s="890">
        <v>45400</v>
      </c>
      <c r="Z1498" s="3" t="s">
        <v>62</v>
      </c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</row>
    <row r="1499" spans="1:39" ht="13.95" customHeight="1">
      <c r="B1499" s="904" t="s">
        <v>57</v>
      </c>
      <c r="C1499" s="807" t="s">
        <v>3454</v>
      </c>
      <c r="D1499" s="801">
        <v>200105645</v>
      </c>
      <c r="E1499" s="1485" t="s">
        <v>729</v>
      </c>
      <c r="F1499" s="3">
        <v>3</v>
      </c>
      <c r="G1499" s="3" t="s">
        <v>60</v>
      </c>
      <c r="H1499" s="3" t="s">
        <v>60</v>
      </c>
      <c r="I1499" s="786">
        <v>531.1</v>
      </c>
      <c r="J1499" s="3">
        <v>307.42</v>
      </c>
      <c r="K1499" s="761" t="s">
        <v>2272</v>
      </c>
      <c r="L1499" s="890">
        <v>45401</v>
      </c>
      <c r="M1499" s="761" t="s">
        <v>2272</v>
      </c>
      <c r="N1499" s="890">
        <v>45400</v>
      </c>
      <c r="O1499" s="3" t="s">
        <v>62</v>
      </c>
      <c r="P1499" s="933" t="s">
        <v>730</v>
      </c>
      <c r="Q1499" s="784" t="s">
        <v>731</v>
      </c>
      <c r="R1499" s="825"/>
      <c r="S1499" s="3" t="s">
        <v>130</v>
      </c>
      <c r="T1499" s="825"/>
      <c r="U1499" s="859">
        <v>323.39999999999998</v>
      </c>
      <c r="V1499" s="825"/>
      <c r="W1499" s="825"/>
      <c r="X1499" s="3" t="s">
        <v>2272</v>
      </c>
      <c r="Y1499" s="890">
        <v>45400</v>
      </c>
      <c r="Z1499" s="3" t="s">
        <v>62</v>
      </c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</row>
    <row r="1500" spans="1:39" ht="13.95" customHeight="1">
      <c r="B1500" s="904" t="s">
        <v>57</v>
      </c>
      <c r="C1500" s="807" t="s">
        <v>3454</v>
      </c>
      <c r="D1500" s="801">
        <v>200105574</v>
      </c>
      <c r="E1500" s="1485" t="s">
        <v>732</v>
      </c>
      <c r="F1500" s="3">
        <v>4</v>
      </c>
      <c r="G1500" s="3" t="s">
        <v>60</v>
      </c>
      <c r="H1500" s="3" t="s">
        <v>60</v>
      </c>
      <c r="I1500" s="786">
        <v>541</v>
      </c>
      <c r="J1500" s="859">
        <v>308</v>
      </c>
      <c r="K1500" s="761" t="s">
        <v>2272</v>
      </c>
      <c r="L1500" s="890">
        <v>45401</v>
      </c>
      <c r="M1500" s="761" t="s">
        <v>2272</v>
      </c>
      <c r="N1500" s="890">
        <v>45400</v>
      </c>
      <c r="O1500" s="3" t="s">
        <v>62</v>
      </c>
      <c r="P1500" s="927" t="s">
        <v>733</v>
      </c>
      <c r="Q1500" s="784" t="s">
        <v>734</v>
      </c>
      <c r="R1500" s="825"/>
      <c r="S1500" s="3" t="s">
        <v>130</v>
      </c>
      <c r="T1500" s="825"/>
      <c r="U1500" s="859">
        <v>324</v>
      </c>
      <c r="V1500" s="825"/>
      <c r="W1500" s="825"/>
      <c r="X1500" s="3" t="s">
        <v>2272</v>
      </c>
      <c r="Y1500" s="890">
        <v>45400</v>
      </c>
      <c r="Z1500" s="3" t="s">
        <v>62</v>
      </c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</row>
    <row r="1501" spans="1:39" ht="13.95" customHeight="1">
      <c r="B1501" s="904" t="s">
        <v>57</v>
      </c>
      <c r="C1501" s="807" t="s">
        <v>3454</v>
      </c>
      <c r="D1501" s="801">
        <v>200105575</v>
      </c>
      <c r="E1501" s="1485" t="s">
        <v>4300</v>
      </c>
      <c r="F1501" s="3">
        <v>5</v>
      </c>
      <c r="G1501" s="3" t="s">
        <v>60</v>
      </c>
      <c r="H1501" s="3" t="s">
        <v>60</v>
      </c>
      <c r="I1501" s="786">
        <v>538.79999999999995</v>
      </c>
      <c r="J1501" s="3">
        <v>302.97000000000003</v>
      </c>
      <c r="K1501" s="761" t="s">
        <v>2272</v>
      </c>
      <c r="L1501" s="890">
        <v>45401</v>
      </c>
      <c r="M1501" s="761" t="s">
        <v>2272</v>
      </c>
      <c r="N1501" s="890">
        <v>45401</v>
      </c>
      <c r="O1501" s="3" t="s">
        <v>62</v>
      </c>
      <c r="P1501" s="927" t="s">
        <v>736</v>
      </c>
      <c r="Q1501" s="784" t="s">
        <v>737</v>
      </c>
      <c r="R1501" s="825"/>
      <c r="S1501" s="3" t="s">
        <v>130</v>
      </c>
      <c r="T1501" s="825"/>
      <c r="U1501" s="859">
        <v>318.89999999999998</v>
      </c>
      <c r="V1501" s="825"/>
      <c r="W1501" s="825"/>
      <c r="X1501" s="3" t="s">
        <v>2272</v>
      </c>
      <c r="Y1501" s="890">
        <v>45401</v>
      </c>
      <c r="Z1501" s="3" t="s">
        <v>62</v>
      </c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</row>
    <row r="1502" spans="1:39" ht="13.95" customHeight="1">
      <c r="B1502" s="904" t="s">
        <v>57</v>
      </c>
      <c r="C1502" s="807" t="s">
        <v>3454</v>
      </c>
      <c r="D1502" s="801">
        <v>200105576</v>
      </c>
      <c r="E1502" s="1485" t="s">
        <v>738</v>
      </c>
      <c r="F1502" s="3">
        <v>6</v>
      </c>
      <c r="G1502" s="3" t="s">
        <v>60</v>
      </c>
      <c r="H1502" s="3" t="s">
        <v>60</v>
      </c>
      <c r="I1502" s="786">
        <v>536.29999999999995</v>
      </c>
      <c r="J1502" s="3">
        <v>307.92</v>
      </c>
      <c r="K1502" s="761" t="s">
        <v>2272</v>
      </c>
      <c r="L1502" s="890">
        <v>45404</v>
      </c>
      <c r="M1502" s="761" t="s">
        <v>2272</v>
      </c>
      <c r="N1502" s="890">
        <v>45401</v>
      </c>
      <c r="O1502" s="3" t="s">
        <v>62</v>
      </c>
      <c r="P1502" s="3" t="s">
        <v>739</v>
      </c>
      <c r="Q1502" s="784" t="s">
        <v>740</v>
      </c>
      <c r="R1502" s="825"/>
      <c r="S1502" s="3" t="s">
        <v>130</v>
      </c>
      <c r="T1502" s="825"/>
      <c r="U1502" s="859">
        <v>323.8</v>
      </c>
      <c r="V1502" s="825"/>
      <c r="W1502" s="825"/>
      <c r="X1502" s="3" t="s">
        <v>2272</v>
      </c>
      <c r="Y1502" s="890">
        <v>45401</v>
      </c>
      <c r="Z1502" s="3" t="s">
        <v>62</v>
      </c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</row>
    <row r="1503" spans="1:39" ht="13.95" customHeight="1">
      <c r="B1503" s="904" t="s">
        <v>57</v>
      </c>
      <c r="C1503" s="807" t="s">
        <v>3454</v>
      </c>
      <c r="D1503" s="801">
        <v>200105669</v>
      </c>
      <c r="E1503" s="1485" t="s">
        <v>741</v>
      </c>
      <c r="F1503" s="3">
        <v>7</v>
      </c>
      <c r="G1503" s="3" t="s">
        <v>60</v>
      </c>
      <c r="H1503" s="3" t="s">
        <v>60</v>
      </c>
      <c r="I1503" s="786">
        <v>539.20000000000005</v>
      </c>
      <c r="J1503" s="786">
        <v>303.14</v>
      </c>
      <c r="K1503" s="761" t="s">
        <v>2272</v>
      </c>
      <c r="L1503" s="890">
        <v>45404</v>
      </c>
      <c r="M1503" s="761" t="s">
        <v>2272</v>
      </c>
      <c r="N1503" s="890">
        <v>45404</v>
      </c>
      <c r="O1503" s="3" t="s">
        <v>62</v>
      </c>
      <c r="P1503" s="934" t="s">
        <v>742</v>
      </c>
      <c r="Q1503" s="784" t="s">
        <v>743</v>
      </c>
      <c r="R1503" s="825"/>
      <c r="S1503" s="3" t="s">
        <v>130</v>
      </c>
      <c r="T1503" s="825"/>
      <c r="U1503" s="786">
        <v>319</v>
      </c>
      <c r="V1503" s="825"/>
      <c r="W1503" s="825"/>
      <c r="X1503" s="3" t="s">
        <v>2272</v>
      </c>
      <c r="Y1503" s="890">
        <v>45405</v>
      </c>
      <c r="Z1503" s="3" t="s">
        <v>62</v>
      </c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</row>
    <row r="1504" spans="1:39" ht="13.95" customHeight="1">
      <c r="B1504" s="904" t="s">
        <v>57</v>
      </c>
      <c r="C1504" s="807" t="s">
        <v>3454</v>
      </c>
      <c r="D1504" s="801">
        <v>200105696</v>
      </c>
      <c r="E1504" s="1485" t="s">
        <v>744</v>
      </c>
      <c r="F1504" s="3">
        <v>8</v>
      </c>
      <c r="G1504" s="3" t="s">
        <v>60</v>
      </c>
      <c r="H1504" s="3" t="s">
        <v>60</v>
      </c>
      <c r="I1504" s="786">
        <v>541.1</v>
      </c>
      <c r="J1504" s="786">
        <v>306.98</v>
      </c>
      <c r="K1504" s="761" t="s">
        <v>2272</v>
      </c>
      <c r="L1504" s="890">
        <v>45404</v>
      </c>
      <c r="M1504" s="761" t="s">
        <v>2272</v>
      </c>
      <c r="N1504" s="890">
        <v>45404</v>
      </c>
      <c r="O1504" s="3" t="s">
        <v>62</v>
      </c>
      <c r="P1504" s="934" t="s">
        <v>745</v>
      </c>
      <c r="Q1504" s="784" t="s">
        <v>746</v>
      </c>
      <c r="R1504" s="825"/>
      <c r="S1504" s="3" t="s">
        <v>130</v>
      </c>
      <c r="T1504" s="825"/>
      <c r="U1504" s="786">
        <v>323</v>
      </c>
      <c r="V1504" s="825"/>
      <c r="W1504" s="825"/>
      <c r="X1504" s="3" t="s">
        <v>2272</v>
      </c>
      <c r="Y1504" s="890">
        <v>45405</v>
      </c>
      <c r="Z1504" s="3" t="s">
        <v>62</v>
      </c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</row>
    <row r="1505" spans="1:39" ht="13.95" customHeight="1">
      <c r="B1505" s="904" t="s">
        <v>57</v>
      </c>
      <c r="C1505" s="807" t="s">
        <v>3454</v>
      </c>
      <c r="D1505" s="801">
        <v>200105239</v>
      </c>
      <c r="E1505" s="1485" t="s">
        <v>747</v>
      </c>
      <c r="F1505" s="3">
        <v>9</v>
      </c>
      <c r="G1505" s="3" t="s">
        <v>60</v>
      </c>
      <c r="H1505" s="3" t="s">
        <v>60</v>
      </c>
      <c r="I1505" s="786">
        <v>535</v>
      </c>
      <c r="J1505" s="786">
        <v>304.95999999999998</v>
      </c>
      <c r="K1505" s="761" t="s">
        <v>2272</v>
      </c>
      <c r="L1505" s="890">
        <v>45406</v>
      </c>
      <c r="M1505" s="761" t="s">
        <v>2272</v>
      </c>
      <c r="N1505" s="890">
        <v>45405</v>
      </c>
      <c r="O1505" s="3" t="s">
        <v>62</v>
      </c>
      <c r="P1505" s="927" t="s">
        <v>748</v>
      </c>
      <c r="Q1505" s="784" t="s">
        <v>749</v>
      </c>
      <c r="R1505" s="825"/>
      <c r="S1505" s="3" t="s">
        <v>130</v>
      </c>
      <c r="T1505" s="825"/>
      <c r="U1505" s="786">
        <v>320.89999999999998</v>
      </c>
      <c r="V1505" s="825"/>
      <c r="W1505" s="825"/>
      <c r="X1505" s="3" t="s">
        <v>2272</v>
      </c>
      <c r="Y1505" s="890">
        <v>45406</v>
      </c>
      <c r="Z1505" s="3" t="s">
        <v>62</v>
      </c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</row>
    <row r="1506" spans="1:39" ht="13.95" customHeight="1">
      <c r="B1506" s="904" t="s">
        <v>57</v>
      </c>
      <c r="C1506" s="807" t="s">
        <v>3454</v>
      </c>
      <c r="D1506" s="801">
        <v>200105772</v>
      </c>
      <c r="E1506" s="1485" t="s">
        <v>750</v>
      </c>
      <c r="F1506" s="3">
        <v>10</v>
      </c>
      <c r="G1506" s="3" t="s">
        <v>60</v>
      </c>
      <c r="H1506" s="3" t="s">
        <v>60</v>
      </c>
      <c r="I1506" s="786">
        <v>538.70000000000005</v>
      </c>
      <c r="J1506" s="786">
        <v>307.62</v>
      </c>
      <c r="K1506" s="761" t="s">
        <v>2272</v>
      </c>
      <c r="L1506" s="890">
        <v>45406</v>
      </c>
      <c r="M1506" s="761" t="s">
        <v>2272</v>
      </c>
      <c r="N1506" s="890">
        <v>45405</v>
      </c>
      <c r="O1506" s="3" t="s">
        <v>62</v>
      </c>
      <c r="P1506" s="933" t="s">
        <v>751</v>
      </c>
      <c r="Q1506" s="784" t="s">
        <v>752</v>
      </c>
      <c r="R1506" s="825"/>
      <c r="S1506" s="3" t="s">
        <v>130</v>
      </c>
      <c r="T1506" s="825"/>
      <c r="U1506" s="786">
        <v>323.39999999999998</v>
      </c>
      <c r="V1506" s="825"/>
      <c r="W1506" s="825"/>
      <c r="X1506" s="3" t="s">
        <v>2272</v>
      </c>
      <c r="Y1506" s="890">
        <v>45406</v>
      </c>
      <c r="Z1506" s="3" t="s">
        <v>62</v>
      </c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</row>
    <row r="1507" spans="1:39" s="709" customFormat="1" ht="15" customHeight="1">
      <c r="A1507" s="920"/>
      <c r="B1507" s="921"/>
      <c r="C1507" s="926" t="s">
        <v>3447</v>
      </c>
      <c r="D1507" s="923"/>
      <c r="E1507" s="924"/>
      <c r="F1507" s="925"/>
      <c r="G1507" s="925"/>
      <c r="H1507" s="925"/>
      <c r="I1507" s="925"/>
      <c r="J1507" s="925"/>
      <c r="K1507" s="925"/>
      <c r="L1507" s="929"/>
      <c r="M1507" s="929"/>
      <c r="N1507" s="929"/>
      <c r="O1507" s="925"/>
      <c r="P1507" s="925"/>
      <c r="Q1507" s="925"/>
      <c r="R1507" s="925"/>
      <c r="S1507" s="925"/>
      <c r="T1507" s="925"/>
      <c r="U1507" s="925"/>
      <c r="V1507" s="930"/>
      <c r="W1507" s="929"/>
      <c r="X1507" s="929"/>
      <c r="Y1507" s="929"/>
      <c r="Z1507" s="925"/>
      <c r="AA1507" s="930"/>
      <c r="AB1507" s="930"/>
      <c r="AC1507" s="930"/>
      <c r="AD1507" s="930"/>
      <c r="AE1507" s="930"/>
      <c r="AF1507" s="930"/>
      <c r="AG1507" s="930"/>
      <c r="AH1507" s="930"/>
      <c r="AI1507" s="930"/>
      <c r="AJ1507" s="930"/>
      <c r="AK1507" s="930"/>
      <c r="AL1507" s="930"/>
      <c r="AM1507" s="930"/>
    </row>
    <row r="1508" spans="1:39" ht="13.95" customHeight="1">
      <c r="B1508" s="904" t="s">
        <v>72</v>
      </c>
      <c r="C1508" s="807" t="s">
        <v>3454</v>
      </c>
      <c r="D1508" s="801">
        <v>200106260</v>
      </c>
      <c r="E1508" s="1485" t="s">
        <v>753</v>
      </c>
      <c r="F1508" s="3">
        <v>1</v>
      </c>
      <c r="G1508" s="3" t="s">
        <v>60</v>
      </c>
      <c r="H1508" s="3" t="s">
        <v>128</v>
      </c>
      <c r="I1508" s="858">
        <v>534.20000000000005</v>
      </c>
      <c r="J1508" s="858">
        <v>302.13</v>
      </c>
      <c r="K1508" s="761" t="s">
        <v>2327</v>
      </c>
      <c r="L1508" s="890">
        <v>45442</v>
      </c>
      <c r="M1508" s="761" t="s">
        <v>2327</v>
      </c>
      <c r="N1508" s="890">
        <v>45442</v>
      </c>
      <c r="O1508" s="3" t="s">
        <v>62</v>
      </c>
      <c r="P1508" s="3" t="s">
        <v>754</v>
      </c>
      <c r="Q1508" s="3" t="s">
        <v>755</v>
      </c>
      <c r="R1508" s="825"/>
      <c r="S1508" s="3" t="s">
        <v>130</v>
      </c>
      <c r="T1508" s="825"/>
      <c r="U1508" s="786">
        <v>318.60000000000002</v>
      </c>
      <c r="V1508" s="825"/>
      <c r="W1508" s="825"/>
      <c r="X1508" s="3" t="s">
        <v>2327</v>
      </c>
      <c r="Y1508" s="890">
        <v>45442</v>
      </c>
      <c r="Z1508" s="3" t="s">
        <v>62</v>
      </c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</row>
    <row r="1509" spans="1:39" ht="13.95" customHeight="1">
      <c r="B1509" s="904" t="s">
        <v>72</v>
      </c>
      <c r="C1509" s="807" t="s">
        <v>3454</v>
      </c>
      <c r="D1509" s="801">
        <v>200106261</v>
      </c>
      <c r="E1509" s="1485" t="s">
        <v>756</v>
      </c>
      <c r="F1509" s="3">
        <v>2</v>
      </c>
      <c r="G1509" s="3" t="s">
        <v>60</v>
      </c>
      <c r="H1509" s="3" t="s">
        <v>128</v>
      </c>
      <c r="I1509" s="865">
        <v>539.70000000000005</v>
      </c>
      <c r="J1509" s="858">
        <v>305.51</v>
      </c>
      <c r="K1509" s="761" t="s">
        <v>2327</v>
      </c>
      <c r="L1509" s="890">
        <v>45442</v>
      </c>
      <c r="M1509" s="761" t="s">
        <v>2327</v>
      </c>
      <c r="N1509" s="890">
        <v>45442</v>
      </c>
      <c r="O1509" s="3" t="s">
        <v>62</v>
      </c>
      <c r="P1509" s="3" t="s">
        <v>757</v>
      </c>
      <c r="Q1509" s="3" t="s">
        <v>758</v>
      </c>
      <c r="R1509" s="825"/>
      <c r="S1509" s="3" t="s">
        <v>130</v>
      </c>
      <c r="T1509" s="825"/>
      <c r="U1509" s="762">
        <v>322</v>
      </c>
      <c r="V1509" s="825"/>
      <c r="W1509" s="825"/>
      <c r="X1509" s="3" t="s">
        <v>2327</v>
      </c>
      <c r="Y1509" s="890">
        <v>45443</v>
      </c>
      <c r="Z1509" s="3" t="s">
        <v>62</v>
      </c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</row>
    <row r="1510" spans="1:39" ht="13.95" customHeight="1">
      <c r="B1510" s="904" t="s">
        <v>72</v>
      </c>
      <c r="C1510" s="807" t="s">
        <v>3454</v>
      </c>
      <c r="D1510" s="801">
        <v>200106262</v>
      </c>
      <c r="E1510" s="1485" t="s">
        <v>759</v>
      </c>
      <c r="F1510" s="3">
        <v>3</v>
      </c>
      <c r="G1510" s="3" t="s">
        <v>60</v>
      </c>
      <c r="H1510" s="3" t="s">
        <v>128</v>
      </c>
      <c r="I1510" s="865">
        <v>543</v>
      </c>
      <c r="J1510" s="865">
        <v>306.72000000000003</v>
      </c>
      <c r="K1510" s="761" t="s">
        <v>2327</v>
      </c>
      <c r="L1510" s="890">
        <v>45442</v>
      </c>
      <c r="M1510" s="761" t="s">
        <v>2327</v>
      </c>
      <c r="N1510" s="890">
        <v>45442</v>
      </c>
      <c r="O1510" s="3" t="s">
        <v>62</v>
      </c>
      <c r="P1510" s="785" t="s">
        <v>760</v>
      </c>
      <c r="Q1510" s="3" t="s">
        <v>597</v>
      </c>
      <c r="R1510" s="825"/>
      <c r="S1510" s="3" t="s">
        <v>130</v>
      </c>
      <c r="T1510" s="825"/>
      <c r="U1510" s="762">
        <v>322.5</v>
      </c>
      <c r="V1510" s="825"/>
      <c r="W1510" s="825"/>
      <c r="X1510" s="3" t="s">
        <v>2327</v>
      </c>
      <c r="Y1510" s="890">
        <v>45443</v>
      </c>
      <c r="Z1510" s="3" t="s">
        <v>62</v>
      </c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</row>
    <row r="1511" spans="1:39" ht="13.95" customHeight="1">
      <c r="B1511" s="904" t="s">
        <v>72</v>
      </c>
      <c r="C1511" s="807" t="s">
        <v>3454</v>
      </c>
      <c r="D1511" s="801">
        <v>200106263</v>
      </c>
      <c r="E1511" s="1485" t="s">
        <v>761</v>
      </c>
      <c r="F1511" s="3">
        <v>4</v>
      </c>
      <c r="G1511" s="3" t="s">
        <v>60</v>
      </c>
      <c r="H1511" s="3" t="s">
        <v>128</v>
      </c>
      <c r="I1511" s="858">
        <v>530.79999999999995</v>
      </c>
      <c r="J1511" s="865">
        <v>307.27999999999997</v>
      </c>
      <c r="K1511" s="761" t="s">
        <v>2411</v>
      </c>
      <c r="L1511" s="890">
        <v>45446</v>
      </c>
      <c r="M1511" s="761" t="s">
        <v>2327</v>
      </c>
      <c r="N1511" s="890">
        <v>45442</v>
      </c>
      <c r="O1511" s="3" t="s">
        <v>62</v>
      </c>
      <c r="P1511" s="4" t="s">
        <v>762</v>
      </c>
      <c r="Q1511" s="3" t="s">
        <v>763</v>
      </c>
      <c r="R1511" s="825"/>
      <c r="S1511" s="3" t="s">
        <v>130</v>
      </c>
      <c r="T1511" s="825"/>
      <c r="U1511" s="762">
        <v>323</v>
      </c>
      <c r="V1511" s="825"/>
      <c r="W1511" s="825"/>
      <c r="X1511" s="3" t="s">
        <v>2327</v>
      </c>
      <c r="Y1511" s="890">
        <v>45443</v>
      </c>
      <c r="Z1511" s="3" t="s">
        <v>62</v>
      </c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</row>
    <row r="1512" spans="1:39" ht="13.95" customHeight="1">
      <c r="B1512" s="904" t="s">
        <v>72</v>
      </c>
      <c r="C1512" s="807" t="s">
        <v>3454</v>
      </c>
      <c r="D1512" s="801">
        <v>200106171</v>
      </c>
      <c r="E1512" s="1485" t="s">
        <v>764</v>
      </c>
      <c r="F1512" s="3">
        <v>5</v>
      </c>
      <c r="G1512" s="3" t="s">
        <v>60</v>
      </c>
      <c r="H1512" s="3" t="s">
        <v>128</v>
      </c>
      <c r="I1512" s="858">
        <v>538.5</v>
      </c>
      <c r="J1512" s="858">
        <v>305.29000000000002</v>
      </c>
      <c r="K1512" s="761" t="s">
        <v>2411</v>
      </c>
      <c r="L1512" s="890">
        <v>45446</v>
      </c>
      <c r="M1512" s="761" t="s">
        <v>2411</v>
      </c>
      <c r="N1512" s="890">
        <v>45447</v>
      </c>
      <c r="O1512" s="3" t="s">
        <v>62</v>
      </c>
      <c r="P1512" s="4" t="s">
        <v>765</v>
      </c>
      <c r="Q1512" s="3" t="s">
        <v>766</v>
      </c>
      <c r="R1512" s="825"/>
      <c r="S1512" s="3" t="s">
        <v>130</v>
      </c>
      <c r="T1512" s="825"/>
      <c r="U1512" s="786">
        <v>320.7</v>
      </c>
      <c r="V1512" s="825"/>
      <c r="W1512" s="825"/>
      <c r="X1512" s="3" t="s">
        <v>2411</v>
      </c>
      <c r="Y1512" s="890">
        <v>45447</v>
      </c>
      <c r="Z1512" s="3" t="s">
        <v>62</v>
      </c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</row>
    <row r="1513" spans="1:39" ht="13.95" customHeight="1">
      <c r="B1513" s="904" t="s">
        <v>72</v>
      </c>
      <c r="C1513" s="807" t="s">
        <v>3454</v>
      </c>
      <c r="D1513" s="801">
        <v>200106172</v>
      </c>
      <c r="E1513" s="1485" t="s">
        <v>767</v>
      </c>
      <c r="F1513" s="3">
        <v>6</v>
      </c>
      <c r="G1513" s="3" t="s">
        <v>60</v>
      </c>
      <c r="H1513" s="3" t="s">
        <v>128</v>
      </c>
      <c r="I1513" s="858">
        <v>538.70000000000005</v>
      </c>
      <c r="J1513" s="858">
        <v>307.87</v>
      </c>
      <c r="K1513" s="761" t="s">
        <v>2411</v>
      </c>
      <c r="L1513" s="890">
        <v>45446</v>
      </c>
      <c r="M1513" s="761" t="s">
        <v>2411</v>
      </c>
      <c r="N1513" s="890">
        <v>45447</v>
      </c>
      <c r="O1513" s="3" t="s">
        <v>62</v>
      </c>
      <c r="P1513" s="4" t="s">
        <v>768</v>
      </c>
      <c r="Q1513" s="3" t="s">
        <v>769</v>
      </c>
      <c r="R1513" s="825"/>
      <c r="S1513" s="3" t="s">
        <v>130</v>
      </c>
      <c r="T1513" s="825"/>
      <c r="U1513" s="786">
        <v>323.60000000000002</v>
      </c>
      <c r="V1513" s="825"/>
      <c r="W1513" s="825"/>
      <c r="X1513" s="3" t="s">
        <v>2411</v>
      </c>
      <c r="Y1513" s="890">
        <v>45447</v>
      </c>
      <c r="Z1513" s="3" t="s">
        <v>62</v>
      </c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</row>
    <row r="1514" spans="1:39" ht="13.95" customHeight="1">
      <c r="B1514" s="904" t="s">
        <v>72</v>
      </c>
      <c r="C1514" s="807" t="s">
        <v>3454</v>
      </c>
      <c r="D1514" s="801">
        <v>200106173</v>
      </c>
      <c r="E1514" s="1485" t="s">
        <v>770</v>
      </c>
      <c r="F1514" s="3">
        <v>7</v>
      </c>
      <c r="G1514" s="3" t="s">
        <v>60</v>
      </c>
      <c r="H1514" s="3" t="s">
        <v>128</v>
      </c>
      <c r="I1514" s="858">
        <v>533.79999999999995</v>
      </c>
      <c r="J1514" s="786">
        <v>306.7</v>
      </c>
      <c r="K1514" s="761" t="s">
        <v>2411</v>
      </c>
      <c r="L1514" s="890">
        <v>45447</v>
      </c>
      <c r="M1514" s="761" t="s">
        <v>2411</v>
      </c>
      <c r="N1514" s="890">
        <v>45447</v>
      </c>
      <c r="O1514" s="3" t="s">
        <v>62</v>
      </c>
      <c r="P1514" s="4" t="s">
        <v>771</v>
      </c>
      <c r="Q1514" s="3" t="s">
        <v>772</v>
      </c>
      <c r="R1514" s="825"/>
      <c r="S1514" s="3" t="s">
        <v>130</v>
      </c>
      <c r="T1514" s="825"/>
      <c r="U1514" s="786">
        <v>322.60000000000002</v>
      </c>
      <c r="V1514" s="825"/>
      <c r="W1514" s="825"/>
      <c r="X1514" s="3" t="s">
        <v>2411</v>
      </c>
      <c r="Y1514" s="890">
        <v>45447</v>
      </c>
      <c r="Z1514" s="3" t="s">
        <v>62</v>
      </c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</row>
    <row r="1515" spans="1:39" ht="13.95" customHeight="1">
      <c r="B1515" s="904" t="s">
        <v>72</v>
      </c>
      <c r="C1515" s="807" t="s">
        <v>3454</v>
      </c>
      <c r="D1515" s="801">
        <v>200106174</v>
      </c>
      <c r="E1515" s="1485" t="s">
        <v>773</v>
      </c>
      <c r="F1515" s="3">
        <v>8</v>
      </c>
      <c r="G1515" s="3" t="s">
        <v>60</v>
      </c>
      <c r="H1515" s="3" t="s">
        <v>128</v>
      </c>
      <c r="I1515" s="858">
        <v>541.20000000000005</v>
      </c>
      <c r="J1515" s="786">
        <v>307.07</v>
      </c>
      <c r="K1515" s="761" t="s">
        <v>2411</v>
      </c>
      <c r="L1515" s="890">
        <v>45447</v>
      </c>
      <c r="M1515" s="761" t="s">
        <v>2411</v>
      </c>
      <c r="N1515" s="890">
        <v>45447</v>
      </c>
      <c r="O1515" s="3" t="s">
        <v>62</v>
      </c>
      <c r="P1515" s="4" t="s">
        <v>774</v>
      </c>
      <c r="Q1515" s="3" t="s">
        <v>775</v>
      </c>
      <c r="R1515" s="825"/>
      <c r="S1515" s="3" t="s">
        <v>130</v>
      </c>
      <c r="T1515" s="825"/>
      <c r="U1515" s="786">
        <v>323</v>
      </c>
      <c r="V1515" s="825"/>
      <c r="W1515" s="825"/>
      <c r="X1515" s="3" t="s">
        <v>2411</v>
      </c>
      <c r="Y1515" s="890">
        <v>45447</v>
      </c>
      <c r="Z1515" s="3" t="s">
        <v>62</v>
      </c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</row>
    <row r="1516" spans="1:39" ht="13.95" customHeight="1">
      <c r="B1516" s="904" t="s">
        <v>72</v>
      </c>
      <c r="C1516" s="807" t="s">
        <v>3454</v>
      </c>
      <c r="D1516" s="801">
        <v>200106175</v>
      </c>
      <c r="E1516" s="1485" t="s">
        <v>776</v>
      </c>
      <c r="F1516" s="3">
        <v>9</v>
      </c>
      <c r="G1516" s="3" t="s">
        <v>60</v>
      </c>
      <c r="H1516" s="3" t="s">
        <v>60</v>
      </c>
      <c r="I1516" s="786">
        <v>531.9</v>
      </c>
      <c r="J1516" s="865">
        <v>305.35000000000002</v>
      </c>
      <c r="K1516" s="761" t="s">
        <v>2411</v>
      </c>
      <c r="L1516" s="890">
        <v>45449</v>
      </c>
      <c r="M1516" s="761" t="s">
        <v>2411</v>
      </c>
      <c r="N1516" s="890">
        <v>45449</v>
      </c>
      <c r="O1516" s="3" t="s">
        <v>62</v>
      </c>
      <c r="P1516" s="4" t="s">
        <v>777</v>
      </c>
      <c r="Q1516" s="3" t="s">
        <v>778</v>
      </c>
      <c r="R1516" s="825"/>
      <c r="S1516" s="3" t="s">
        <v>130</v>
      </c>
      <c r="T1516" s="825"/>
      <c r="U1516" s="762">
        <v>321.2</v>
      </c>
      <c r="V1516" s="825"/>
      <c r="W1516" s="825"/>
      <c r="X1516" s="3" t="s">
        <v>2411</v>
      </c>
      <c r="Y1516" s="890">
        <v>45450</v>
      </c>
      <c r="Z1516" s="3" t="s">
        <v>62</v>
      </c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</row>
    <row r="1517" spans="1:39" ht="13.95" customHeight="1">
      <c r="B1517" s="904" t="s">
        <v>72</v>
      </c>
      <c r="C1517" s="807" t="s">
        <v>3454</v>
      </c>
      <c r="D1517" s="801">
        <v>200106390</v>
      </c>
      <c r="E1517" s="1485" t="s">
        <v>779</v>
      </c>
      <c r="F1517" s="3">
        <v>10</v>
      </c>
      <c r="G1517" s="3" t="s">
        <v>128</v>
      </c>
      <c r="H1517" s="3" t="s">
        <v>60</v>
      </c>
      <c r="I1517" s="786">
        <v>530.79999999999995</v>
      </c>
      <c r="J1517" s="786">
        <f>150.96+152.8</f>
        <v>303.76</v>
      </c>
      <c r="K1517" s="761" t="s">
        <v>2411</v>
      </c>
      <c r="L1517" s="890">
        <v>45461</v>
      </c>
      <c r="M1517" s="761" t="s">
        <v>2411</v>
      </c>
      <c r="N1517" s="890">
        <v>45461</v>
      </c>
      <c r="O1517" s="3" t="s">
        <v>62</v>
      </c>
      <c r="P1517" s="4" t="s">
        <v>780</v>
      </c>
      <c r="Q1517" s="3" t="s">
        <v>781</v>
      </c>
      <c r="R1517" s="825"/>
      <c r="S1517" s="3" t="s">
        <v>130</v>
      </c>
      <c r="T1517" s="825"/>
      <c r="U1517" s="786">
        <v>319.60000000000002</v>
      </c>
      <c r="V1517" s="825"/>
      <c r="W1517" s="825"/>
      <c r="X1517" s="3" t="s">
        <v>2411</v>
      </c>
      <c r="Y1517" s="890">
        <v>45461</v>
      </c>
      <c r="Z1517" s="3" t="s">
        <v>62</v>
      </c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</row>
    <row r="1518" spans="1:39" s="709" customFormat="1" ht="15" customHeight="1">
      <c r="A1518" s="920"/>
      <c r="B1518" s="921"/>
      <c r="C1518" s="926" t="s">
        <v>3319</v>
      </c>
      <c r="D1518" s="923"/>
      <c r="E1518" s="924"/>
      <c r="F1518" s="925"/>
      <c r="G1518" s="925"/>
      <c r="H1518" s="925"/>
      <c r="I1518" s="925"/>
      <c r="J1518" s="925"/>
      <c r="K1518" s="925"/>
      <c r="L1518" s="929"/>
      <c r="M1518" s="929"/>
      <c r="N1518" s="929"/>
      <c r="O1518" s="925"/>
      <c r="P1518" s="925"/>
      <c r="Q1518" s="925"/>
      <c r="R1518" s="925"/>
      <c r="S1518" s="925"/>
      <c r="T1518" s="925"/>
      <c r="U1518" s="925"/>
      <c r="V1518" s="930"/>
      <c r="W1518" s="929"/>
      <c r="X1518" s="929"/>
      <c r="Y1518" s="929"/>
      <c r="Z1518" s="925"/>
      <c r="AA1518" s="930"/>
      <c r="AB1518" s="930"/>
      <c r="AC1518" s="930"/>
      <c r="AD1518" s="930"/>
      <c r="AE1518" s="930"/>
      <c r="AF1518" s="930"/>
      <c r="AG1518" s="930"/>
      <c r="AH1518" s="930"/>
      <c r="AI1518" s="930"/>
      <c r="AJ1518" s="930"/>
      <c r="AK1518" s="930"/>
      <c r="AL1518" s="930"/>
      <c r="AM1518" s="930"/>
    </row>
    <row r="1519" spans="1:39" ht="13.95" customHeight="1">
      <c r="B1519" s="904" t="s">
        <v>433</v>
      </c>
      <c r="C1519" s="807" t="s">
        <v>3454</v>
      </c>
      <c r="D1519" s="801">
        <v>200106375</v>
      </c>
      <c r="E1519" s="1485" t="s">
        <v>782</v>
      </c>
      <c r="F1519" s="3">
        <v>1</v>
      </c>
      <c r="G1519" s="3" t="s">
        <v>60</v>
      </c>
      <c r="H1519" s="3" t="s">
        <v>128</v>
      </c>
      <c r="I1519" s="762">
        <v>535.1</v>
      </c>
      <c r="J1519" s="786">
        <v>306.62</v>
      </c>
      <c r="K1519" s="761" t="s">
        <v>2411</v>
      </c>
      <c r="L1519" s="890">
        <v>45462</v>
      </c>
      <c r="M1519" s="890" t="s">
        <v>2411</v>
      </c>
      <c r="N1519" s="890">
        <v>45461</v>
      </c>
      <c r="O1519" s="3" t="s">
        <v>62</v>
      </c>
      <c r="P1519" s="4" t="s">
        <v>783</v>
      </c>
      <c r="Q1519" s="3" t="s">
        <v>784</v>
      </c>
      <c r="R1519" s="825"/>
      <c r="S1519" s="3" t="s">
        <v>130</v>
      </c>
      <c r="T1519" s="825"/>
      <c r="U1519" s="786">
        <v>322.39999999999998</v>
      </c>
      <c r="V1519" s="825"/>
      <c r="W1519" s="825"/>
      <c r="X1519" s="3" t="s">
        <v>2411</v>
      </c>
      <c r="Y1519" s="936">
        <v>45461</v>
      </c>
      <c r="Z1519" s="3" t="s">
        <v>62</v>
      </c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</row>
    <row r="1520" spans="1:39" ht="13.95" customHeight="1">
      <c r="B1520" s="904" t="s">
        <v>433</v>
      </c>
      <c r="C1520" s="807" t="s">
        <v>3454</v>
      </c>
      <c r="D1520" s="801">
        <v>200106376</v>
      </c>
      <c r="E1520" s="1485" t="s">
        <v>785</v>
      </c>
      <c r="F1520" s="3">
        <v>2</v>
      </c>
      <c r="G1520" s="3" t="s">
        <v>60</v>
      </c>
      <c r="H1520" s="3" t="s">
        <v>128</v>
      </c>
      <c r="I1520" s="762">
        <v>537.5</v>
      </c>
      <c r="J1520" s="786">
        <v>304.91000000000003</v>
      </c>
      <c r="K1520" s="761" t="s">
        <v>2411</v>
      </c>
      <c r="L1520" s="890">
        <v>45462</v>
      </c>
      <c r="M1520" s="890" t="s">
        <v>2411</v>
      </c>
      <c r="N1520" s="890">
        <v>45462</v>
      </c>
      <c r="O1520" s="3" t="s">
        <v>62</v>
      </c>
      <c r="P1520" s="4" t="s">
        <v>786</v>
      </c>
      <c r="Q1520" s="3" t="s">
        <v>787</v>
      </c>
      <c r="R1520" s="825"/>
      <c r="S1520" s="3" t="s">
        <v>130</v>
      </c>
      <c r="T1520" s="825"/>
      <c r="U1520" s="786">
        <v>320.89999999999998</v>
      </c>
      <c r="V1520" s="825"/>
      <c r="W1520" s="825"/>
      <c r="X1520" s="3" t="s">
        <v>2411</v>
      </c>
      <c r="Y1520" s="936">
        <v>45462</v>
      </c>
      <c r="Z1520" s="3" t="s">
        <v>62</v>
      </c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</row>
    <row r="1521" spans="1:39" ht="13.95" customHeight="1">
      <c r="B1521" s="904" t="s">
        <v>433</v>
      </c>
      <c r="C1521" s="807" t="s">
        <v>3454</v>
      </c>
      <c r="D1521" s="801">
        <v>200106377</v>
      </c>
      <c r="E1521" s="1485" t="s">
        <v>788</v>
      </c>
      <c r="F1521" s="3">
        <v>3</v>
      </c>
      <c r="G1521" s="3" t="s">
        <v>60</v>
      </c>
      <c r="H1521" s="3" t="s">
        <v>128</v>
      </c>
      <c r="I1521" s="762">
        <v>539.6</v>
      </c>
      <c r="J1521" s="786">
        <v>308</v>
      </c>
      <c r="K1521" s="761" t="s">
        <v>2411</v>
      </c>
      <c r="L1521" s="890">
        <v>45462</v>
      </c>
      <c r="M1521" s="890" t="s">
        <v>2411</v>
      </c>
      <c r="N1521" s="890">
        <v>45462</v>
      </c>
      <c r="O1521" s="3" t="s">
        <v>62</v>
      </c>
      <c r="P1521" s="4" t="s">
        <v>789</v>
      </c>
      <c r="Q1521" s="3" t="s">
        <v>790</v>
      </c>
      <c r="R1521" s="825"/>
      <c r="S1521" s="3" t="s">
        <v>130</v>
      </c>
      <c r="T1521" s="825"/>
      <c r="U1521" s="786">
        <v>324</v>
      </c>
      <c r="V1521" s="825"/>
      <c r="W1521" s="825"/>
      <c r="X1521" s="3" t="s">
        <v>2411</v>
      </c>
      <c r="Y1521" s="936">
        <v>45462</v>
      </c>
      <c r="Z1521" s="3" t="s">
        <v>62</v>
      </c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</row>
    <row r="1522" spans="1:39" ht="13.95" customHeight="1">
      <c r="B1522" s="904" t="s">
        <v>433</v>
      </c>
      <c r="C1522" s="807" t="s">
        <v>3454</v>
      </c>
      <c r="D1522" s="801">
        <v>200106378</v>
      </c>
      <c r="E1522" s="1485" t="s">
        <v>791</v>
      </c>
      <c r="F1522" s="3">
        <v>4</v>
      </c>
      <c r="G1522" s="3" t="s">
        <v>60</v>
      </c>
      <c r="H1522" s="3" t="s">
        <v>128</v>
      </c>
      <c r="I1522" s="786">
        <v>531.79999999999995</v>
      </c>
      <c r="J1522" s="786">
        <v>304.26</v>
      </c>
      <c r="K1522" s="761" t="s">
        <v>2411</v>
      </c>
      <c r="L1522" s="890">
        <v>45469</v>
      </c>
      <c r="M1522" s="890" t="s">
        <v>2411</v>
      </c>
      <c r="N1522" s="890">
        <v>45469</v>
      </c>
      <c r="O1522" s="3" t="s">
        <v>62</v>
      </c>
      <c r="P1522" s="4" t="s">
        <v>792</v>
      </c>
      <c r="Q1522" s="785" t="s">
        <v>793</v>
      </c>
      <c r="R1522" s="825"/>
      <c r="S1522" s="3" t="s">
        <v>130</v>
      </c>
      <c r="T1522" s="825"/>
      <c r="U1522" s="786">
        <v>320.10000000000002</v>
      </c>
      <c r="V1522" s="825"/>
      <c r="W1522" s="825"/>
      <c r="X1522" s="3" t="s">
        <v>2411</v>
      </c>
      <c r="Y1522" s="936">
        <v>45470</v>
      </c>
      <c r="Z1522" s="3" t="s">
        <v>62</v>
      </c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</row>
    <row r="1523" spans="1:39" ht="13.95" customHeight="1">
      <c r="B1523" s="904" t="s">
        <v>433</v>
      </c>
      <c r="C1523" s="807" t="s">
        <v>3454</v>
      </c>
      <c r="D1523" s="801">
        <v>200106568</v>
      </c>
      <c r="E1523" s="1485" t="s">
        <v>794</v>
      </c>
      <c r="F1523" s="3">
        <v>5</v>
      </c>
      <c r="G1523" s="3" t="s">
        <v>60</v>
      </c>
      <c r="H1523" s="3" t="s">
        <v>128</v>
      </c>
      <c r="I1523" s="786">
        <v>544.4</v>
      </c>
      <c r="J1523" s="786">
        <v>307.31</v>
      </c>
      <c r="K1523" s="761" t="s">
        <v>2411</v>
      </c>
      <c r="L1523" s="890">
        <v>45469</v>
      </c>
      <c r="M1523" s="890" t="s">
        <v>2411</v>
      </c>
      <c r="N1523" s="890">
        <v>45469</v>
      </c>
      <c r="O1523" s="3" t="s">
        <v>62</v>
      </c>
      <c r="P1523" s="931" t="s">
        <v>795</v>
      </c>
      <c r="Q1523" s="785" t="s">
        <v>796</v>
      </c>
      <c r="R1523" s="825"/>
      <c r="S1523" s="3" t="s">
        <v>130</v>
      </c>
      <c r="T1523" s="825"/>
      <c r="U1523" s="786">
        <v>323.2</v>
      </c>
      <c r="V1523" s="825"/>
      <c r="W1523" s="825"/>
      <c r="X1523" s="3" t="s">
        <v>2411</v>
      </c>
      <c r="Y1523" s="936">
        <v>45470</v>
      </c>
      <c r="Z1523" s="3" t="s">
        <v>62</v>
      </c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</row>
    <row r="1524" spans="1:39" ht="13.95" customHeight="1">
      <c r="B1524" s="904" t="s">
        <v>433</v>
      </c>
      <c r="C1524" s="807" t="s">
        <v>3454</v>
      </c>
      <c r="D1524" s="801">
        <v>200106569</v>
      </c>
      <c r="E1524" s="1485" t="s">
        <v>797</v>
      </c>
      <c r="F1524" s="3">
        <v>6</v>
      </c>
      <c r="G1524" s="3" t="s">
        <v>60</v>
      </c>
      <c r="H1524" s="3" t="s">
        <v>128</v>
      </c>
      <c r="I1524" s="786">
        <v>539.1</v>
      </c>
      <c r="J1524" s="786">
        <v>308</v>
      </c>
      <c r="K1524" s="761" t="s">
        <v>2411</v>
      </c>
      <c r="L1524" s="890">
        <v>45469</v>
      </c>
      <c r="M1524" s="890" t="s">
        <v>2411</v>
      </c>
      <c r="N1524" s="890">
        <v>45469</v>
      </c>
      <c r="O1524" s="3" t="s">
        <v>62</v>
      </c>
      <c r="P1524" s="4" t="s">
        <v>798</v>
      </c>
      <c r="Q1524" s="3" t="s">
        <v>799</v>
      </c>
      <c r="R1524" s="825"/>
      <c r="S1524" s="3" t="s">
        <v>130</v>
      </c>
      <c r="T1524" s="825"/>
      <c r="U1524" s="786">
        <v>323.89999999999998</v>
      </c>
      <c r="V1524" s="825"/>
      <c r="W1524" s="825"/>
      <c r="X1524" s="3" t="s">
        <v>2411</v>
      </c>
      <c r="Y1524" s="936">
        <v>45470</v>
      </c>
      <c r="Z1524" s="3" t="s">
        <v>62</v>
      </c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</row>
    <row r="1525" spans="1:39" ht="13.95" customHeight="1">
      <c r="B1525" s="904" t="s">
        <v>433</v>
      </c>
      <c r="C1525" s="807" t="s">
        <v>3454</v>
      </c>
      <c r="D1525" s="801">
        <v>200106570</v>
      </c>
      <c r="E1525" s="1485" t="s">
        <v>800</v>
      </c>
      <c r="F1525" s="3">
        <v>7</v>
      </c>
      <c r="G1525" s="3" t="s">
        <v>60</v>
      </c>
      <c r="H1525" s="3" t="s">
        <v>128</v>
      </c>
      <c r="I1525" s="858">
        <v>534.6</v>
      </c>
      <c r="J1525" s="858">
        <v>304.10000000000002</v>
      </c>
      <c r="K1525" s="761" t="s">
        <v>2512</v>
      </c>
      <c r="L1525" s="890">
        <v>45478</v>
      </c>
      <c r="M1525" s="890" t="s">
        <v>2512</v>
      </c>
      <c r="N1525" s="890">
        <v>45478</v>
      </c>
      <c r="O1525" s="3" t="s">
        <v>62</v>
      </c>
      <c r="P1525" s="931" t="s">
        <v>801</v>
      </c>
      <c r="Q1525" s="785" t="s">
        <v>802</v>
      </c>
      <c r="R1525" s="825"/>
      <c r="S1525" s="3" t="s">
        <v>130</v>
      </c>
      <c r="T1525" s="825"/>
      <c r="U1525" s="858">
        <v>320.2</v>
      </c>
      <c r="V1525" s="825"/>
      <c r="W1525" s="825"/>
      <c r="X1525" s="3" t="s">
        <v>2512</v>
      </c>
      <c r="Y1525" s="936">
        <v>45482</v>
      </c>
      <c r="Z1525" s="3" t="s">
        <v>62</v>
      </c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</row>
    <row r="1526" spans="1:39" ht="13.95" customHeight="1">
      <c r="B1526" s="904" t="s">
        <v>433</v>
      </c>
      <c r="C1526" s="807" t="s">
        <v>3454</v>
      </c>
      <c r="D1526" s="801">
        <v>200106571</v>
      </c>
      <c r="E1526" s="1485" t="s">
        <v>803</v>
      </c>
      <c r="F1526" s="3">
        <v>8</v>
      </c>
      <c r="G1526" s="3" t="s">
        <v>60</v>
      </c>
      <c r="H1526" s="3" t="s">
        <v>128</v>
      </c>
      <c r="I1526" s="858">
        <v>538.4</v>
      </c>
      <c r="J1526" s="858">
        <v>305.49</v>
      </c>
      <c r="K1526" s="761" t="s">
        <v>2512</v>
      </c>
      <c r="L1526" s="890">
        <v>45478</v>
      </c>
      <c r="M1526" s="890" t="s">
        <v>2512</v>
      </c>
      <c r="N1526" s="890">
        <v>45478</v>
      </c>
      <c r="O1526" s="3" t="s">
        <v>62</v>
      </c>
      <c r="P1526" s="4" t="s">
        <v>804</v>
      </c>
      <c r="Q1526" s="785" t="s">
        <v>805</v>
      </c>
      <c r="R1526" s="825"/>
      <c r="S1526" s="3" t="s">
        <v>130</v>
      </c>
      <c r="T1526" s="825"/>
      <c r="U1526" s="858">
        <v>321.5</v>
      </c>
      <c r="V1526" s="825"/>
      <c r="W1526" s="825"/>
      <c r="X1526" s="3" t="s">
        <v>2512</v>
      </c>
      <c r="Y1526" s="936">
        <v>45482</v>
      </c>
      <c r="Z1526" s="3" t="s">
        <v>62</v>
      </c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</row>
    <row r="1527" spans="1:39" ht="13.95" customHeight="1">
      <c r="B1527" s="904" t="s">
        <v>433</v>
      </c>
      <c r="C1527" s="807" t="s">
        <v>3454</v>
      </c>
      <c r="D1527" s="801">
        <v>200106572</v>
      </c>
      <c r="E1527" s="1485" t="s">
        <v>806</v>
      </c>
      <c r="F1527" s="3">
        <v>9</v>
      </c>
      <c r="G1527" s="3" t="s">
        <v>60</v>
      </c>
      <c r="H1527" s="3" t="s">
        <v>128</v>
      </c>
      <c r="I1527" s="858">
        <v>534.4</v>
      </c>
      <c r="J1527" s="858">
        <v>305.49</v>
      </c>
      <c r="K1527" s="761" t="s">
        <v>2512</v>
      </c>
      <c r="L1527" s="890">
        <v>45481</v>
      </c>
      <c r="M1527" s="890" t="s">
        <v>2512</v>
      </c>
      <c r="N1527" s="890">
        <v>45478</v>
      </c>
      <c r="O1527" s="3" t="s">
        <v>62</v>
      </c>
      <c r="P1527" s="4" t="s">
        <v>807</v>
      </c>
      <c r="Q1527" s="3" t="s">
        <v>808</v>
      </c>
      <c r="R1527" s="825"/>
      <c r="S1527" s="3" t="s">
        <v>130</v>
      </c>
      <c r="T1527" s="825"/>
      <c r="U1527" s="858">
        <v>323.8</v>
      </c>
      <c r="V1527" s="825"/>
      <c r="W1527" s="825"/>
      <c r="X1527" s="3" t="s">
        <v>2512</v>
      </c>
      <c r="Y1527" s="936">
        <v>45483</v>
      </c>
      <c r="Z1527" s="3" t="s">
        <v>62</v>
      </c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</row>
    <row r="1528" spans="1:39" ht="13.95" customHeight="1">
      <c r="B1528" s="904" t="s">
        <v>433</v>
      </c>
      <c r="C1528" s="807" t="s">
        <v>3454</v>
      </c>
      <c r="D1528" s="801">
        <v>200106573</v>
      </c>
      <c r="E1528" s="1485" t="s">
        <v>809</v>
      </c>
      <c r="F1528" s="3">
        <v>10</v>
      </c>
      <c r="G1528" s="3" t="s">
        <v>60</v>
      </c>
      <c r="H1528" s="3" t="s">
        <v>128</v>
      </c>
      <c r="I1528" s="858">
        <v>533.79999999999995</v>
      </c>
      <c r="J1528" s="858">
        <v>306.07</v>
      </c>
      <c r="K1528" s="761" t="s">
        <v>2512</v>
      </c>
      <c r="L1528" s="890">
        <v>45484</v>
      </c>
      <c r="M1528" s="890" t="s">
        <v>2512</v>
      </c>
      <c r="N1528" s="890">
        <v>45481</v>
      </c>
      <c r="O1528" s="3" t="s">
        <v>62</v>
      </c>
      <c r="P1528" s="785" t="s">
        <v>810</v>
      </c>
      <c r="Q1528" s="785" t="s">
        <v>811</v>
      </c>
      <c r="R1528" s="825"/>
      <c r="S1528" s="3" t="s">
        <v>130</v>
      </c>
      <c r="T1528" s="825"/>
      <c r="U1528" s="858">
        <v>322</v>
      </c>
      <c r="V1528" s="825"/>
      <c r="W1528" s="825"/>
      <c r="X1528" s="3" t="s">
        <v>2512</v>
      </c>
      <c r="Y1528" s="936">
        <v>45483</v>
      </c>
      <c r="Z1528" s="3" t="s">
        <v>62</v>
      </c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</row>
    <row r="1529" spans="1:39" s="709" customFormat="1" ht="15" customHeight="1">
      <c r="A1529" s="920"/>
      <c r="B1529" s="921"/>
      <c r="C1529" s="926" t="s">
        <v>4301</v>
      </c>
      <c r="D1529" s="923"/>
      <c r="E1529" s="924"/>
      <c r="F1529" s="925"/>
      <c r="G1529" s="925"/>
      <c r="H1529" s="925"/>
      <c r="I1529" s="925"/>
      <c r="J1529" s="925"/>
      <c r="K1529" s="925"/>
      <c r="L1529" s="929"/>
      <c r="M1529" s="929"/>
      <c r="N1529" s="929"/>
      <c r="O1529" s="925"/>
      <c r="P1529" s="925"/>
      <c r="Q1529" s="925"/>
      <c r="R1529" s="925"/>
      <c r="S1529" s="925"/>
      <c r="T1529" s="925"/>
      <c r="U1529" s="925"/>
      <c r="V1529" s="930"/>
      <c r="W1529" s="929"/>
      <c r="X1529" s="929"/>
      <c r="Y1529" s="929"/>
      <c r="Z1529" s="925"/>
      <c r="AA1529" s="930"/>
      <c r="AB1529" s="930"/>
      <c r="AC1529" s="930"/>
      <c r="AD1529" s="930"/>
      <c r="AE1529" s="930"/>
      <c r="AF1529" s="930"/>
      <c r="AG1529" s="930"/>
      <c r="AH1529" s="930"/>
      <c r="AI1529" s="930"/>
      <c r="AJ1529" s="930"/>
      <c r="AK1529" s="930"/>
      <c r="AL1529" s="930"/>
      <c r="AM1529" s="930"/>
    </row>
    <row r="1530" spans="1:39" ht="13.95" customHeight="1">
      <c r="B1530" s="904" t="s">
        <v>100</v>
      </c>
      <c r="C1530" s="807" t="s">
        <v>3454</v>
      </c>
      <c r="D1530" s="801">
        <v>200106920</v>
      </c>
      <c r="E1530" s="1485" t="s">
        <v>812</v>
      </c>
      <c r="F1530" s="3">
        <v>1</v>
      </c>
      <c r="G1530" s="3" t="s">
        <v>128</v>
      </c>
      <c r="H1530" s="3" t="s">
        <v>128</v>
      </c>
      <c r="I1530" s="858">
        <v>539.4</v>
      </c>
      <c r="J1530" s="858">
        <v>305.77</v>
      </c>
      <c r="K1530" s="761" t="s">
        <v>2512</v>
      </c>
      <c r="L1530" s="890">
        <v>45498</v>
      </c>
      <c r="M1530" s="890" t="s">
        <v>2512</v>
      </c>
      <c r="N1530" s="890">
        <v>45499</v>
      </c>
      <c r="O1530" s="3" t="s">
        <v>62</v>
      </c>
      <c r="P1530" s="785" t="s">
        <v>813</v>
      </c>
      <c r="Q1530" s="785" t="s">
        <v>814</v>
      </c>
      <c r="R1530" s="825"/>
      <c r="S1530" s="3" t="s">
        <v>130</v>
      </c>
      <c r="T1530" s="825"/>
      <c r="U1530" s="858">
        <v>321.60000000000002</v>
      </c>
      <c r="V1530" s="825"/>
      <c r="W1530" s="825"/>
      <c r="X1530" s="3" t="s">
        <v>2512</v>
      </c>
      <c r="Y1530" s="936">
        <v>45499</v>
      </c>
      <c r="Z1530" s="3" t="s">
        <v>62</v>
      </c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</row>
    <row r="1531" spans="1:39" ht="13.95" customHeight="1">
      <c r="B1531" s="904" t="s">
        <v>100</v>
      </c>
      <c r="C1531" s="807" t="s">
        <v>3454</v>
      </c>
      <c r="D1531" s="801">
        <v>200106921</v>
      </c>
      <c r="E1531" s="1485" t="s">
        <v>815</v>
      </c>
      <c r="F1531" s="3">
        <v>2</v>
      </c>
      <c r="G1531" s="3" t="s">
        <v>128</v>
      </c>
      <c r="H1531" s="3" t="s">
        <v>128</v>
      </c>
      <c r="I1531" s="858">
        <v>538.5</v>
      </c>
      <c r="J1531" s="858">
        <v>307.14999999999998</v>
      </c>
      <c r="K1531" s="761" t="s">
        <v>2512</v>
      </c>
      <c r="L1531" s="890">
        <v>45498</v>
      </c>
      <c r="M1531" s="890" t="s">
        <v>2512</v>
      </c>
      <c r="N1531" s="890">
        <v>45499</v>
      </c>
      <c r="O1531" s="3" t="s">
        <v>62</v>
      </c>
      <c r="P1531" s="3" t="s">
        <v>816</v>
      </c>
      <c r="Q1531" s="785" t="s">
        <v>817</v>
      </c>
      <c r="R1531" s="825"/>
      <c r="S1531" s="3" t="s">
        <v>130</v>
      </c>
      <c r="T1531" s="825"/>
      <c r="U1531" s="858">
        <v>323</v>
      </c>
      <c r="V1531" s="825"/>
      <c r="W1531" s="825"/>
      <c r="X1531" s="3" t="s">
        <v>2512</v>
      </c>
      <c r="Y1531" s="936">
        <v>45499</v>
      </c>
      <c r="Z1531" s="3" t="s">
        <v>62</v>
      </c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</row>
    <row r="1532" spans="1:39" ht="13.95" customHeight="1">
      <c r="B1532" s="904" t="s">
        <v>100</v>
      </c>
      <c r="C1532" s="807" t="s">
        <v>3454</v>
      </c>
      <c r="D1532" s="801">
        <v>200106922</v>
      </c>
      <c r="E1532" s="1485" t="s">
        <v>818</v>
      </c>
      <c r="F1532" s="3">
        <v>3</v>
      </c>
      <c r="G1532" s="3" t="s">
        <v>60</v>
      </c>
      <c r="H1532" s="3" t="s">
        <v>128</v>
      </c>
      <c r="I1532" s="762">
        <v>535.6</v>
      </c>
      <c r="J1532" s="762">
        <v>303</v>
      </c>
      <c r="K1532" s="761" t="s">
        <v>2512</v>
      </c>
      <c r="L1532" s="890">
        <v>45502</v>
      </c>
      <c r="M1532" s="890" t="s">
        <v>2512</v>
      </c>
      <c r="N1532" s="890">
        <v>45502</v>
      </c>
      <c r="O1532" s="3" t="s">
        <v>62</v>
      </c>
      <c r="P1532" s="3" t="s">
        <v>819</v>
      </c>
      <c r="Q1532" s="3" t="s">
        <v>820</v>
      </c>
      <c r="R1532" s="825"/>
      <c r="S1532" s="3" t="s">
        <v>130</v>
      </c>
      <c r="T1532" s="825"/>
      <c r="U1532" s="762">
        <v>319.60000000000002</v>
      </c>
      <c r="V1532" s="825"/>
      <c r="W1532" s="825"/>
      <c r="X1532" s="3" t="s">
        <v>2512</v>
      </c>
      <c r="Y1532" s="936">
        <v>45502</v>
      </c>
      <c r="Z1532" s="3" t="s">
        <v>62</v>
      </c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</row>
    <row r="1533" spans="1:39" ht="13.95" customHeight="1">
      <c r="B1533" s="904" t="s">
        <v>100</v>
      </c>
      <c r="C1533" s="807" t="s">
        <v>3454</v>
      </c>
      <c r="D1533" s="801">
        <v>200106923</v>
      </c>
      <c r="E1533" s="1485" t="s">
        <v>821</v>
      </c>
      <c r="F1533" s="3">
        <v>4</v>
      </c>
      <c r="G1533" s="3" t="s">
        <v>60</v>
      </c>
      <c r="H1533" s="3" t="s">
        <v>128</v>
      </c>
      <c r="I1533" s="762">
        <v>540.1</v>
      </c>
      <c r="J1533" s="762">
        <v>306.52999999999997</v>
      </c>
      <c r="K1533" s="761" t="s">
        <v>2512</v>
      </c>
      <c r="L1533" s="890">
        <v>45502</v>
      </c>
      <c r="M1533" s="890" t="s">
        <v>2512</v>
      </c>
      <c r="N1533" s="890">
        <v>45502</v>
      </c>
      <c r="O1533" s="3" t="s">
        <v>62</v>
      </c>
      <c r="P1533" s="4" t="s">
        <v>822</v>
      </c>
      <c r="Q1533" s="3" t="s">
        <v>823</v>
      </c>
      <c r="R1533" s="825"/>
      <c r="S1533" s="3" t="s">
        <v>130</v>
      </c>
      <c r="T1533" s="825"/>
      <c r="U1533" s="762">
        <v>323.10000000000002</v>
      </c>
      <c r="V1533" s="825"/>
      <c r="W1533" s="825"/>
      <c r="X1533" s="3" t="s">
        <v>2512</v>
      </c>
      <c r="Y1533" s="936">
        <v>45502</v>
      </c>
      <c r="Z1533" s="3" t="s">
        <v>62</v>
      </c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</row>
    <row r="1534" spans="1:39" ht="13.95" customHeight="1">
      <c r="B1534" s="904" t="s">
        <v>100</v>
      </c>
      <c r="C1534" s="807" t="s">
        <v>3454</v>
      </c>
      <c r="D1534" s="801">
        <v>200106924</v>
      </c>
      <c r="E1534" s="1485" t="s">
        <v>824</v>
      </c>
      <c r="F1534" s="3">
        <v>5</v>
      </c>
      <c r="G1534" s="3" t="s">
        <v>60</v>
      </c>
      <c r="H1534" s="3" t="s">
        <v>128</v>
      </c>
      <c r="I1534" s="762">
        <v>538.5</v>
      </c>
      <c r="J1534" s="762">
        <v>307.51</v>
      </c>
      <c r="K1534" s="761" t="s">
        <v>2512</v>
      </c>
      <c r="L1534" s="890">
        <v>45502</v>
      </c>
      <c r="M1534" s="890" t="s">
        <v>2512</v>
      </c>
      <c r="N1534" s="890">
        <v>45502</v>
      </c>
      <c r="O1534" s="3" t="s">
        <v>62</v>
      </c>
      <c r="P1534" s="4" t="s">
        <v>825</v>
      </c>
      <c r="Q1534" s="3" t="s">
        <v>826</v>
      </c>
      <c r="R1534" s="825"/>
      <c r="S1534" s="3" t="s">
        <v>130</v>
      </c>
      <c r="T1534" s="825"/>
      <c r="U1534" s="762">
        <v>323.7</v>
      </c>
      <c r="V1534" s="825"/>
      <c r="W1534" s="825"/>
      <c r="X1534" s="3" t="s">
        <v>2512</v>
      </c>
      <c r="Y1534" s="936">
        <v>45502</v>
      </c>
      <c r="Z1534" s="3" t="s">
        <v>62</v>
      </c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</row>
    <row r="1535" spans="1:39" ht="13.95" customHeight="1">
      <c r="B1535" s="904" t="s">
        <v>100</v>
      </c>
      <c r="C1535" s="807" t="s">
        <v>3454</v>
      </c>
      <c r="D1535" s="801">
        <v>200106946</v>
      </c>
      <c r="E1535" s="1485" t="s">
        <v>827</v>
      </c>
      <c r="F1535" s="3">
        <v>6</v>
      </c>
      <c r="G1535" s="3" t="s">
        <v>60</v>
      </c>
      <c r="H1535" s="3" t="s">
        <v>128</v>
      </c>
      <c r="I1535" s="762">
        <v>535.70000000000005</v>
      </c>
      <c r="J1535" s="762">
        <v>305.27999999999997</v>
      </c>
      <c r="K1535" s="761" t="s">
        <v>2512</v>
      </c>
      <c r="L1535" s="890">
        <v>45503</v>
      </c>
      <c r="M1535" s="890" t="s">
        <v>2512</v>
      </c>
      <c r="N1535" s="890">
        <v>45502</v>
      </c>
      <c r="O1535" s="3" t="s">
        <v>62</v>
      </c>
      <c r="P1535" s="4" t="s">
        <v>828</v>
      </c>
      <c r="Q1535" s="3" t="s">
        <v>829</v>
      </c>
      <c r="R1535" s="825"/>
      <c r="S1535" s="3" t="s">
        <v>130</v>
      </c>
      <c r="T1535" s="825"/>
      <c r="U1535" s="762">
        <v>321.5</v>
      </c>
      <c r="V1535" s="825"/>
      <c r="W1535" s="825"/>
      <c r="X1535" s="3" t="s">
        <v>2512</v>
      </c>
      <c r="Y1535" s="936">
        <v>45502</v>
      </c>
      <c r="Z1535" s="3" t="s">
        <v>62</v>
      </c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</row>
    <row r="1536" spans="1:39" ht="13.95" customHeight="1">
      <c r="B1536" s="904" t="s">
        <v>100</v>
      </c>
      <c r="C1536" s="807" t="s">
        <v>3454</v>
      </c>
      <c r="D1536" s="801">
        <v>200106947</v>
      </c>
      <c r="E1536" s="1485" t="s">
        <v>830</v>
      </c>
      <c r="F1536" s="3">
        <v>7</v>
      </c>
      <c r="G1536" s="3" t="s">
        <v>60</v>
      </c>
      <c r="H1536" s="3" t="s">
        <v>128</v>
      </c>
      <c r="I1536" s="762">
        <v>537.6</v>
      </c>
      <c r="J1536" s="762">
        <v>308.06</v>
      </c>
      <c r="K1536" s="761" t="s">
        <v>2512</v>
      </c>
      <c r="L1536" s="890">
        <v>45503</v>
      </c>
      <c r="M1536" s="890" t="s">
        <v>2512</v>
      </c>
      <c r="N1536" s="890">
        <v>45502</v>
      </c>
      <c r="O1536" s="3" t="s">
        <v>62</v>
      </c>
      <c r="P1536" s="4" t="s">
        <v>831</v>
      </c>
      <c r="Q1536" s="3" t="s">
        <v>832</v>
      </c>
      <c r="R1536" s="825"/>
      <c r="S1536" s="3" t="s">
        <v>130</v>
      </c>
      <c r="T1536" s="825"/>
      <c r="U1536" s="762">
        <v>323.60000000000002</v>
      </c>
      <c r="V1536" s="825"/>
      <c r="W1536" s="825"/>
      <c r="X1536" s="3" t="s">
        <v>2512</v>
      </c>
      <c r="Y1536" s="936">
        <v>45503</v>
      </c>
      <c r="Z1536" s="3" t="s">
        <v>62</v>
      </c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</row>
    <row r="1537" spans="1:39" ht="13.95" customHeight="1">
      <c r="B1537" s="904" t="s">
        <v>100</v>
      </c>
      <c r="C1537" s="807" t="s">
        <v>3454</v>
      </c>
      <c r="D1537" s="801">
        <v>200106948</v>
      </c>
      <c r="E1537" s="1485" t="s">
        <v>833</v>
      </c>
      <c r="F1537" s="3">
        <v>8</v>
      </c>
      <c r="G1537" s="3" t="s">
        <v>60</v>
      </c>
      <c r="H1537" s="3" t="s">
        <v>128</v>
      </c>
      <c r="I1537" s="762">
        <v>537.70000000000005</v>
      </c>
      <c r="J1537" s="762">
        <v>306.95</v>
      </c>
      <c r="K1537" s="761" t="s">
        <v>2512</v>
      </c>
      <c r="L1537" s="890">
        <v>45503</v>
      </c>
      <c r="M1537" s="890" t="s">
        <v>2512</v>
      </c>
      <c r="N1537" s="890">
        <v>45504</v>
      </c>
      <c r="O1537" s="3" t="s">
        <v>62</v>
      </c>
      <c r="P1537" s="4" t="s">
        <v>834</v>
      </c>
      <c r="Q1537" s="3" t="s">
        <v>835</v>
      </c>
      <c r="R1537" s="825"/>
      <c r="S1537" s="3" t="s">
        <v>130</v>
      </c>
      <c r="T1537" s="825"/>
      <c r="U1537" s="865">
        <v>322.8</v>
      </c>
      <c r="V1537" s="825"/>
      <c r="W1537" s="825"/>
      <c r="X1537" s="3" t="s">
        <v>2556</v>
      </c>
      <c r="Y1537" s="936">
        <v>45505</v>
      </c>
      <c r="Z1537" s="3" t="s">
        <v>62</v>
      </c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</row>
    <row r="1538" spans="1:39" ht="13.95" customHeight="1">
      <c r="B1538" s="904" t="s">
        <v>100</v>
      </c>
      <c r="C1538" s="807" t="s">
        <v>3454</v>
      </c>
      <c r="D1538" s="801">
        <v>200106949</v>
      </c>
      <c r="E1538" s="1485" t="s">
        <v>836</v>
      </c>
      <c r="F1538" s="3">
        <v>9</v>
      </c>
      <c r="G1538" s="3" t="s">
        <v>60</v>
      </c>
      <c r="H1538" s="3" t="s">
        <v>128</v>
      </c>
      <c r="I1538" s="858">
        <v>529.1</v>
      </c>
      <c r="J1538" s="865">
        <v>306.27</v>
      </c>
      <c r="K1538" s="761" t="s">
        <v>2556</v>
      </c>
      <c r="L1538" s="890">
        <v>45519</v>
      </c>
      <c r="M1538" s="890" t="s">
        <v>2556</v>
      </c>
      <c r="N1538" s="890">
        <v>45519</v>
      </c>
      <c r="O1538" s="3" t="s">
        <v>62</v>
      </c>
      <c r="P1538" s="4" t="s">
        <v>837</v>
      </c>
      <c r="Q1538" s="3" t="s">
        <v>838</v>
      </c>
      <c r="R1538" s="825"/>
      <c r="S1538" s="3" t="s">
        <v>130</v>
      </c>
      <c r="T1538" s="825"/>
      <c r="U1538" s="865">
        <v>322.10000000000002</v>
      </c>
      <c r="V1538" s="825"/>
      <c r="W1538" s="825"/>
      <c r="X1538" s="3" t="s">
        <v>2556</v>
      </c>
      <c r="Y1538" s="936">
        <v>45521</v>
      </c>
      <c r="Z1538" s="3" t="s">
        <v>62</v>
      </c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</row>
    <row r="1539" spans="1:39" ht="13.95" customHeight="1">
      <c r="B1539" s="904" t="s">
        <v>100</v>
      </c>
      <c r="C1539" s="807" t="s">
        <v>3454</v>
      </c>
      <c r="D1539" s="801">
        <v>200106950</v>
      </c>
      <c r="E1539" s="1485" t="s">
        <v>839</v>
      </c>
      <c r="F1539" s="3">
        <v>10</v>
      </c>
      <c r="G1539" s="3" t="s">
        <v>60</v>
      </c>
      <c r="H1539" s="3" t="s">
        <v>128</v>
      </c>
      <c r="I1539" s="858">
        <v>542.79999999999995</v>
      </c>
      <c r="J1539" s="865">
        <v>308</v>
      </c>
      <c r="K1539" s="761" t="s">
        <v>2556</v>
      </c>
      <c r="L1539" s="890">
        <v>45519</v>
      </c>
      <c r="M1539" s="890" t="s">
        <v>2556</v>
      </c>
      <c r="N1539" s="890">
        <v>45519</v>
      </c>
      <c r="O1539" s="3" t="s">
        <v>62</v>
      </c>
      <c r="P1539" s="4" t="s">
        <v>840</v>
      </c>
      <c r="Q1539" s="3" t="s">
        <v>841</v>
      </c>
      <c r="R1539" s="825"/>
      <c r="S1539" s="3" t="s">
        <v>130</v>
      </c>
      <c r="T1539" s="825"/>
      <c r="U1539" s="865">
        <v>324.10000000000002</v>
      </c>
      <c r="V1539" s="825"/>
      <c r="W1539" s="825"/>
      <c r="X1539" s="3" t="s">
        <v>2556</v>
      </c>
      <c r="Y1539" s="936">
        <v>45521</v>
      </c>
      <c r="Z1539" s="3" t="s">
        <v>62</v>
      </c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</row>
    <row r="1540" spans="1:39" s="709" customFormat="1" ht="15" customHeight="1">
      <c r="A1540" s="920"/>
      <c r="B1540" s="921"/>
      <c r="C1540" s="937" t="s">
        <v>3453</v>
      </c>
      <c r="D1540" s="923"/>
      <c r="E1540" s="924"/>
      <c r="F1540" s="925"/>
      <c r="G1540" s="925"/>
      <c r="H1540" s="925"/>
      <c r="I1540" s="925"/>
      <c r="J1540" s="925"/>
      <c r="K1540" s="925"/>
      <c r="L1540" s="940"/>
      <c r="M1540" s="940"/>
      <c r="N1540" s="940"/>
      <c r="O1540" s="925"/>
      <c r="P1540" s="925"/>
      <c r="Q1540" s="925"/>
      <c r="R1540" s="925"/>
      <c r="S1540" s="925"/>
      <c r="T1540" s="925"/>
      <c r="U1540" s="925"/>
      <c r="V1540" s="930"/>
      <c r="W1540" s="929"/>
      <c r="X1540" s="929"/>
      <c r="Y1540" s="945"/>
      <c r="Z1540" s="925"/>
      <c r="AA1540" s="930"/>
      <c r="AB1540" s="930"/>
      <c r="AC1540" s="930"/>
      <c r="AD1540" s="930"/>
      <c r="AE1540" s="930"/>
      <c r="AF1540" s="930"/>
      <c r="AG1540" s="930"/>
      <c r="AH1540" s="930"/>
      <c r="AI1540" s="930"/>
      <c r="AJ1540" s="930"/>
      <c r="AK1540" s="930"/>
      <c r="AL1540" s="930"/>
      <c r="AM1540" s="930"/>
    </row>
    <row r="1541" spans="1:39" ht="13.95" customHeight="1">
      <c r="B1541" s="904" t="s">
        <v>4302</v>
      </c>
      <c r="C1541" s="807" t="s">
        <v>3454</v>
      </c>
      <c r="D1541" s="801">
        <v>200107201</v>
      </c>
      <c r="E1541" s="1485" t="s">
        <v>842</v>
      </c>
      <c r="F1541" s="3">
        <v>1</v>
      </c>
      <c r="G1541" s="3" t="s">
        <v>60</v>
      </c>
      <c r="H1541" s="3" t="s">
        <v>128</v>
      </c>
      <c r="I1541" s="865">
        <v>536</v>
      </c>
      <c r="J1541" s="858">
        <v>304.07</v>
      </c>
      <c r="K1541" s="761" t="s">
        <v>2556</v>
      </c>
      <c r="L1541" s="890">
        <v>45521</v>
      </c>
      <c r="M1541" s="890" t="s">
        <v>2556</v>
      </c>
      <c r="N1541" s="890">
        <v>45523</v>
      </c>
      <c r="O1541" s="3" t="s">
        <v>62</v>
      </c>
      <c r="P1541" s="4" t="s">
        <v>843</v>
      </c>
      <c r="Q1541" s="785" t="s">
        <v>844</v>
      </c>
      <c r="R1541" s="825"/>
      <c r="S1541" s="3" t="s">
        <v>130</v>
      </c>
      <c r="T1541" s="825"/>
      <c r="U1541" s="858">
        <v>319.60000000000002</v>
      </c>
      <c r="V1541" s="825"/>
      <c r="W1541" s="825"/>
      <c r="X1541" s="3" t="s">
        <v>2556</v>
      </c>
      <c r="Y1541" s="936">
        <v>45523</v>
      </c>
      <c r="Z1541" s="3" t="s">
        <v>62</v>
      </c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</row>
    <row r="1542" spans="1:39" ht="13.95" customHeight="1">
      <c r="B1542" s="904" t="s">
        <v>4302</v>
      </c>
      <c r="C1542" s="807" t="s">
        <v>3454</v>
      </c>
      <c r="D1542" s="801">
        <v>200107202</v>
      </c>
      <c r="E1542" s="1485" t="s">
        <v>845</v>
      </c>
      <c r="F1542" s="3">
        <v>2</v>
      </c>
      <c r="G1542" s="3" t="s">
        <v>60</v>
      </c>
      <c r="H1542" s="3" t="s">
        <v>128</v>
      </c>
      <c r="I1542" s="865">
        <v>535.70000000000005</v>
      </c>
      <c r="J1542" s="858">
        <v>304.51</v>
      </c>
      <c r="K1542" s="761" t="s">
        <v>2556</v>
      </c>
      <c r="L1542" s="890">
        <v>45524</v>
      </c>
      <c r="M1542" s="890" t="s">
        <v>2556</v>
      </c>
      <c r="N1542" s="890">
        <v>45523</v>
      </c>
      <c r="O1542" s="3" t="s">
        <v>62</v>
      </c>
      <c r="P1542" s="785" t="s">
        <v>846</v>
      </c>
      <c r="Q1542" s="785" t="s">
        <v>847</v>
      </c>
      <c r="R1542" s="825"/>
      <c r="S1542" s="3" t="s">
        <v>130</v>
      </c>
      <c r="T1542" s="825"/>
      <c r="U1542" s="865">
        <v>322.39999999999998</v>
      </c>
      <c r="V1542" s="825"/>
      <c r="W1542" s="825"/>
      <c r="X1542" s="3" t="s">
        <v>2556</v>
      </c>
      <c r="Y1542" s="936">
        <v>45523</v>
      </c>
      <c r="Z1542" s="3" t="s">
        <v>62</v>
      </c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</row>
    <row r="1543" spans="1:39" ht="13.95" customHeight="1">
      <c r="B1543" s="904" t="s">
        <v>4302</v>
      </c>
      <c r="C1543" s="807" t="s">
        <v>3454</v>
      </c>
      <c r="D1543" s="801">
        <v>200107203</v>
      </c>
      <c r="E1543" s="1485" t="s">
        <v>848</v>
      </c>
      <c r="F1543" s="3">
        <v>3</v>
      </c>
      <c r="G1543" s="3" t="s">
        <v>60</v>
      </c>
      <c r="H1543" s="3" t="s">
        <v>128</v>
      </c>
      <c r="I1543" s="865">
        <v>537.29999999999995</v>
      </c>
      <c r="J1543" s="865">
        <f>149.76+156.26</f>
        <v>306.02</v>
      </c>
      <c r="K1543" s="761" t="s">
        <v>2556</v>
      </c>
      <c r="L1543" s="890">
        <v>45524</v>
      </c>
      <c r="M1543" s="890" t="s">
        <v>2556</v>
      </c>
      <c r="N1543" s="890">
        <v>45523</v>
      </c>
      <c r="O1543" s="3" t="s">
        <v>62</v>
      </c>
      <c r="P1543" s="3" t="s">
        <v>849</v>
      </c>
      <c r="Q1543" s="3" t="s">
        <v>850</v>
      </c>
      <c r="R1543" s="825"/>
      <c r="S1543" s="3" t="s">
        <v>130</v>
      </c>
      <c r="T1543" s="825"/>
      <c r="U1543" s="865">
        <v>320.60000000000002</v>
      </c>
      <c r="V1543" s="825"/>
      <c r="W1543" s="825"/>
      <c r="X1543" s="3" t="s">
        <v>2556</v>
      </c>
      <c r="Y1543" s="936">
        <v>45523</v>
      </c>
      <c r="Z1543" s="3" t="s">
        <v>62</v>
      </c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</row>
    <row r="1544" spans="1:39" ht="13.95" customHeight="1">
      <c r="B1544" s="904" t="s">
        <v>4302</v>
      </c>
      <c r="C1544" s="807" t="s">
        <v>3454</v>
      </c>
      <c r="D1544" s="801">
        <v>200107204</v>
      </c>
      <c r="E1544" s="1485" t="s">
        <v>851</v>
      </c>
      <c r="F1544" s="3">
        <v>4</v>
      </c>
      <c r="G1544" s="3" t="s">
        <v>60</v>
      </c>
      <c r="H1544" s="3" t="s">
        <v>128</v>
      </c>
      <c r="I1544" s="865">
        <f>132.4+137.7+134.9+136.7</f>
        <v>541.70000000000005</v>
      </c>
      <c r="J1544" s="865">
        <f>51.38+52.04+46+50.71+55.25+52.34</f>
        <v>307.72000000000003</v>
      </c>
      <c r="K1544" s="761" t="s">
        <v>2556</v>
      </c>
      <c r="L1544" s="890">
        <v>45524</v>
      </c>
      <c r="M1544" s="890" t="s">
        <v>2556</v>
      </c>
      <c r="N1544" s="890">
        <v>45523</v>
      </c>
      <c r="O1544" s="3" t="s">
        <v>62</v>
      </c>
      <c r="P1544" s="3" t="s">
        <v>852</v>
      </c>
      <c r="Q1544" s="3" t="s">
        <v>853</v>
      </c>
      <c r="R1544" s="825"/>
      <c r="S1544" s="3" t="s">
        <v>130</v>
      </c>
      <c r="T1544" s="825"/>
      <c r="U1544" s="865">
        <v>322.8</v>
      </c>
      <c r="V1544" s="825"/>
      <c r="W1544" s="825"/>
      <c r="X1544" s="3" t="s">
        <v>2556</v>
      </c>
      <c r="Y1544" s="936">
        <v>45523</v>
      </c>
      <c r="Z1544" s="3" t="s">
        <v>62</v>
      </c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</row>
    <row r="1545" spans="1:39" ht="13.95" customHeight="1">
      <c r="B1545" s="904" t="s">
        <v>4302</v>
      </c>
      <c r="C1545" s="807" t="s">
        <v>3454</v>
      </c>
      <c r="D1545" s="801">
        <v>200107283</v>
      </c>
      <c r="E1545" s="1485" t="s">
        <v>855</v>
      </c>
      <c r="F1545" s="3">
        <v>5</v>
      </c>
      <c r="G1545" s="3" t="s">
        <v>60</v>
      </c>
      <c r="H1545" s="3" t="s">
        <v>128</v>
      </c>
      <c r="I1545" s="858">
        <v>533.20000000000005</v>
      </c>
      <c r="J1545" s="865">
        <v>301.69</v>
      </c>
      <c r="K1545" s="761" t="s">
        <v>2556</v>
      </c>
      <c r="L1545" s="890">
        <v>45526</v>
      </c>
      <c r="M1545" s="890" t="s">
        <v>2556</v>
      </c>
      <c r="N1545" s="890">
        <v>45526</v>
      </c>
      <c r="O1545" s="3" t="s">
        <v>62</v>
      </c>
      <c r="P1545" s="4" t="s">
        <v>856</v>
      </c>
      <c r="Q1545" s="3" t="s">
        <v>857</v>
      </c>
      <c r="R1545" s="825"/>
      <c r="S1545" s="3" t="s">
        <v>130</v>
      </c>
      <c r="T1545" s="825"/>
      <c r="U1545" s="865">
        <v>317.7</v>
      </c>
      <c r="V1545" s="825"/>
      <c r="W1545" s="825"/>
      <c r="X1545" s="3" t="s">
        <v>2556</v>
      </c>
      <c r="Y1545" s="936">
        <v>45526</v>
      </c>
      <c r="Z1545" s="3" t="s">
        <v>62</v>
      </c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</row>
    <row r="1546" spans="1:39" ht="13.95" customHeight="1">
      <c r="B1546" s="904" t="s">
        <v>4302</v>
      </c>
      <c r="C1546" s="807" t="s">
        <v>3454</v>
      </c>
      <c r="D1546" s="801">
        <v>200107285</v>
      </c>
      <c r="E1546" s="1485" t="s">
        <v>858</v>
      </c>
      <c r="F1546" s="3">
        <v>6</v>
      </c>
      <c r="G1546" s="3" t="s">
        <v>60</v>
      </c>
      <c r="H1546" s="3" t="s">
        <v>128</v>
      </c>
      <c r="I1546" s="858">
        <v>531.1</v>
      </c>
      <c r="J1546" s="865">
        <f>152.78+152.38</f>
        <v>305.15999999999997</v>
      </c>
      <c r="K1546" s="761" t="s">
        <v>2556</v>
      </c>
      <c r="L1546" s="890">
        <v>45530</v>
      </c>
      <c r="M1546" s="890" t="s">
        <v>2556</v>
      </c>
      <c r="N1546" s="890">
        <v>45526</v>
      </c>
      <c r="O1546" s="3" t="s">
        <v>62</v>
      </c>
      <c r="P1546" s="4" t="s">
        <v>859</v>
      </c>
      <c r="Q1546" s="3" t="s">
        <v>860</v>
      </c>
      <c r="R1546" s="825"/>
      <c r="S1546" s="3" t="s">
        <v>130</v>
      </c>
      <c r="T1546" s="825"/>
      <c r="U1546" s="858">
        <v>321.3</v>
      </c>
      <c r="V1546" s="825"/>
      <c r="W1546" s="825"/>
      <c r="X1546" s="3" t="s">
        <v>2556</v>
      </c>
      <c r="Y1546" s="936">
        <v>45526</v>
      </c>
      <c r="Z1546" s="3" t="s">
        <v>62</v>
      </c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</row>
    <row r="1547" spans="1:39" ht="13.95" customHeight="1">
      <c r="B1547" s="904" t="s">
        <v>4302</v>
      </c>
      <c r="C1547" s="807" t="s">
        <v>3454</v>
      </c>
      <c r="D1547" s="801">
        <v>200107286</v>
      </c>
      <c r="E1547" s="1485" t="s">
        <v>861</v>
      </c>
      <c r="F1547" s="3">
        <v>7</v>
      </c>
      <c r="G1547" s="3" t="s">
        <v>60</v>
      </c>
      <c r="H1547" s="3" t="s">
        <v>128</v>
      </c>
      <c r="I1547" s="859">
        <v>536</v>
      </c>
      <c r="J1547" s="858">
        <v>302.72000000000003</v>
      </c>
      <c r="K1547" s="761" t="s">
        <v>2556</v>
      </c>
      <c r="L1547" s="890">
        <v>45531</v>
      </c>
      <c r="M1547" s="890" t="s">
        <v>2556</v>
      </c>
      <c r="N1547" s="890">
        <v>45527</v>
      </c>
      <c r="O1547" s="3" t="s">
        <v>62</v>
      </c>
      <c r="P1547" s="3" t="s">
        <v>862</v>
      </c>
      <c r="Q1547" s="785" t="s">
        <v>863</v>
      </c>
      <c r="R1547" s="825"/>
      <c r="S1547" s="3" t="s">
        <v>130</v>
      </c>
      <c r="T1547" s="825"/>
      <c r="U1547" s="858">
        <v>318.89999999999998</v>
      </c>
      <c r="V1547" s="825"/>
      <c r="W1547" s="825"/>
      <c r="X1547" s="3" t="s">
        <v>2556</v>
      </c>
      <c r="Y1547" s="936">
        <v>45527</v>
      </c>
      <c r="Z1547" s="3" t="s">
        <v>62</v>
      </c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</row>
    <row r="1548" spans="1:39" s="709" customFormat="1" ht="24" customHeight="1">
      <c r="A1548" s="920"/>
      <c r="B1548" s="921"/>
      <c r="C1548" s="922" t="s">
        <v>921</v>
      </c>
      <c r="D1548" s="923"/>
      <c r="E1548" s="924"/>
      <c r="F1548" s="925"/>
      <c r="G1548" s="925"/>
      <c r="H1548" s="925"/>
      <c r="I1548" s="925"/>
      <c r="J1548" s="925"/>
      <c r="K1548" s="925"/>
      <c r="L1548" s="929"/>
      <c r="M1548" s="929"/>
      <c r="N1548" s="929"/>
      <c r="O1548" s="925"/>
      <c r="P1548" s="925"/>
      <c r="Q1548" s="925"/>
      <c r="R1548" s="925"/>
      <c r="S1548" s="925"/>
      <c r="T1548" s="925"/>
      <c r="U1548" s="925"/>
      <c r="V1548" s="930"/>
      <c r="W1548" s="929"/>
      <c r="X1548" s="929"/>
      <c r="Y1548" s="929"/>
      <c r="Z1548" s="925"/>
      <c r="AA1548" s="930"/>
      <c r="AB1548" s="930"/>
      <c r="AC1548" s="930"/>
      <c r="AD1548" s="930"/>
      <c r="AE1548" s="930"/>
      <c r="AF1548" s="930"/>
      <c r="AG1548" s="930"/>
      <c r="AH1548" s="930"/>
      <c r="AI1548" s="930"/>
      <c r="AJ1548" s="930"/>
      <c r="AK1548" s="930"/>
      <c r="AL1548" s="930"/>
      <c r="AM1548" s="930"/>
    </row>
    <row r="1549" spans="1:39">
      <c r="B1549" s="1490" t="s">
        <v>125</v>
      </c>
      <c r="C1549" s="938" t="s">
        <v>4303</v>
      </c>
      <c r="D1549" s="12" t="s">
        <v>4304</v>
      </c>
      <c r="E1549" s="11" t="s">
        <v>4305</v>
      </c>
      <c r="F1549" s="749">
        <v>1</v>
      </c>
      <c r="G1549" s="3" t="s">
        <v>932</v>
      </c>
      <c r="H1549" s="3" t="s">
        <v>1041</v>
      </c>
      <c r="I1549" s="3">
        <v>459.9</v>
      </c>
      <c r="J1549" s="3">
        <v>254.5</v>
      </c>
      <c r="K1549" s="3" t="s">
        <v>2067</v>
      </c>
      <c r="L1549" s="761">
        <v>44550</v>
      </c>
      <c r="M1549" s="761" t="s">
        <v>2067</v>
      </c>
      <c r="N1549" s="761">
        <v>44551</v>
      </c>
      <c r="O1549" s="761" t="s">
        <v>62</v>
      </c>
      <c r="P1549" s="941"/>
      <c r="Q1549" s="7"/>
      <c r="R1549" s="7"/>
      <c r="S1549" s="3" t="s">
        <v>1547</v>
      </c>
      <c r="T1549" s="3"/>
      <c r="U1549" s="3">
        <v>276.89999999999998</v>
      </c>
      <c r="V1549" s="4"/>
      <c r="W1549" s="761"/>
      <c r="X1549" s="4" t="str">
        <f t="shared" ref="X1549:X1573" si="17">TEXT(Y1549,"mmmm")</f>
        <v>December</v>
      </c>
      <c r="Y1549" s="761">
        <v>44551</v>
      </c>
      <c r="Z1549" s="761" t="s">
        <v>62</v>
      </c>
      <c r="AA1549" s="4"/>
      <c r="AB1549" s="4"/>
      <c r="AC1549" s="4"/>
      <c r="AD1549" s="4"/>
      <c r="AE1549" s="4"/>
      <c r="AF1549" s="4"/>
      <c r="AG1549" s="4">
        <v>5.19</v>
      </c>
      <c r="AH1549" s="4"/>
      <c r="AI1549" s="4"/>
      <c r="AJ1549" s="4"/>
      <c r="AK1549" s="4"/>
      <c r="AL1549" s="4"/>
      <c r="AM1549" s="4">
        <v>5.14</v>
      </c>
    </row>
    <row r="1550" spans="1:39">
      <c r="B1550" s="1490" t="s">
        <v>125</v>
      </c>
      <c r="C1550" s="938" t="s">
        <v>4303</v>
      </c>
      <c r="D1550" s="12" t="s">
        <v>4306</v>
      </c>
      <c r="E1550" s="11" t="s">
        <v>4307</v>
      </c>
      <c r="F1550" s="749">
        <v>2</v>
      </c>
      <c r="G1550" s="3" t="s">
        <v>932</v>
      </c>
      <c r="H1550" s="3" t="s">
        <v>1041</v>
      </c>
      <c r="I1550" s="3">
        <v>466.6</v>
      </c>
      <c r="J1550" s="3">
        <v>259.32</v>
      </c>
      <c r="K1550" s="3" t="s">
        <v>2067</v>
      </c>
      <c r="L1550" s="761">
        <v>44550</v>
      </c>
      <c r="M1550" s="761" t="s">
        <v>2067</v>
      </c>
      <c r="N1550" s="761">
        <v>44551</v>
      </c>
      <c r="O1550" s="761" t="s">
        <v>62</v>
      </c>
      <c r="P1550" s="942"/>
      <c r="Q1550" s="7"/>
      <c r="R1550" s="7"/>
      <c r="S1550" s="3" t="s">
        <v>1547</v>
      </c>
      <c r="T1550" s="3"/>
      <c r="U1550" s="3">
        <v>282</v>
      </c>
      <c r="V1550" s="4"/>
      <c r="W1550" s="761"/>
      <c r="X1550" s="4" t="str">
        <f t="shared" si="17"/>
        <v>December</v>
      </c>
      <c r="Y1550" s="761">
        <v>44551</v>
      </c>
      <c r="Z1550" s="761" t="s">
        <v>62</v>
      </c>
      <c r="AA1550" s="4"/>
      <c r="AB1550" s="4"/>
      <c r="AC1550" s="4"/>
      <c r="AD1550" s="4"/>
      <c r="AE1550" s="4"/>
      <c r="AF1550" s="4"/>
      <c r="AG1550" s="4">
        <v>5.52</v>
      </c>
      <c r="AH1550" s="4"/>
      <c r="AI1550" s="4"/>
      <c r="AJ1550" s="4"/>
      <c r="AK1550" s="4"/>
      <c r="AL1550" s="4"/>
      <c r="AM1550" s="4">
        <v>5.44</v>
      </c>
    </row>
    <row r="1551" spans="1:39">
      <c r="B1551" s="1490" t="s">
        <v>125</v>
      </c>
      <c r="C1551" s="938" t="s">
        <v>4303</v>
      </c>
      <c r="D1551" s="12" t="s">
        <v>4308</v>
      </c>
      <c r="E1551" s="11" t="s">
        <v>4309</v>
      </c>
      <c r="F1551" s="749">
        <v>3</v>
      </c>
      <c r="G1551" s="3" t="s">
        <v>932</v>
      </c>
      <c r="H1551" s="3" t="s">
        <v>1041</v>
      </c>
      <c r="I1551" s="3">
        <v>464.6</v>
      </c>
      <c r="J1551" s="3">
        <v>253.9</v>
      </c>
      <c r="K1551" s="3" t="s">
        <v>2067</v>
      </c>
      <c r="L1551" s="761">
        <v>44550</v>
      </c>
      <c r="M1551" s="761" t="s">
        <v>2067</v>
      </c>
      <c r="N1551" s="761">
        <v>44552</v>
      </c>
      <c r="O1551" s="761" t="s">
        <v>62</v>
      </c>
      <c r="P1551" s="942"/>
      <c r="Q1551" s="7"/>
      <c r="R1551" s="7"/>
      <c r="S1551" s="3" t="s">
        <v>1547</v>
      </c>
      <c r="T1551" s="3"/>
      <c r="U1551" s="3">
        <v>276.8</v>
      </c>
      <c r="V1551" s="4"/>
      <c r="W1551" s="761"/>
      <c r="X1551" s="4" t="str">
        <f t="shared" si="17"/>
        <v>December</v>
      </c>
      <c r="Y1551" s="761">
        <v>44552</v>
      </c>
      <c r="Z1551" s="761" t="s">
        <v>62</v>
      </c>
      <c r="AA1551" s="4"/>
      <c r="AB1551" s="4"/>
      <c r="AC1551" s="4"/>
      <c r="AD1551" s="4"/>
      <c r="AE1551" s="4"/>
      <c r="AF1551" s="4"/>
      <c r="AG1551" s="4">
        <v>5.52</v>
      </c>
      <c r="AH1551" s="4"/>
      <c r="AI1551" s="4"/>
      <c r="AJ1551" s="4"/>
      <c r="AK1551" s="4"/>
      <c r="AL1551" s="4"/>
      <c r="AM1551" s="4">
        <v>4.95</v>
      </c>
    </row>
    <row r="1552" spans="1:39">
      <c r="B1552" s="1490" t="s">
        <v>125</v>
      </c>
      <c r="C1552" s="938" t="s">
        <v>4303</v>
      </c>
      <c r="D1552" s="12" t="s">
        <v>4310</v>
      </c>
      <c r="E1552" s="11" t="s">
        <v>4311</v>
      </c>
      <c r="F1552" s="749">
        <v>4</v>
      </c>
      <c r="G1552" s="3" t="s">
        <v>932</v>
      </c>
      <c r="H1552" s="3" t="s">
        <v>1041</v>
      </c>
      <c r="I1552" s="3">
        <v>461.2</v>
      </c>
      <c r="J1552" s="3">
        <v>258.56</v>
      </c>
      <c r="K1552" s="3" t="s">
        <v>2067</v>
      </c>
      <c r="L1552" s="761">
        <v>44552</v>
      </c>
      <c r="M1552" s="761" t="s">
        <v>2067</v>
      </c>
      <c r="N1552" s="761">
        <v>44552</v>
      </c>
      <c r="O1552" s="761" t="s">
        <v>62</v>
      </c>
      <c r="P1552" s="942"/>
      <c r="Q1552" s="7"/>
      <c r="R1552" s="7"/>
      <c r="S1552" s="3" t="s">
        <v>1547</v>
      </c>
      <c r="T1552" s="3"/>
      <c r="U1552" s="3">
        <v>281.2</v>
      </c>
      <c r="V1552" s="4"/>
      <c r="W1552" s="761"/>
      <c r="X1552" s="4" t="str">
        <f t="shared" si="17"/>
        <v>December</v>
      </c>
      <c r="Y1552" s="761">
        <v>44553</v>
      </c>
      <c r="Z1552" s="761" t="s">
        <v>62</v>
      </c>
      <c r="AA1552" s="4"/>
      <c r="AB1552" s="4"/>
      <c r="AC1552" s="4"/>
      <c r="AD1552" s="4"/>
      <c r="AE1552" s="4"/>
      <c r="AF1552" s="4"/>
      <c r="AG1552" s="4">
        <v>6.09</v>
      </c>
      <c r="AH1552" s="4"/>
      <c r="AI1552" s="4"/>
      <c r="AJ1552" s="4"/>
      <c r="AK1552" s="4"/>
      <c r="AL1552" s="4"/>
      <c r="AM1552" s="4">
        <v>5.81</v>
      </c>
    </row>
    <row r="1553" spans="1:39">
      <c r="B1553" s="1490" t="s">
        <v>125</v>
      </c>
      <c r="C1553" s="938" t="s">
        <v>4303</v>
      </c>
      <c r="D1553" s="12" t="s">
        <v>4312</v>
      </c>
      <c r="E1553" s="11" t="s">
        <v>4313</v>
      </c>
      <c r="F1553" s="749">
        <v>5</v>
      </c>
      <c r="G1553" s="3" t="s">
        <v>932</v>
      </c>
      <c r="H1553" s="3" t="s">
        <v>932</v>
      </c>
      <c r="I1553" s="3">
        <v>468.7</v>
      </c>
      <c r="J1553" s="3">
        <v>253.34</v>
      </c>
      <c r="K1553" s="3" t="s">
        <v>2067</v>
      </c>
      <c r="L1553" s="761">
        <v>44552</v>
      </c>
      <c r="M1553" s="761" t="s">
        <v>2067</v>
      </c>
      <c r="N1553" s="761">
        <v>44553</v>
      </c>
      <c r="O1553" s="761" t="s">
        <v>62</v>
      </c>
      <c r="P1553" s="942"/>
      <c r="Q1553" s="7"/>
      <c r="R1553" s="7"/>
      <c r="S1553" s="3" t="s">
        <v>1547</v>
      </c>
      <c r="T1553" s="3"/>
      <c r="U1553" s="3">
        <v>275.8</v>
      </c>
      <c r="V1553" s="4"/>
      <c r="W1553" s="761"/>
      <c r="X1553" s="4" t="str">
        <f t="shared" si="17"/>
        <v>December</v>
      </c>
      <c r="Y1553" s="761">
        <v>44553</v>
      </c>
      <c r="Z1553" s="761" t="s">
        <v>62</v>
      </c>
      <c r="AA1553" s="4"/>
      <c r="AB1553" s="4"/>
      <c r="AC1553" s="4"/>
      <c r="AD1553" s="4"/>
      <c r="AE1553" s="4"/>
      <c r="AF1553" s="4"/>
      <c r="AG1553" s="4">
        <v>5</v>
      </c>
      <c r="AH1553" s="4"/>
      <c r="AI1553" s="4"/>
      <c r="AJ1553" s="4"/>
      <c r="AK1553" s="4"/>
      <c r="AL1553" s="4"/>
      <c r="AM1553" s="4">
        <v>4.74</v>
      </c>
    </row>
    <row r="1554" spans="1:39" ht="19.05" customHeight="1">
      <c r="B1554" s="1490" t="s">
        <v>125</v>
      </c>
      <c r="C1554" s="938" t="s">
        <v>4303</v>
      </c>
      <c r="D1554" s="777" t="s">
        <v>4314</v>
      </c>
      <c r="E1554" s="11">
        <v>13792</v>
      </c>
      <c r="F1554" s="749">
        <v>6</v>
      </c>
      <c r="G1554" s="3" t="s">
        <v>932</v>
      </c>
      <c r="H1554" s="3" t="s">
        <v>1041</v>
      </c>
      <c r="I1554" s="3">
        <v>458.7</v>
      </c>
      <c r="J1554" s="3">
        <v>253.54</v>
      </c>
      <c r="K1554" s="3" t="s">
        <v>2094</v>
      </c>
      <c r="L1554" s="761">
        <v>44574</v>
      </c>
      <c r="M1554" s="761" t="s">
        <v>2094</v>
      </c>
      <c r="N1554" s="761">
        <v>44574</v>
      </c>
      <c r="O1554" s="761" t="s">
        <v>62</v>
      </c>
      <c r="P1554" s="942"/>
      <c r="Q1554" s="7"/>
      <c r="R1554" s="7"/>
      <c r="S1554" s="3" t="s">
        <v>1547</v>
      </c>
      <c r="T1554" s="3"/>
      <c r="U1554" s="3">
        <v>275.89999999999998</v>
      </c>
      <c r="V1554" s="4"/>
      <c r="W1554" s="761"/>
      <c r="X1554" s="4" t="str">
        <f t="shared" si="17"/>
        <v>January</v>
      </c>
      <c r="Y1554" s="761">
        <v>44575</v>
      </c>
      <c r="Z1554" s="761" t="s">
        <v>62</v>
      </c>
      <c r="AA1554" s="4"/>
      <c r="AB1554" s="946" t="s">
        <v>4315</v>
      </c>
      <c r="AC1554" s="946"/>
      <c r="AD1554" s="946" t="s">
        <v>4316</v>
      </c>
      <c r="AE1554" s="946"/>
      <c r="AF1554" s="946" t="s">
        <v>4317</v>
      </c>
      <c r="AG1554" s="4">
        <v>5.58</v>
      </c>
      <c r="AH1554" s="4"/>
      <c r="AI1554" s="4"/>
      <c r="AJ1554" s="4"/>
      <c r="AK1554" s="4"/>
      <c r="AL1554" s="4"/>
      <c r="AM1554" s="4">
        <v>5.6</v>
      </c>
    </row>
    <row r="1555" spans="1:39" s="707" customFormat="1">
      <c r="A1555"/>
      <c r="B1555" s="805" t="s">
        <v>13</v>
      </c>
      <c r="C1555" s="807" t="s">
        <v>1723</v>
      </c>
      <c r="D1555" s="876"/>
      <c r="E1555" s="874"/>
      <c r="F1555" s="808"/>
      <c r="G1555" s="807"/>
      <c r="H1555" s="807"/>
      <c r="I1555" s="807"/>
      <c r="J1555" s="807"/>
      <c r="K1555" s="807" t="s">
        <v>2094</v>
      </c>
      <c r="L1555" s="819"/>
      <c r="M1555" s="819" t="s">
        <v>2094</v>
      </c>
      <c r="N1555" s="819"/>
      <c r="O1555" s="819"/>
      <c r="P1555" s="820"/>
      <c r="Q1555" s="807"/>
      <c r="R1555" s="807"/>
      <c r="S1555" s="807"/>
      <c r="T1555" s="807"/>
      <c r="U1555" s="807"/>
      <c r="V1555" s="710"/>
      <c r="W1555" s="819"/>
      <c r="X1555" s="710" t="str">
        <f t="shared" si="17"/>
        <v>January</v>
      </c>
      <c r="Y1555" s="819"/>
      <c r="Z1555" s="819"/>
      <c r="AA1555" s="710"/>
      <c r="AB1555" s="710"/>
      <c r="AC1555" s="710"/>
      <c r="AD1555" s="710"/>
      <c r="AE1555" s="710"/>
      <c r="AF1555" s="710"/>
      <c r="AG1555" s="710"/>
      <c r="AH1555" s="710"/>
      <c r="AI1555" s="710"/>
      <c r="AJ1555" s="710"/>
      <c r="AK1555" s="710"/>
      <c r="AL1555" s="710"/>
      <c r="AM1555" s="710"/>
    </row>
    <row r="1556" spans="1:39" ht="19.05" customHeight="1">
      <c r="B1556" s="1490" t="s">
        <v>163</v>
      </c>
      <c r="C1556" s="938" t="s">
        <v>4303</v>
      </c>
      <c r="D1556" s="12" t="s">
        <v>4318</v>
      </c>
      <c r="E1556" s="779" t="s">
        <v>4319</v>
      </c>
      <c r="F1556" s="749">
        <v>1</v>
      </c>
      <c r="G1556" s="3" t="s">
        <v>932</v>
      </c>
      <c r="H1556" s="3" t="s">
        <v>1041</v>
      </c>
      <c r="I1556" s="3">
        <v>462.2</v>
      </c>
      <c r="J1556" s="3">
        <v>258.33999999999997</v>
      </c>
      <c r="K1556" s="3" t="s">
        <v>2094</v>
      </c>
      <c r="L1556" s="761">
        <v>44574</v>
      </c>
      <c r="M1556" s="761" t="s">
        <v>2094</v>
      </c>
      <c r="N1556" s="761">
        <v>44574</v>
      </c>
      <c r="O1556" s="761" t="s">
        <v>62</v>
      </c>
      <c r="P1556" s="762"/>
      <c r="Q1556" s="3"/>
      <c r="R1556" s="3"/>
      <c r="S1556" s="3" t="s">
        <v>1547</v>
      </c>
      <c r="T1556" s="3"/>
      <c r="U1556" s="3">
        <v>281.10000000000002</v>
      </c>
      <c r="V1556" s="4"/>
      <c r="W1556" s="761"/>
      <c r="X1556" s="4" t="str">
        <f t="shared" si="17"/>
        <v>January</v>
      </c>
      <c r="Y1556" s="761">
        <v>44575</v>
      </c>
      <c r="Z1556" s="761" t="s">
        <v>62</v>
      </c>
      <c r="AA1556" s="4"/>
      <c r="AB1556" s="946" t="s">
        <v>4320</v>
      </c>
      <c r="AC1556" s="946"/>
      <c r="AD1556" s="946" t="s">
        <v>4321</v>
      </c>
      <c r="AE1556" s="946"/>
      <c r="AF1556" s="946" t="s">
        <v>4322</v>
      </c>
      <c r="AG1556" s="4">
        <v>5.24</v>
      </c>
      <c r="AH1556" s="4"/>
      <c r="AI1556" s="4"/>
      <c r="AJ1556" s="4"/>
      <c r="AK1556" s="4"/>
      <c r="AL1556" s="4"/>
      <c r="AM1556" s="4">
        <v>5.32</v>
      </c>
    </row>
    <row r="1557" spans="1:39">
      <c r="B1557" s="1490" t="s">
        <v>163</v>
      </c>
      <c r="C1557" s="938" t="s">
        <v>4303</v>
      </c>
      <c r="D1557" s="12" t="s">
        <v>4323</v>
      </c>
      <c r="E1557" s="779" t="s">
        <v>4324</v>
      </c>
      <c r="F1557" s="749">
        <v>2</v>
      </c>
      <c r="G1557" s="3" t="s">
        <v>932</v>
      </c>
      <c r="H1557" s="2" t="s">
        <v>932</v>
      </c>
      <c r="I1557" s="3">
        <v>461.5</v>
      </c>
      <c r="J1557" s="3">
        <v>253.08</v>
      </c>
      <c r="K1557" s="3" t="s">
        <v>2094</v>
      </c>
      <c r="L1557" s="761">
        <v>44574</v>
      </c>
      <c r="M1557" s="761" t="s">
        <v>2094</v>
      </c>
      <c r="N1557" s="761">
        <v>44579</v>
      </c>
      <c r="O1557" s="2" t="s">
        <v>62</v>
      </c>
      <c r="R1557" s="3"/>
      <c r="S1557" s="3" t="s">
        <v>1547</v>
      </c>
      <c r="T1557" s="3"/>
      <c r="U1557" s="3">
        <v>275.10000000000002</v>
      </c>
      <c r="V1557" s="4"/>
      <c r="W1557" s="761"/>
      <c r="X1557" s="4" t="str">
        <f t="shared" si="17"/>
        <v>January</v>
      </c>
      <c r="Y1557" s="761">
        <v>44579</v>
      </c>
      <c r="Z1557" s="761" t="s">
        <v>62</v>
      </c>
      <c r="AA1557" s="4"/>
      <c r="AB1557" s="4"/>
      <c r="AC1557" s="4"/>
      <c r="AD1557" s="4"/>
      <c r="AE1557" s="4"/>
      <c r="AF1557" s="4"/>
      <c r="AG1557" s="4">
        <v>5.3</v>
      </c>
      <c r="AH1557" s="4"/>
      <c r="AI1557" s="4"/>
      <c r="AJ1557" s="4"/>
      <c r="AK1557" s="4"/>
      <c r="AL1557" s="4"/>
      <c r="AM1557" s="4">
        <v>5.26</v>
      </c>
    </row>
    <row r="1558" spans="1:39">
      <c r="B1558" s="1490" t="s">
        <v>163</v>
      </c>
      <c r="C1558" s="938" t="s">
        <v>4303</v>
      </c>
      <c r="D1558" s="12" t="s">
        <v>4325</v>
      </c>
      <c r="E1558" s="779" t="s">
        <v>4326</v>
      </c>
      <c r="F1558" s="749">
        <v>3</v>
      </c>
      <c r="G1558" s="3" t="s">
        <v>932</v>
      </c>
      <c r="H1558" s="3" t="s">
        <v>932</v>
      </c>
      <c r="I1558" s="3">
        <v>474.9</v>
      </c>
      <c r="J1558" s="3">
        <v>260.22000000000003</v>
      </c>
      <c r="K1558" s="3" t="s">
        <v>2094</v>
      </c>
      <c r="L1558" s="761">
        <v>44574</v>
      </c>
      <c r="M1558" s="761" t="s">
        <v>2094</v>
      </c>
      <c r="N1558" s="761">
        <v>44579</v>
      </c>
      <c r="O1558" s="761" t="s">
        <v>62</v>
      </c>
      <c r="P1558" s="762"/>
      <c r="Q1558" s="3"/>
      <c r="R1558" s="3"/>
      <c r="S1558" s="3" t="s">
        <v>1547</v>
      </c>
      <c r="T1558" s="3"/>
      <c r="U1558" s="3">
        <v>282.7</v>
      </c>
      <c r="V1558" s="4"/>
      <c r="W1558" s="761"/>
      <c r="X1558" s="4" t="str">
        <f t="shared" si="17"/>
        <v>January</v>
      </c>
      <c r="Y1558" s="761">
        <v>44579</v>
      </c>
      <c r="Z1558" s="761" t="s">
        <v>62</v>
      </c>
      <c r="AA1558" s="4"/>
      <c r="AB1558" s="4"/>
      <c r="AC1558" s="4"/>
      <c r="AD1558" s="4"/>
      <c r="AE1558" s="4"/>
      <c r="AF1558" s="4"/>
      <c r="AG1558" s="4">
        <v>5.56</v>
      </c>
      <c r="AH1558" s="4"/>
      <c r="AI1558" s="4"/>
      <c r="AJ1558" s="4"/>
      <c r="AK1558" s="4"/>
      <c r="AL1558" s="4"/>
      <c r="AM1558" s="4">
        <v>5.46</v>
      </c>
    </row>
    <row r="1559" spans="1:39" ht="18" customHeight="1">
      <c r="B1559" s="1490" t="s">
        <v>163</v>
      </c>
      <c r="C1559" s="938" t="s">
        <v>4303</v>
      </c>
      <c r="D1559" s="12" t="s">
        <v>4327</v>
      </c>
      <c r="E1559" s="779" t="s">
        <v>4328</v>
      </c>
      <c r="F1559" s="749">
        <v>4</v>
      </c>
      <c r="G1559" s="3" t="s">
        <v>932</v>
      </c>
      <c r="H1559" s="3" t="s">
        <v>1041</v>
      </c>
      <c r="I1559" s="3">
        <v>462.7</v>
      </c>
      <c r="J1559" s="3">
        <v>252.721</v>
      </c>
      <c r="K1559" s="3" t="s">
        <v>2094</v>
      </c>
      <c r="L1559" s="761">
        <v>44578</v>
      </c>
      <c r="M1559" s="761" t="s">
        <v>2094</v>
      </c>
      <c r="N1559" s="761">
        <v>44580</v>
      </c>
      <c r="O1559" s="761" t="s">
        <v>62</v>
      </c>
      <c r="P1559" s="762"/>
      <c r="Q1559" s="3"/>
      <c r="R1559" s="3"/>
      <c r="S1559" s="3" t="s">
        <v>1547</v>
      </c>
      <c r="T1559" s="3"/>
      <c r="U1559" s="3">
        <v>275</v>
      </c>
      <c r="V1559" s="4"/>
      <c r="W1559" s="761"/>
      <c r="X1559" s="4" t="str">
        <f t="shared" si="17"/>
        <v>January</v>
      </c>
      <c r="Y1559" s="761">
        <v>44580</v>
      </c>
      <c r="Z1559" s="761" t="s">
        <v>62</v>
      </c>
      <c r="AA1559" s="4"/>
      <c r="AB1559" s="946" t="s">
        <v>4329</v>
      </c>
      <c r="AC1559" s="946"/>
      <c r="AD1559" s="946" t="s">
        <v>4330</v>
      </c>
      <c r="AE1559" s="946"/>
      <c r="AF1559" s="946" t="s">
        <v>4331</v>
      </c>
      <c r="AG1559" s="4">
        <v>5.19</v>
      </c>
      <c r="AH1559" s="4"/>
      <c r="AI1559" s="4"/>
      <c r="AJ1559" s="4"/>
      <c r="AK1559" s="4"/>
      <c r="AL1559" s="4"/>
      <c r="AM1559" s="4">
        <v>5.37</v>
      </c>
    </row>
    <row r="1560" spans="1:39" ht="13.95" customHeight="1">
      <c r="B1560" s="1490" t="s">
        <v>163</v>
      </c>
      <c r="C1560" s="938" t="s">
        <v>4303</v>
      </c>
      <c r="D1560" s="12" t="s">
        <v>4332</v>
      </c>
      <c r="E1560" s="779" t="s">
        <v>4333</v>
      </c>
      <c r="F1560" s="749">
        <v>5</v>
      </c>
      <c r="G1560" s="3" t="s">
        <v>932</v>
      </c>
      <c r="H1560" s="3" t="s">
        <v>1041</v>
      </c>
      <c r="I1560" s="3">
        <v>462.6</v>
      </c>
      <c r="J1560" s="3">
        <v>259.2</v>
      </c>
      <c r="K1560" s="3" t="s">
        <v>2094</v>
      </c>
      <c r="L1560" s="761">
        <v>44578</v>
      </c>
      <c r="M1560" s="761" t="s">
        <v>2094</v>
      </c>
      <c r="N1560" s="761">
        <v>44580</v>
      </c>
      <c r="O1560" s="761" t="s">
        <v>62</v>
      </c>
      <c r="P1560" s="762"/>
      <c r="Q1560" s="3"/>
      <c r="R1560" s="3"/>
      <c r="S1560" s="3" t="s">
        <v>1547</v>
      </c>
      <c r="T1560" s="3"/>
      <c r="U1560" s="3">
        <v>281.2</v>
      </c>
      <c r="V1560" s="4"/>
      <c r="W1560" s="761"/>
      <c r="X1560" s="4" t="str">
        <f t="shared" si="17"/>
        <v>January</v>
      </c>
      <c r="Y1560" s="761">
        <v>44580</v>
      </c>
      <c r="Z1560" s="761" t="s">
        <v>62</v>
      </c>
      <c r="AA1560" s="4"/>
      <c r="AB1560" s="946" t="s">
        <v>4334</v>
      </c>
      <c r="AC1560" s="946"/>
      <c r="AD1560" s="946" t="s">
        <v>4335</v>
      </c>
      <c r="AE1560" s="946"/>
      <c r="AF1560" s="946" t="s">
        <v>4336</v>
      </c>
      <c r="AG1560" s="4">
        <v>5.43</v>
      </c>
      <c r="AH1560" s="4"/>
      <c r="AI1560" s="4"/>
      <c r="AJ1560" s="4"/>
      <c r="AK1560" s="4"/>
      <c r="AL1560" s="4"/>
      <c r="AM1560" s="4">
        <v>5.5</v>
      </c>
    </row>
    <row r="1561" spans="1:39">
      <c r="B1561" s="1490" t="s">
        <v>163</v>
      </c>
      <c r="C1561" s="938" t="s">
        <v>4303</v>
      </c>
      <c r="D1561" s="12" t="s">
        <v>4337</v>
      </c>
      <c r="E1561" s="777" t="s">
        <v>4338</v>
      </c>
      <c r="F1561" s="749">
        <v>6</v>
      </c>
      <c r="G1561" s="3" t="s">
        <v>932</v>
      </c>
      <c r="H1561" s="3" t="s">
        <v>1041</v>
      </c>
      <c r="I1561" s="3">
        <v>467.3</v>
      </c>
      <c r="J1561" s="3">
        <v>254.62</v>
      </c>
      <c r="K1561" s="3" t="s">
        <v>2125</v>
      </c>
      <c r="L1561" s="761">
        <v>44602</v>
      </c>
      <c r="M1561" s="761" t="s">
        <v>2125</v>
      </c>
      <c r="N1561" s="761">
        <v>44603</v>
      </c>
      <c r="O1561" s="761" t="s">
        <v>62</v>
      </c>
      <c r="P1561" s="3" t="s">
        <v>4339</v>
      </c>
      <c r="R1561" s="3"/>
      <c r="S1561" s="3" t="s">
        <v>1547</v>
      </c>
      <c r="T1561" s="3"/>
      <c r="U1561" s="3">
        <v>277.2</v>
      </c>
      <c r="V1561" s="4"/>
      <c r="W1561" s="761"/>
      <c r="X1561" s="4" t="str">
        <f t="shared" si="17"/>
        <v>February</v>
      </c>
      <c r="Y1561" s="761">
        <v>44603</v>
      </c>
      <c r="Z1561" s="761" t="s">
        <v>62</v>
      </c>
      <c r="AA1561" s="4">
        <v>5.3</v>
      </c>
      <c r="AB1561" s="4">
        <v>5.0199999999999996</v>
      </c>
      <c r="AC1561" s="4">
        <v>5.27</v>
      </c>
      <c r="AD1561" s="4">
        <v>5.21</v>
      </c>
      <c r="AE1561" s="4">
        <v>5.31</v>
      </c>
      <c r="AF1561" s="4">
        <v>5.21</v>
      </c>
      <c r="AG1561" s="4" t="s">
        <v>4340</v>
      </c>
      <c r="AH1561" s="4">
        <v>5.14</v>
      </c>
      <c r="AI1561" s="4">
        <v>5.45</v>
      </c>
      <c r="AJ1561" s="4">
        <v>5.18</v>
      </c>
      <c r="AK1561" s="4">
        <v>5.23</v>
      </c>
      <c r="AL1561" s="4"/>
      <c r="AM1561" s="4">
        <v>5.32</v>
      </c>
    </row>
    <row r="1562" spans="1:39" s="707" customFormat="1">
      <c r="A1562"/>
      <c r="B1562" s="805" t="s">
        <v>13</v>
      </c>
      <c r="C1562" s="807" t="s">
        <v>1716</v>
      </c>
      <c r="D1562" s="807"/>
      <c r="E1562" s="939"/>
      <c r="F1562" s="808"/>
      <c r="H1562" s="807"/>
      <c r="K1562" s="807" t="s">
        <v>2094</v>
      </c>
      <c r="M1562" s="819" t="s">
        <v>2094</v>
      </c>
      <c r="P1562" s="820"/>
      <c r="Q1562" s="807"/>
      <c r="R1562" s="807"/>
      <c r="S1562" s="807"/>
      <c r="T1562" s="807"/>
      <c r="U1562" s="807"/>
      <c r="V1562" s="710"/>
      <c r="W1562" s="819"/>
      <c r="X1562" s="710" t="str">
        <f t="shared" si="17"/>
        <v>January</v>
      </c>
      <c r="Y1562" s="819"/>
      <c r="Z1562" s="819"/>
      <c r="AA1562" s="710"/>
      <c r="AB1562" s="710"/>
      <c r="AC1562" s="710"/>
      <c r="AD1562" s="710"/>
      <c r="AE1562" s="710"/>
      <c r="AF1562" s="710"/>
      <c r="AG1562" s="710"/>
      <c r="AH1562" s="710"/>
      <c r="AI1562" s="710"/>
      <c r="AJ1562" s="710"/>
      <c r="AK1562" s="710"/>
      <c r="AL1562" s="710"/>
      <c r="AM1562" s="710"/>
    </row>
    <row r="1563" spans="1:39">
      <c r="B1563" s="747" t="s">
        <v>213</v>
      </c>
      <c r="C1563" s="938" t="s">
        <v>4303</v>
      </c>
      <c r="D1563" s="12" t="s">
        <v>4341</v>
      </c>
      <c r="E1563" s="779" t="s">
        <v>4342</v>
      </c>
      <c r="F1563" s="749">
        <v>1</v>
      </c>
      <c r="G1563" s="3" t="s">
        <v>932</v>
      </c>
      <c r="H1563" s="3" t="s">
        <v>1041</v>
      </c>
      <c r="I1563" s="3">
        <v>469.5</v>
      </c>
      <c r="J1563" s="3">
        <v>254.08</v>
      </c>
      <c r="K1563" s="3" t="s">
        <v>2125</v>
      </c>
      <c r="L1563" s="761">
        <v>44602</v>
      </c>
      <c r="M1563" s="761" t="s">
        <v>2125</v>
      </c>
      <c r="N1563" s="761">
        <v>44603</v>
      </c>
      <c r="O1563" s="761" t="s">
        <v>62</v>
      </c>
      <c r="P1563" s="3" t="s">
        <v>4343</v>
      </c>
      <c r="Q1563" s="3"/>
      <c r="R1563" s="3"/>
      <c r="S1563" s="3" t="s">
        <v>1547</v>
      </c>
      <c r="T1563" s="3"/>
      <c r="U1563" s="3">
        <v>274.89999999999998</v>
      </c>
      <c r="V1563" s="4"/>
      <c r="W1563" s="761"/>
      <c r="X1563" s="4" t="str">
        <f t="shared" si="17"/>
        <v>February</v>
      </c>
      <c r="Y1563" s="761">
        <v>44603</v>
      </c>
      <c r="Z1563" s="761" t="s">
        <v>62</v>
      </c>
      <c r="AA1563" s="4">
        <v>5.04</v>
      </c>
      <c r="AB1563" s="4">
        <v>5.68</v>
      </c>
      <c r="AC1563" s="4">
        <v>5.14</v>
      </c>
      <c r="AD1563" s="4">
        <v>5.63</v>
      </c>
      <c r="AE1563" s="4">
        <v>4.83</v>
      </c>
      <c r="AF1563" s="4">
        <v>5.83</v>
      </c>
      <c r="AG1563" s="4" t="s">
        <v>4344</v>
      </c>
      <c r="AH1563" s="4">
        <v>5.23</v>
      </c>
      <c r="AI1563" s="4">
        <v>5.51</v>
      </c>
      <c r="AJ1563" s="4">
        <v>5.65</v>
      </c>
      <c r="AK1563" s="4">
        <v>5.59</v>
      </c>
      <c r="AL1563" s="4"/>
      <c r="AM1563" s="4">
        <v>5.45</v>
      </c>
    </row>
    <row r="1564" spans="1:39">
      <c r="B1564" s="747" t="s">
        <v>213</v>
      </c>
      <c r="C1564" s="938" t="s">
        <v>4303</v>
      </c>
      <c r="D1564" s="12" t="s">
        <v>4345</v>
      </c>
      <c r="E1564" s="779" t="s">
        <v>4346</v>
      </c>
      <c r="F1564" s="749">
        <v>2</v>
      </c>
      <c r="G1564" s="3" t="s">
        <v>932</v>
      </c>
      <c r="H1564" s="3" t="s">
        <v>1041</v>
      </c>
      <c r="I1564" s="3">
        <v>466.5</v>
      </c>
      <c r="J1564" s="3">
        <v>260.88</v>
      </c>
      <c r="K1564" s="3" t="s">
        <v>2125</v>
      </c>
      <c r="L1564" s="761">
        <v>44603</v>
      </c>
      <c r="M1564" s="761" t="s">
        <v>2125</v>
      </c>
      <c r="N1564" s="761">
        <v>44603</v>
      </c>
      <c r="O1564" s="761" t="s">
        <v>62</v>
      </c>
      <c r="P1564" s="3" t="s">
        <v>4347</v>
      </c>
      <c r="R1564" s="3"/>
      <c r="S1564" s="3" t="s">
        <v>1547</v>
      </c>
      <c r="T1564" s="3"/>
      <c r="U1564" s="3">
        <v>283.2</v>
      </c>
      <c r="V1564" s="4"/>
      <c r="W1564" s="761"/>
      <c r="X1564" s="4" t="str">
        <f t="shared" si="17"/>
        <v>February</v>
      </c>
      <c r="Y1564" s="761">
        <v>44606</v>
      </c>
      <c r="Z1564" s="761" t="s">
        <v>62</v>
      </c>
      <c r="AA1564" s="4"/>
      <c r="AB1564" s="4"/>
      <c r="AC1564" s="4"/>
      <c r="AD1564" s="4"/>
      <c r="AE1564" s="4"/>
      <c r="AF1564" s="4"/>
      <c r="AG1564" s="4">
        <v>5.65</v>
      </c>
      <c r="AH1564" s="4"/>
      <c r="AI1564" s="4"/>
      <c r="AJ1564" s="4"/>
      <c r="AK1564" s="4"/>
      <c r="AL1564" s="4"/>
      <c r="AM1564" s="4">
        <v>5.45</v>
      </c>
    </row>
    <row r="1565" spans="1:39">
      <c r="B1565" s="747" t="s">
        <v>213</v>
      </c>
      <c r="C1565" s="938" t="s">
        <v>4303</v>
      </c>
      <c r="D1565" s="12" t="s">
        <v>4337</v>
      </c>
      <c r="E1565" s="779" t="s">
        <v>4348</v>
      </c>
      <c r="F1565" s="749">
        <v>3</v>
      </c>
      <c r="G1565" s="3" t="s">
        <v>932</v>
      </c>
      <c r="H1565" s="3" t="s">
        <v>1041</v>
      </c>
      <c r="I1565" s="3">
        <v>469.2</v>
      </c>
      <c r="J1565" s="3">
        <v>252.7</v>
      </c>
      <c r="K1565" s="3" t="s">
        <v>2125</v>
      </c>
      <c r="L1565" s="761">
        <v>44603</v>
      </c>
      <c r="M1565" s="761" t="s">
        <v>2125</v>
      </c>
      <c r="N1565" s="761">
        <v>44607</v>
      </c>
      <c r="O1565" s="761" t="s">
        <v>62</v>
      </c>
      <c r="P1565" s="3" t="s">
        <v>4349</v>
      </c>
      <c r="Q1565" s="762" t="s">
        <v>4350</v>
      </c>
      <c r="R1565" s="3"/>
      <c r="S1565" s="3" t="s">
        <v>1547</v>
      </c>
      <c r="T1565" s="3"/>
      <c r="U1565" s="3">
        <v>275.2</v>
      </c>
      <c r="V1565" s="4"/>
      <c r="W1565" s="761"/>
      <c r="X1565" s="4" t="str">
        <f t="shared" si="17"/>
        <v>February</v>
      </c>
      <c r="Y1565" s="761">
        <v>44607</v>
      </c>
      <c r="Z1565" s="761" t="s">
        <v>62</v>
      </c>
      <c r="AA1565" s="4"/>
      <c r="AB1565" s="4"/>
      <c r="AC1565" s="4"/>
      <c r="AD1565" s="4"/>
      <c r="AE1565" s="4"/>
      <c r="AF1565" s="4"/>
      <c r="AG1565" s="4">
        <v>5.64</v>
      </c>
      <c r="AH1565" s="4"/>
      <c r="AI1565" s="4"/>
      <c r="AJ1565" s="4"/>
      <c r="AK1565" s="4"/>
      <c r="AL1565" s="4"/>
      <c r="AM1565" s="4">
        <v>5.22</v>
      </c>
    </row>
    <row r="1566" spans="1:39">
      <c r="B1566" s="747" t="s">
        <v>213</v>
      </c>
      <c r="C1566" s="938" t="s">
        <v>4303</v>
      </c>
      <c r="D1566" s="12" t="s">
        <v>4351</v>
      </c>
      <c r="E1566" s="779" t="s">
        <v>4352</v>
      </c>
      <c r="F1566" s="749">
        <v>4</v>
      </c>
      <c r="G1566" s="3" t="s">
        <v>932</v>
      </c>
      <c r="H1566" s="3" t="s">
        <v>1041</v>
      </c>
      <c r="I1566" s="3">
        <v>467.5</v>
      </c>
      <c r="J1566" s="3">
        <v>256.08</v>
      </c>
      <c r="K1566" s="3" t="s">
        <v>2125</v>
      </c>
      <c r="L1566" s="761">
        <v>44603</v>
      </c>
      <c r="M1566" s="761" t="s">
        <v>2125</v>
      </c>
      <c r="N1566" s="761">
        <v>44607</v>
      </c>
      <c r="O1566" s="761" t="s">
        <v>62</v>
      </c>
      <c r="P1566" s="3" t="s">
        <v>4353</v>
      </c>
      <c r="Q1566" s="762" t="s">
        <v>4354</v>
      </c>
      <c r="R1566" s="3"/>
      <c r="S1566" s="3" t="s">
        <v>1547</v>
      </c>
      <c r="T1566" s="3"/>
      <c r="U1566" s="3">
        <v>278.5</v>
      </c>
      <c r="V1566" s="4"/>
      <c r="W1566" s="761"/>
      <c r="X1566" s="4" t="str">
        <f t="shared" si="17"/>
        <v>February</v>
      </c>
      <c r="Y1566" s="761">
        <v>44607</v>
      </c>
      <c r="Z1566" s="761" t="s">
        <v>62</v>
      </c>
      <c r="AA1566" s="4"/>
      <c r="AB1566" s="4"/>
      <c r="AC1566" s="4"/>
      <c r="AD1566" s="4"/>
      <c r="AE1566" s="4"/>
      <c r="AF1566" s="4"/>
      <c r="AG1566" s="4">
        <v>5.95</v>
      </c>
      <c r="AH1566" s="4"/>
      <c r="AI1566" s="4"/>
      <c r="AJ1566" s="4"/>
      <c r="AK1566" s="4"/>
      <c r="AL1566" s="4"/>
      <c r="AM1566" s="4">
        <v>5.36</v>
      </c>
    </row>
    <row r="1567" spans="1:39">
      <c r="B1567" s="747" t="s">
        <v>213</v>
      </c>
      <c r="C1567" s="938" t="s">
        <v>4303</v>
      </c>
      <c r="D1567" s="12" t="s">
        <v>4355</v>
      </c>
      <c r="E1567" s="779" t="s">
        <v>4356</v>
      </c>
      <c r="F1567" s="749">
        <v>5</v>
      </c>
      <c r="G1567" s="3" t="s">
        <v>932</v>
      </c>
      <c r="H1567" s="3" t="s">
        <v>1041</v>
      </c>
      <c r="I1567" s="3">
        <v>460.9</v>
      </c>
      <c r="J1567" s="3">
        <v>258.98</v>
      </c>
      <c r="K1567" s="3" t="s">
        <v>2125</v>
      </c>
      <c r="L1567" s="761">
        <v>44606</v>
      </c>
      <c r="M1567" s="761" t="s">
        <v>2125</v>
      </c>
      <c r="N1567" s="761">
        <v>44607</v>
      </c>
      <c r="O1567" s="761" t="s">
        <v>62</v>
      </c>
      <c r="P1567" s="3" t="s">
        <v>4357</v>
      </c>
      <c r="Q1567" s="762" t="s">
        <v>4358</v>
      </c>
      <c r="R1567" s="3"/>
      <c r="S1567" s="3" t="s">
        <v>1547</v>
      </c>
      <c r="T1567" s="3"/>
      <c r="U1567" s="3">
        <v>281.3</v>
      </c>
      <c r="V1567" s="4"/>
      <c r="W1567" s="761"/>
      <c r="X1567" s="4" t="str">
        <f t="shared" si="17"/>
        <v>February</v>
      </c>
      <c r="Y1567" s="761">
        <v>44607</v>
      </c>
      <c r="Z1567" s="761" t="s">
        <v>62</v>
      </c>
      <c r="AA1567" s="4"/>
      <c r="AB1567" s="4"/>
      <c r="AC1567" s="4"/>
      <c r="AD1567" s="4"/>
      <c r="AE1567" s="4"/>
      <c r="AF1567" s="4"/>
      <c r="AG1567" s="4">
        <v>5.59</v>
      </c>
      <c r="AH1567" s="4"/>
      <c r="AI1567" s="4"/>
      <c r="AJ1567" s="4"/>
      <c r="AK1567" s="4"/>
      <c r="AL1567" s="4"/>
      <c r="AM1567" s="4">
        <v>5.21</v>
      </c>
    </row>
    <row r="1568" spans="1:39">
      <c r="B1568" s="747" t="s">
        <v>213</v>
      </c>
      <c r="C1568" s="938" t="s">
        <v>4303</v>
      </c>
      <c r="D1568" s="12" t="s">
        <v>4359</v>
      </c>
      <c r="E1568" s="779" t="s">
        <v>4360</v>
      </c>
      <c r="F1568" s="749">
        <v>6</v>
      </c>
      <c r="G1568" s="3" t="s">
        <v>932</v>
      </c>
      <c r="H1568" s="3" t="s">
        <v>1041</v>
      </c>
      <c r="I1568" s="3">
        <v>469.2</v>
      </c>
      <c r="J1568" s="3">
        <v>258.74</v>
      </c>
      <c r="K1568" s="3" t="str">
        <f t="shared" ref="K1568:K1573" si="18">TEXT(L1568,"mmmm")</f>
        <v>February</v>
      </c>
      <c r="L1568" s="761">
        <v>44606</v>
      </c>
      <c r="M1568" s="761" t="s">
        <v>2125</v>
      </c>
      <c r="N1568" s="761">
        <v>44607</v>
      </c>
      <c r="O1568" s="761" t="s">
        <v>62</v>
      </c>
      <c r="P1568" s="3" t="s">
        <v>4361</v>
      </c>
      <c r="Q1568" s="762" t="s">
        <v>4362</v>
      </c>
      <c r="R1568" s="3"/>
      <c r="S1568" s="3" t="s">
        <v>1547</v>
      </c>
      <c r="T1568" s="3"/>
      <c r="U1568" s="3">
        <v>281.3</v>
      </c>
      <c r="V1568" s="4"/>
      <c r="W1568" s="761"/>
      <c r="X1568" s="4" t="str">
        <f t="shared" si="17"/>
        <v>February</v>
      </c>
      <c r="Y1568" s="761">
        <v>44609</v>
      </c>
      <c r="Z1568" s="761" t="s">
        <v>62</v>
      </c>
      <c r="AA1568" s="4"/>
      <c r="AB1568" s="4"/>
      <c r="AC1568" s="4"/>
      <c r="AD1568" s="4"/>
      <c r="AE1568" s="4"/>
      <c r="AF1568" s="4"/>
      <c r="AG1568" s="4">
        <v>5.22</v>
      </c>
      <c r="AH1568" s="4"/>
      <c r="AI1568" s="4"/>
      <c r="AJ1568" s="4"/>
      <c r="AK1568" s="4"/>
      <c r="AL1568" s="4"/>
      <c r="AM1568" s="4">
        <v>4.8600000000000003</v>
      </c>
    </row>
    <row r="1569" spans="1:39">
      <c r="B1569" s="747" t="s">
        <v>213</v>
      </c>
      <c r="C1569" s="938" t="s">
        <v>4303</v>
      </c>
      <c r="D1569" s="12" t="s">
        <v>4363</v>
      </c>
      <c r="E1569" s="779" t="s">
        <v>4364</v>
      </c>
      <c r="F1569" s="749">
        <v>7</v>
      </c>
      <c r="G1569" s="3" t="s">
        <v>932</v>
      </c>
      <c r="H1569" s="3" t="s">
        <v>1041</v>
      </c>
      <c r="I1569" s="3">
        <v>468.4</v>
      </c>
      <c r="J1569" s="3">
        <v>254.72</v>
      </c>
      <c r="K1569" s="3" t="str">
        <f t="shared" si="18"/>
        <v>February</v>
      </c>
      <c r="L1569" s="761">
        <v>44606</v>
      </c>
      <c r="M1569" s="761" t="s">
        <v>2125</v>
      </c>
      <c r="N1569" s="761">
        <v>44609</v>
      </c>
      <c r="O1569" s="761" t="s">
        <v>62</v>
      </c>
      <c r="P1569" s="3" t="s">
        <v>4365</v>
      </c>
      <c r="Q1569" s="762" t="s">
        <v>4366</v>
      </c>
      <c r="R1569" s="3"/>
      <c r="S1569" s="3" t="s">
        <v>130</v>
      </c>
      <c r="T1569" s="3"/>
      <c r="U1569" s="3">
        <v>276.8</v>
      </c>
      <c r="V1569" s="4"/>
      <c r="W1569" s="761"/>
      <c r="X1569" s="4" t="str">
        <f t="shared" si="17"/>
        <v>February</v>
      </c>
      <c r="Y1569" s="761">
        <v>44609</v>
      </c>
      <c r="Z1569" s="761" t="s">
        <v>62</v>
      </c>
      <c r="AA1569" s="4"/>
      <c r="AB1569" s="4"/>
      <c r="AC1569" s="4"/>
      <c r="AD1569" s="4"/>
      <c r="AE1569" s="4"/>
      <c r="AF1569" s="4"/>
      <c r="AG1569" s="4">
        <v>5.43</v>
      </c>
      <c r="AH1569" s="4"/>
      <c r="AI1569" s="4"/>
      <c r="AJ1569" s="4"/>
      <c r="AK1569" s="4"/>
      <c r="AL1569" s="4"/>
      <c r="AM1569" s="4">
        <v>5.43</v>
      </c>
    </row>
    <row r="1570" spans="1:39">
      <c r="B1570" s="747" t="s">
        <v>213</v>
      </c>
      <c r="C1570" s="938" t="s">
        <v>4303</v>
      </c>
      <c r="D1570" s="12" t="s">
        <v>4367</v>
      </c>
      <c r="E1570" s="12" t="s">
        <v>4368</v>
      </c>
      <c r="F1570" s="749">
        <v>8</v>
      </c>
      <c r="G1570" s="3" t="s">
        <v>932</v>
      </c>
      <c r="H1570" s="3" t="s">
        <v>1041</v>
      </c>
      <c r="I1570" s="3">
        <v>462.2</v>
      </c>
      <c r="J1570" s="3">
        <f>126.25+128.45</f>
        <v>254.7</v>
      </c>
      <c r="K1570" s="3" t="str">
        <f t="shared" si="18"/>
        <v>March</v>
      </c>
      <c r="L1570" s="761">
        <v>44630</v>
      </c>
      <c r="M1570" s="761" t="s">
        <v>2185</v>
      </c>
      <c r="N1570" s="761">
        <v>44631</v>
      </c>
      <c r="O1570" s="761" t="s">
        <v>62</v>
      </c>
      <c r="P1570" s="3" t="s">
        <v>4369</v>
      </c>
      <c r="R1570" s="3"/>
      <c r="S1570" s="3" t="s">
        <v>1547</v>
      </c>
      <c r="T1570" s="3"/>
      <c r="U1570" s="3">
        <v>277.7</v>
      </c>
      <c r="V1570" s="4"/>
      <c r="W1570" s="761"/>
      <c r="X1570" s="4" t="str">
        <f t="shared" si="17"/>
        <v>March</v>
      </c>
      <c r="Y1570" s="761">
        <v>44631</v>
      </c>
      <c r="Z1570" s="761" t="s">
        <v>62</v>
      </c>
      <c r="AA1570" s="4">
        <v>5.22</v>
      </c>
      <c r="AB1570" s="4"/>
      <c r="AC1570" s="4">
        <v>5.54</v>
      </c>
      <c r="AD1570" s="4"/>
      <c r="AE1570" s="4"/>
      <c r="AF1570" s="4"/>
      <c r="AG1570" s="4">
        <v>5.52</v>
      </c>
      <c r="AH1570" s="4"/>
      <c r="AI1570" s="4"/>
      <c r="AJ1570" s="4"/>
      <c r="AK1570" s="4"/>
      <c r="AL1570" s="4"/>
      <c r="AM1570" s="4">
        <v>5.29</v>
      </c>
    </row>
    <row r="1571" spans="1:39">
      <c r="B1571" s="747" t="s">
        <v>213</v>
      </c>
      <c r="C1571" s="938" t="s">
        <v>4303</v>
      </c>
      <c r="D1571" s="12" t="s">
        <v>4370</v>
      </c>
      <c r="E1571" s="12" t="s">
        <v>4371</v>
      </c>
      <c r="F1571" s="749">
        <v>9</v>
      </c>
      <c r="G1571" s="3" t="s">
        <v>932</v>
      </c>
      <c r="H1571" s="3" t="s">
        <v>1041</v>
      </c>
      <c r="I1571" s="3">
        <v>465.2</v>
      </c>
      <c r="J1571" s="3">
        <v>255.5</v>
      </c>
      <c r="K1571" s="3" t="str">
        <f t="shared" si="18"/>
        <v>March</v>
      </c>
      <c r="L1571" s="761">
        <v>44630</v>
      </c>
      <c r="M1571" s="761" t="s">
        <v>2185</v>
      </c>
      <c r="N1571" s="761">
        <v>44631</v>
      </c>
      <c r="O1571" s="761" t="s">
        <v>62</v>
      </c>
      <c r="P1571" s="762" t="s">
        <v>4372</v>
      </c>
      <c r="Q1571" s="3"/>
      <c r="R1571" s="3"/>
      <c r="S1571" s="3" t="s">
        <v>1547</v>
      </c>
      <c r="T1571" s="3"/>
      <c r="U1571" s="3">
        <v>278.39999999999998</v>
      </c>
      <c r="V1571" s="4"/>
      <c r="W1571" s="761"/>
      <c r="X1571" s="4" t="str">
        <f t="shared" si="17"/>
        <v>March</v>
      </c>
      <c r="Y1571" s="761">
        <v>44631</v>
      </c>
      <c r="Z1571" s="761" t="s">
        <v>62</v>
      </c>
      <c r="AA1571" s="4"/>
      <c r="AB1571" s="4"/>
      <c r="AC1571" s="4"/>
      <c r="AD1571" s="4"/>
      <c r="AE1571" s="4"/>
      <c r="AF1571" s="4"/>
      <c r="AG1571" s="4">
        <v>5.64</v>
      </c>
      <c r="AH1571" s="4"/>
      <c r="AI1571" s="4"/>
      <c r="AJ1571" s="4"/>
      <c r="AK1571" s="4"/>
      <c r="AL1571" s="4"/>
      <c r="AM1571" s="4">
        <v>4.99</v>
      </c>
    </row>
    <row r="1572" spans="1:39">
      <c r="B1572" s="747" t="s">
        <v>213</v>
      </c>
      <c r="C1572" s="938" t="s">
        <v>4303</v>
      </c>
      <c r="D1572" s="12" t="s">
        <v>4373</v>
      </c>
      <c r="E1572" s="12" t="s">
        <v>4374</v>
      </c>
      <c r="F1572" s="749">
        <v>10</v>
      </c>
      <c r="G1572" s="3" t="s">
        <v>932</v>
      </c>
      <c r="H1572" s="3" t="s">
        <v>1041</v>
      </c>
      <c r="I1572" s="3">
        <v>465.6</v>
      </c>
      <c r="J1572" s="3">
        <v>257.38</v>
      </c>
      <c r="K1572" s="3" t="str">
        <f t="shared" si="18"/>
        <v>March</v>
      </c>
      <c r="L1572" s="761">
        <v>44635</v>
      </c>
      <c r="M1572" s="761" t="s">
        <v>2185</v>
      </c>
      <c r="N1572" s="761">
        <v>44635</v>
      </c>
      <c r="O1572" s="761" t="s">
        <v>62</v>
      </c>
      <c r="P1572" s="762"/>
      <c r="Q1572" s="3"/>
      <c r="R1572" s="3"/>
      <c r="S1572" s="3" t="s">
        <v>1547</v>
      </c>
      <c r="T1572" s="3"/>
      <c r="U1572" s="3">
        <v>280.2</v>
      </c>
      <c r="V1572" s="4"/>
      <c r="W1572" s="761"/>
      <c r="X1572" s="4" t="str">
        <f t="shared" si="17"/>
        <v>March</v>
      </c>
      <c r="Y1572" s="761">
        <v>44635</v>
      </c>
      <c r="Z1572" s="761" t="s">
        <v>62</v>
      </c>
      <c r="AA1572" s="4"/>
      <c r="AB1572" s="4"/>
      <c r="AC1572" s="4"/>
      <c r="AD1572" s="4"/>
      <c r="AE1572" s="4"/>
      <c r="AF1572" s="4"/>
      <c r="AG1572" s="4">
        <v>5.03</v>
      </c>
      <c r="AH1572" s="4"/>
      <c r="AI1572" s="4"/>
      <c r="AJ1572" s="4"/>
      <c r="AK1572" s="4"/>
      <c r="AL1572" s="4"/>
      <c r="AM1572" s="4">
        <v>5.14</v>
      </c>
    </row>
    <row r="1573" spans="1:39">
      <c r="B1573" s="747" t="s">
        <v>213</v>
      </c>
      <c r="C1573" s="938" t="s">
        <v>4303</v>
      </c>
      <c r="D1573" s="12" t="s">
        <v>4375</v>
      </c>
      <c r="E1573" s="12" t="s">
        <v>4376</v>
      </c>
      <c r="F1573" s="749">
        <v>11</v>
      </c>
      <c r="G1573" s="3" t="s">
        <v>932</v>
      </c>
      <c r="H1573" s="3" t="s">
        <v>1041</v>
      </c>
      <c r="I1573" s="3">
        <v>471</v>
      </c>
      <c r="J1573" s="3">
        <v>259.7</v>
      </c>
      <c r="K1573" s="3" t="str">
        <f t="shared" si="18"/>
        <v>March</v>
      </c>
      <c r="L1573" s="761">
        <v>44635</v>
      </c>
      <c r="M1573" s="761" t="s">
        <v>2185</v>
      </c>
      <c r="N1573" s="761">
        <v>44635</v>
      </c>
      <c r="O1573" s="761" t="s">
        <v>62</v>
      </c>
      <c r="P1573" s="762" t="s">
        <v>4377</v>
      </c>
      <c r="Q1573" s="3"/>
      <c r="R1573" s="3"/>
      <c r="S1573" s="3" t="s">
        <v>1547</v>
      </c>
      <c r="T1573" s="3"/>
      <c r="U1573" s="3">
        <v>282.7</v>
      </c>
      <c r="V1573" s="4"/>
      <c r="W1573" s="761"/>
      <c r="X1573" s="4" t="str">
        <f t="shared" si="17"/>
        <v>March</v>
      </c>
      <c r="Y1573" s="761">
        <v>44635</v>
      </c>
      <c r="Z1573" s="761" t="s">
        <v>62</v>
      </c>
      <c r="AA1573" s="4"/>
      <c r="AB1573" s="4"/>
      <c r="AC1573" s="4"/>
      <c r="AD1573" s="4"/>
      <c r="AE1573" s="4"/>
      <c r="AF1573" s="4"/>
      <c r="AG1573" s="4" t="s">
        <v>4378</v>
      </c>
      <c r="AH1573" s="4"/>
      <c r="AI1573" s="4"/>
      <c r="AJ1573" s="4"/>
      <c r="AK1573" s="4"/>
      <c r="AL1573" s="4"/>
      <c r="AM1573" s="4">
        <v>5.54</v>
      </c>
    </row>
    <row r="1574" spans="1:39" s="707" customFormat="1">
      <c r="A1574"/>
      <c r="B1574" s="805" t="s">
        <v>13</v>
      </c>
      <c r="C1574" s="807" t="s">
        <v>2226</v>
      </c>
      <c r="D1574" s="876"/>
      <c r="E1574" s="875"/>
      <c r="F1574" s="808"/>
      <c r="G1574" s="807"/>
      <c r="H1574" s="807"/>
      <c r="I1574" s="807"/>
      <c r="J1574" s="807"/>
      <c r="K1574" s="807"/>
      <c r="L1574" s="819"/>
      <c r="M1574" s="819"/>
      <c r="N1574" s="819"/>
      <c r="O1574" s="819"/>
      <c r="P1574" s="820"/>
      <c r="Q1574" s="807"/>
      <c r="R1574" s="807"/>
      <c r="S1574" s="807"/>
      <c r="T1574" s="807"/>
      <c r="U1574" s="807"/>
      <c r="V1574" s="710"/>
      <c r="W1574" s="819"/>
      <c r="X1574" s="710"/>
      <c r="Y1574" s="819"/>
      <c r="Z1574" s="819"/>
      <c r="AA1574" s="710"/>
      <c r="AB1574" s="710"/>
      <c r="AC1574" s="710"/>
      <c r="AD1574" s="710"/>
      <c r="AE1574" s="710"/>
      <c r="AF1574" s="710"/>
      <c r="AG1574" s="710"/>
      <c r="AH1574" s="710"/>
      <c r="AI1574" s="710"/>
      <c r="AJ1574" s="710"/>
      <c r="AK1574" s="710"/>
      <c r="AL1574" s="710"/>
      <c r="AM1574" s="710"/>
    </row>
    <row r="1575" spans="1:39">
      <c r="B1575" s="747" t="s">
        <v>277</v>
      </c>
      <c r="C1575" s="938" t="s">
        <v>4303</v>
      </c>
      <c r="D1575" s="12" t="s">
        <v>4379</v>
      </c>
      <c r="E1575" s="12" t="s">
        <v>4380</v>
      </c>
      <c r="F1575" s="749">
        <v>1</v>
      </c>
      <c r="G1575" s="3" t="s">
        <v>932</v>
      </c>
      <c r="H1575" s="3" t="s">
        <v>932</v>
      </c>
      <c r="I1575" s="3">
        <v>464.5</v>
      </c>
      <c r="J1575" s="3">
        <v>253.52</v>
      </c>
      <c r="K1575" s="3" t="str">
        <f t="shared" ref="K1575:K1595" si="19">TEXT(L1575,"mmmm")</f>
        <v>March</v>
      </c>
      <c r="L1575" s="761">
        <v>44638</v>
      </c>
      <c r="M1575" s="761" t="s">
        <v>2185</v>
      </c>
      <c r="N1575" s="761">
        <v>44638</v>
      </c>
      <c r="O1575" s="761" t="s">
        <v>62</v>
      </c>
      <c r="P1575" s="762"/>
      <c r="Q1575" s="3"/>
      <c r="R1575" s="3"/>
      <c r="S1575" s="3" t="s">
        <v>1547</v>
      </c>
      <c r="T1575" s="3"/>
      <c r="U1575" s="3">
        <v>276.2</v>
      </c>
      <c r="V1575" s="4"/>
      <c r="W1575" s="761"/>
      <c r="X1575" s="4" t="s">
        <v>2185</v>
      </c>
      <c r="Y1575" s="761">
        <v>44638</v>
      </c>
      <c r="Z1575" s="761" t="s">
        <v>62</v>
      </c>
      <c r="AA1575" s="4"/>
      <c r="AB1575" s="4"/>
      <c r="AC1575" s="4"/>
      <c r="AD1575" s="4"/>
      <c r="AE1575" s="4"/>
      <c r="AF1575" s="4"/>
      <c r="AG1575" s="4" t="s">
        <v>1136</v>
      </c>
      <c r="AH1575" s="4"/>
      <c r="AI1575" s="4"/>
      <c r="AJ1575" s="4"/>
      <c r="AK1575" s="4"/>
      <c r="AL1575" s="4"/>
      <c r="AM1575" s="4">
        <v>5.43</v>
      </c>
    </row>
    <row r="1576" spans="1:39">
      <c r="B1576" s="747" t="s">
        <v>277</v>
      </c>
      <c r="C1576" s="938" t="s">
        <v>4303</v>
      </c>
      <c r="D1576" s="12" t="s">
        <v>4381</v>
      </c>
      <c r="E1576" s="12" t="s">
        <v>4382</v>
      </c>
      <c r="F1576" s="749">
        <v>2</v>
      </c>
      <c r="G1576" s="3" t="s">
        <v>932</v>
      </c>
      <c r="H1576" s="3" t="s">
        <v>1041</v>
      </c>
      <c r="I1576" s="3">
        <v>469.5</v>
      </c>
      <c r="J1576" s="3">
        <v>256.2</v>
      </c>
      <c r="K1576" s="3" t="str">
        <f t="shared" si="19"/>
        <v>March</v>
      </c>
      <c r="L1576" s="761">
        <v>44638</v>
      </c>
      <c r="M1576" s="761" t="s">
        <v>2185</v>
      </c>
      <c r="N1576" s="761">
        <v>44641</v>
      </c>
      <c r="O1576" s="761" t="s">
        <v>62</v>
      </c>
      <c r="P1576" s="762"/>
      <c r="Q1576" s="3" t="s">
        <v>4383</v>
      </c>
      <c r="R1576" s="3"/>
      <c r="S1576" s="3" t="s">
        <v>1547</v>
      </c>
      <c r="T1576" s="3"/>
      <c r="U1576" s="3">
        <v>279</v>
      </c>
      <c r="V1576" s="4"/>
      <c r="W1576" s="761"/>
      <c r="X1576" s="4" t="s">
        <v>2185</v>
      </c>
      <c r="Y1576" s="761">
        <v>44641</v>
      </c>
      <c r="Z1576" s="761" t="s">
        <v>62</v>
      </c>
      <c r="AA1576" s="4"/>
      <c r="AB1576" s="4"/>
      <c r="AC1576" s="4"/>
      <c r="AD1576" s="4"/>
      <c r="AE1576" s="4"/>
      <c r="AF1576" s="4"/>
      <c r="AG1576" s="4" t="s">
        <v>4384</v>
      </c>
      <c r="AH1576" s="4"/>
      <c r="AI1576" s="4"/>
      <c r="AJ1576" s="4"/>
      <c r="AK1576" s="4"/>
      <c r="AL1576" s="4"/>
      <c r="AM1576" s="4">
        <v>5.83</v>
      </c>
    </row>
    <row r="1577" spans="1:39">
      <c r="B1577" s="747" t="s">
        <v>277</v>
      </c>
      <c r="C1577" s="938" t="s">
        <v>4303</v>
      </c>
      <c r="D1577" s="12" t="s">
        <v>4385</v>
      </c>
      <c r="E1577" s="12" t="s">
        <v>4386</v>
      </c>
      <c r="F1577" s="749">
        <v>3</v>
      </c>
      <c r="G1577" s="3" t="s">
        <v>1041</v>
      </c>
      <c r="H1577" s="3" t="s">
        <v>1041</v>
      </c>
      <c r="I1577" s="3">
        <v>465.3</v>
      </c>
      <c r="J1577" s="3">
        <v>238.5</v>
      </c>
      <c r="K1577" s="3" t="str">
        <f t="shared" si="19"/>
        <v>March</v>
      </c>
      <c r="L1577" s="761">
        <v>44641</v>
      </c>
      <c r="M1577" s="761" t="s">
        <v>2185</v>
      </c>
      <c r="N1577" s="761">
        <v>44641</v>
      </c>
      <c r="O1577" s="761" t="s">
        <v>62</v>
      </c>
      <c r="P1577" s="2"/>
      <c r="Q1577" s="762" t="s">
        <v>4387</v>
      </c>
      <c r="R1577" s="3"/>
      <c r="S1577" s="3" t="s">
        <v>1547</v>
      </c>
      <c r="T1577" s="3"/>
      <c r="U1577" s="3">
        <v>282.89999999999998</v>
      </c>
      <c r="V1577" s="4"/>
      <c r="W1577" s="761"/>
      <c r="X1577" s="4" t="s">
        <v>2185</v>
      </c>
      <c r="Y1577" s="761">
        <v>44641</v>
      </c>
      <c r="Z1577" s="761" t="s">
        <v>62</v>
      </c>
      <c r="AA1577" s="4"/>
      <c r="AB1577" s="4"/>
      <c r="AC1577" s="4"/>
      <c r="AD1577" s="4"/>
      <c r="AE1577" s="4"/>
      <c r="AF1577" s="4"/>
      <c r="AG1577" s="4" t="s">
        <v>4388</v>
      </c>
      <c r="AH1577" s="4"/>
      <c r="AI1577" s="4"/>
      <c r="AJ1577" s="4"/>
      <c r="AK1577" s="4"/>
      <c r="AL1577" s="4"/>
      <c r="AM1577" s="710">
        <v>5.83</v>
      </c>
    </row>
    <row r="1578" spans="1:39">
      <c r="B1578" s="747" t="s">
        <v>277</v>
      </c>
      <c r="C1578" s="938" t="s">
        <v>4303</v>
      </c>
      <c r="D1578" s="12" t="s">
        <v>4389</v>
      </c>
      <c r="E1578" s="12" t="s">
        <v>4390</v>
      </c>
      <c r="F1578" s="749">
        <v>4</v>
      </c>
      <c r="G1578" s="3" t="s">
        <v>1041</v>
      </c>
      <c r="H1578" s="3" t="s">
        <v>1041</v>
      </c>
      <c r="I1578" s="3">
        <v>468</v>
      </c>
      <c r="J1578" s="3">
        <v>253.4</v>
      </c>
      <c r="K1578" s="3" t="str">
        <f t="shared" si="19"/>
        <v>March</v>
      </c>
      <c r="L1578" s="761">
        <v>44642</v>
      </c>
      <c r="M1578" s="761" t="s">
        <v>2185</v>
      </c>
      <c r="N1578" s="761">
        <v>44643</v>
      </c>
      <c r="O1578" s="761" t="s">
        <v>62</v>
      </c>
      <c r="P1578" s="3" t="s">
        <v>4391</v>
      </c>
      <c r="S1578" s="2" t="s">
        <v>1547</v>
      </c>
      <c r="U1578" s="2">
        <v>276</v>
      </c>
      <c r="V1578" s="4"/>
      <c r="W1578" s="944"/>
      <c r="X1578" s="4" t="s">
        <v>2185</v>
      </c>
      <c r="Y1578" s="944">
        <v>44642</v>
      </c>
      <c r="Z1578" s="761" t="s">
        <v>62</v>
      </c>
      <c r="AA1578" s="4"/>
      <c r="AB1578" s="4"/>
      <c r="AC1578" s="4"/>
      <c r="AD1578" s="4"/>
      <c r="AE1578" s="4"/>
      <c r="AF1578" s="4"/>
      <c r="AG1578" s="4" t="s">
        <v>4392</v>
      </c>
      <c r="AH1578" s="4"/>
      <c r="AI1578" s="4"/>
      <c r="AJ1578" s="4"/>
      <c r="AK1578" s="4"/>
      <c r="AL1578" s="4"/>
      <c r="AM1578" s="4">
        <v>5.4</v>
      </c>
    </row>
    <row r="1579" spans="1:39">
      <c r="B1579" s="747" t="s">
        <v>277</v>
      </c>
      <c r="C1579" s="938" t="s">
        <v>4303</v>
      </c>
      <c r="D1579" s="12" t="s">
        <v>4393</v>
      </c>
      <c r="E1579" s="12" t="s">
        <v>4394</v>
      </c>
      <c r="F1579" s="749">
        <v>5</v>
      </c>
      <c r="G1579" s="3" t="s">
        <v>1041</v>
      </c>
      <c r="H1579" s="3" t="s">
        <v>1041</v>
      </c>
      <c r="I1579" s="3">
        <v>468.6</v>
      </c>
      <c r="J1579" s="3">
        <v>256.62</v>
      </c>
      <c r="K1579" s="3" t="str">
        <f t="shared" si="19"/>
        <v>March</v>
      </c>
      <c r="L1579" s="761">
        <v>44642</v>
      </c>
      <c r="M1579" s="761" t="s">
        <v>2185</v>
      </c>
      <c r="N1579" s="761">
        <v>44642</v>
      </c>
      <c r="O1579" s="761" t="s">
        <v>62</v>
      </c>
      <c r="P1579" s="762"/>
      <c r="Q1579" s="3"/>
      <c r="R1579" s="3"/>
      <c r="S1579" s="3" t="s">
        <v>1547</v>
      </c>
      <c r="T1579" s="3"/>
      <c r="U1579" s="3">
        <v>279.2</v>
      </c>
      <c r="V1579" s="4"/>
      <c r="W1579" s="761"/>
      <c r="X1579" s="4" t="s">
        <v>2185</v>
      </c>
      <c r="Y1579" s="761">
        <v>44643</v>
      </c>
      <c r="Z1579" s="761" t="s">
        <v>62</v>
      </c>
      <c r="AA1579" s="4"/>
      <c r="AB1579" s="4"/>
      <c r="AC1579" s="4"/>
      <c r="AD1579" s="4"/>
      <c r="AE1579" s="4"/>
      <c r="AF1579" s="4"/>
      <c r="AG1579" s="4" t="s">
        <v>4395</v>
      </c>
      <c r="AH1579" s="4"/>
      <c r="AI1579" s="4"/>
      <c r="AJ1579" s="4"/>
      <c r="AK1579" s="4"/>
      <c r="AL1579" s="4"/>
      <c r="AM1579" s="4">
        <v>5.46</v>
      </c>
    </row>
    <row r="1580" spans="1:39">
      <c r="B1580" s="747" t="s">
        <v>277</v>
      </c>
      <c r="C1580" s="938" t="s">
        <v>4303</v>
      </c>
      <c r="D1580" s="12" t="s">
        <v>4396</v>
      </c>
      <c r="E1580" s="12" t="s">
        <v>4397</v>
      </c>
      <c r="F1580" s="749">
        <v>6</v>
      </c>
      <c r="G1580" s="3" t="s">
        <v>932</v>
      </c>
      <c r="H1580" s="3" t="s">
        <v>1041</v>
      </c>
      <c r="I1580" s="3">
        <v>463</v>
      </c>
      <c r="J1580" s="3">
        <v>258.74</v>
      </c>
      <c r="K1580" s="3" t="str">
        <f t="shared" si="19"/>
        <v>March</v>
      </c>
      <c r="L1580" s="761">
        <v>44643</v>
      </c>
      <c r="M1580" s="761" t="s">
        <v>2185</v>
      </c>
      <c r="N1580" s="761">
        <v>44643</v>
      </c>
      <c r="O1580" s="761" t="s">
        <v>62</v>
      </c>
      <c r="P1580" s="762" t="s">
        <v>4398</v>
      </c>
      <c r="Q1580" s="762" t="s">
        <v>4399</v>
      </c>
      <c r="R1580" s="3"/>
      <c r="S1580" s="3" t="s">
        <v>1547</v>
      </c>
      <c r="T1580" s="3"/>
      <c r="U1580" s="3">
        <v>281.3</v>
      </c>
      <c r="V1580" s="4"/>
      <c r="W1580" s="761"/>
      <c r="X1580" s="4" t="s">
        <v>2185</v>
      </c>
      <c r="Y1580" s="761">
        <v>44643</v>
      </c>
      <c r="Z1580" s="761" t="s">
        <v>62</v>
      </c>
      <c r="AA1580" s="4"/>
      <c r="AB1580" s="4"/>
      <c r="AC1580" s="4"/>
      <c r="AD1580" s="4"/>
      <c r="AE1580" s="4"/>
      <c r="AF1580" s="4"/>
      <c r="AG1580" s="4" t="s">
        <v>4400</v>
      </c>
      <c r="AH1580" s="4"/>
      <c r="AI1580" s="4"/>
      <c r="AJ1580" s="4"/>
      <c r="AK1580" s="4"/>
      <c r="AL1580" s="4"/>
      <c r="AM1580" s="4">
        <v>5</v>
      </c>
    </row>
    <row r="1581" spans="1:39">
      <c r="B1581" s="747" t="s">
        <v>277</v>
      </c>
      <c r="C1581" s="938" t="s">
        <v>4303</v>
      </c>
      <c r="D1581" s="12" t="s">
        <v>4401</v>
      </c>
      <c r="E1581" s="12" t="s">
        <v>4402</v>
      </c>
      <c r="F1581" s="749">
        <v>7</v>
      </c>
      <c r="G1581" s="3" t="s">
        <v>932</v>
      </c>
      <c r="H1581" s="3" t="s">
        <v>1041</v>
      </c>
      <c r="I1581" s="3">
        <v>464.4</v>
      </c>
      <c r="J1581" s="3">
        <v>257.54000000000002</v>
      </c>
      <c r="K1581" s="3" t="str">
        <f t="shared" si="19"/>
        <v>March</v>
      </c>
      <c r="L1581" s="761">
        <v>44643</v>
      </c>
      <c r="M1581" s="761" t="s">
        <v>2185</v>
      </c>
      <c r="N1581" s="761">
        <v>44643</v>
      </c>
      <c r="O1581" s="761" t="s">
        <v>62</v>
      </c>
      <c r="P1581" s="3" t="s">
        <v>4403</v>
      </c>
      <c r="Q1581" s="762" t="s">
        <v>4404</v>
      </c>
      <c r="R1581" s="3"/>
      <c r="S1581" s="3" t="s">
        <v>1547</v>
      </c>
      <c r="T1581" s="3"/>
      <c r="U1581" s="3">
        <v>280.10000000000002</v>
      </c>
      <c r="V1581" s="4"/>
      <c r="W1581" s="761"/>
      <c r="X1581" s="4" t="s">
        <v>2185</v>
      </c>
      <c r="Y1581" s="761">
        <v>44643</v>
      </c>
      <c r="Z1581" s="761" t="s">
        <v>62</v>
      </c>
      <c r="AA1581" s="4"/>
      <c r="AB1581" s="4"/>
      <c r="AC1581" s="4"/>
      <c r="AD1581" s="4"/>
      <c r="AE1581" s="4"/>
      <c r="AF1581" s="4"/>
      <c r="AG1581" s="4" t="s">
        <v>4405</v>
      </c>
      <c r="AH1581" s="4"/>
      <c r="AI1581" s="4"/>
      <c r="AJ1581" s="4"/>
      <c r="AK1581" s="4"/>
      <c r="AL1581" s="4"/>
      <c r="AM1581" s="4">
        <v>5.15</v>
      </c>
    </row>
    <row r="1582" spans="1:39">
      <c r="B1582" s="747" t="s">
        <v>277</v>
      </c>
      <c r="C1582" s="938" t="s">
        <v>4303</v>
      </c>
      <c r="D1582" s="12" t="s">
        <v>4406</v>
      </c>
      <c r="E1582" s="12" t="s">
        <v>4407</v>
      </c>
      <c r="F1582" s="749">
        <v>8</v>
      </c>
      <c r="G1582" s="2" t="s">
        <v>1041</v>
      </c>
      <c r="H1582" s="3" t="s">
        <v>1041</v>
      </c>
      <c r="I1582" s="2">
        <v>465.6</v>
      </c>
      <c r="J1582" s="3">
        <v>253.24</v>
      </c>
      <c r="K1582" s="3" t="str">
        <f t="shared" si="19"/>
        <v>March</v>
      </c>
      <c r="L1582" s="761">
        <v>44645</v>
      </c>
      <c r="M1582" s="761" t="s">
        <v>2185</v>
      </c>
      <c r="N1582" s="761">
        <v>44644</v>
      </c>
      <c r="O1582" s="761" t="s">
        <v>62</v>
      </c>
      <c r="P1582" s="2" t="s">
        <v>4408</v>
      </c>
      <c r="Q1582" s="762" t="s">
        <v>4409</v>
      </c>
      <c r="R1582" s="3"/>
      <c r="S1582" s="3" t="s">
        <v>1547</v>
      </c>
      <c r="T1582" s="3"/>
      <c r="U1582" s="3">
        <v>275.8</v>
      </c>
      <c r="V1582" s="4"/>
      <c r="W1582" s="761"/>
      <c r="X1582" s="4" t="s">
        <v>2185</v>
      </c>
      <c r="Y1582" s="761">
        <v>44645</v>
      </c>
      <c r="Z1582" s="761" t="s">
        <v>62</v>
      </c>
      <c r="AA1582" s="4"/>
      <c r="AB1582" s="4"/>
      <c r="AC1582" s="4"/>
      <c r="AD1582" s="4"/>
      <c r="AE1582" s="4"/>
      <c r="AF1582" s="4"/>
      <c r="AG1582" s="4" t="s">
        <v>4410</v>
      </c>
      <c r="AH1582" s="4"/>
      <c r="AI1582" s="4"/>
      <c r="AJ1582" s="4"/>
      <c r="AK1582" s="4"/>
      <c r="AL1582" s="4"/>
      <c r="AM1582" s="4">
        <v>5.3</v>
      </c>
    </row>
    <row r="1583" spans="1:39">
      <c r="B1583" s="747" t="s">
        <v>277</v>
      </c>
      <c r="C1583" s="938" t="s">
        <v>4303</v>
      </c>
      <c r="D1583" s="12" t="s">
        <v>4411</v>
      </c>
      <c r="E1583" s="12" t="s">
        <v>4412</v>
      </c>
      <c r="F1583" s="749">
        <v>9</v>
      </c>
      <c r="G1583" s="3" t="s">
        <v>1041</v>
      </c>
      <c r="H1583" s="3" t="s">
        <v>1041</v>
      </c>
      <c r="I1583" s="3">
        <v>466.9</v>
      </c>
      <c r="J1583" s="3">
        <v>259.08</v>
      </c>
      <c r="K1583" s="3" t="str">
        <f t="shared" si="19"/>
        <v>March</v>
      </c>
      <c r="L1583" s="761">
        <v>44645</v>
      </c>
      <c r="M1583" s="761" t="s">
        <v>2185</v>
      </c>
      <c r="N1583" s="761">
        <v>44645</v>
      </c>
      <c r="O1583" s="761" t="s">
        <v>62</v>
      </c>
      <c r="P1583" s="762" t="s">
        <v>4413</v>
      </c>
      <c r="Q1583" s="3"/>
      <c r="R1583" s="3"/>
      <c r="S1583" s="3" t="s">
        <v>1547</v>
      </c>
      <c r="T1583" s="3"/>
      <c r="U1583" s="3">
        <v>282</v>
      </c>
      <c r="V1583" s="4"/>
      <c r="W1583" s="761"/>
      <c r="X1583" s="4" t="s">
        <v>2185</v>
      </c>
      <c r="Y1583" s="761">
        <v>44645</v>
      </c>
      <c r="Z1583" s="761" t="s">
        <v>62</v>
      </c>
      <c r="AA1583" s="4"/>
      <c r="AB1583" s="4"/>
      <c r="AC1583" s="4"/>
      <c r="AD1583" s="4"/>
      <c r="AE1583" s="4"/>
      <c r="AF1583" s="4"/>
      <c r="AG1583" s="4" t="s">
        <v>4414</v>
      </c>
      <c r="AH1583" s="4"/>
      <c r="AI1583" s="4"/>
      <c r="AJ1583" s="4"/>
      <c r="AK1583" s="4"/>
      <c r="AL1583" s="4"/>
      <c r="AM1583" s="4">
        <v>5.15</v>
      </c>
    </row>
    <row r="1584" spans="1:39">
      <c r="B1584" s="747" t="s">
        <v>277</v>
      </c>
      <c r="C1584" s="938" t="s">
        <v>4303</v>
      </c>
      <c r="D1584" s="12" t="s">
        <v>4415</v>
      </c>
      <c r="E1584" s="12" t="s">
        <v>4416</v>
      </c>
      <c r="F1584" s="749">
        <v>10</v>
      </c>
      <c r="G1584" s="3" t="s">
        <v>932</v>
      </c>
      <c r="H1584" s="2" t="s">
        <v>1041</v>
      </c>
      <c r="I1584" s="3">
        <v>465.7</v>
      </c>
      <c r="J1584">
        <v>255.44</v>
      </c>
      <c r="K1584" s="3" t="str">
        <f t="shared" si="19"/>
        <v>March</v>
      </c>
      <c r="L1584" s="761">
        <v>44645</v>
      </c>
      <c r="M1584" s="761" t="s">
        <v>2185</v>
      </c>
      <c r="N1584" s="761">
        <v>44648</v>
      </c>
      <c r="O1584" s="761" t="s">
        <v>62</v>
      </c>
      <c r="P1584" s="3" t="s">
        <v>4417</v>
      </c>
      <c r="Q1584" s="762" t="s">
        <v>4418</v>
      </c>
      <c r="R1584" s="3"/>
      <c r="S1584" s="3" t="s">
        <v>1547</v>
      </c>
      <c r="T1584" s="3"/>
      <c r="U1584" s="3">
        <v>278.10000000000002</v>
      </c>
      <c r="V1584" s="4"/>
      <c r="W1584" s="761"/>
      <c r="X1584" s="4" t="s">
        <v>2185</v>
      </c>
      <c r="Y1584" s="761">
        <v>44649</v>
      </c>
      <c r="Z1584" s="761" t="s">
        <v>62</v>
      </c>
      <c r="AA1584" s="4"/>
      <c r="AB1584" s="4"/>
      <c r="AC1584" s="4"/>
      <c r="AD1584" s="4"/>
      <c r="AE1584" s="4"/>
      <c r="AF1584" s="4"/>
      <c r="AG1584" s="4" t="s">
        <v>4419</v>
      </c>
      <c r="AH1584" s="4"/>
      <c r="AI1584" s="4"/>
      <c r="AJ1584" s="4"/>
      <c r="AK1584" s="4"/>
      <c r="AL1584" s="4"/>
      <c r="AM1584" s="4">
        <v>5.49</v>
      </c>
    </row>
    <row r="1585" spans="2:39">
      <c r="B1585" s="747" t="s">
        <v>277</v>
      </c>
      <c r="C1585" s="938" t="s">
        <v>4303</v>
      </c>
      <c r="D1585" s="12" t="s">
        <v>4420</v>
      </c>
      <c r="E1585" s="12" t="s">
        <v>4421</v>
      </c>
      <c r="F1585" s="749">
        <v>11</v>
      </c>
      <c r="G1585" s="3" t="s">
        <v>932</v>
      </c>
      <c r="H1585" s="3" t="s">
        <v>1041</v>
      </c>
      <c r="I1585" s="3">
        <v>468.8</v>
      </c>
      <c r="J1585" s="3">
        <v>257.72000000000003</v>
      </c>
      <c r="K1585" s="3" t="str">
        <f t="shared" si="19"/>
        <v>March</v>
      </c>
      <c r="L1585" s="761">
        <v>44648</v>
      </c>
      <c r="M1585" s="761" t="s">
        <v>2185</v>
      </c>
      <c r="N1585" s="761">
        <v>44649</v>
      </c>
      <c r="O1585" s="761" t="s">
        <v>62</v>
      </c>
      <c r="P1585" s="762" t="s">
        <v>4422</v>
      </c>
      <c r="R1585" s="3"/>
      <c r="S1585" s="3" t="s">
        <v>1547</v>
      </c>
      <c r="T1585" s="3"/>
      <c r="U1585" s="3">
        <v>280.3</v>
      </c>
      <c r="V1585" s="4"/>
      <c r="W1585" s="761"/>
      <c r="X1585" s="4" t="s">
        <v>2185</v>
      </c>
      <c r="Y1585" s="761">
        <v>44649</v>
      </c>
      <c r="Z1585" s="761" t="s">
        <v>62</v>
      </c>
      <c r="AA1585" s="4"/>
      <c r="AB1585" s="4"/>
      <c r="AC1585" s="4"/>
      <c r="AD1585" s="4"/>
      <c r="AE1585" s="4"/>
      <c r="AF1585" s="4"/>
      <c r="AG1585" s="4" t="s">
        <v>4423</v>
      </c>
      <c r="AH1585" s="4"/>
      <c r="AI1585" s="4"/>
      <c r="AJ1585" s="4"/>
      <c r="AK1585" s="4"/>
      <c r="AL1585" s="4"/>
      <c r="AM1585" s="4">
        <v>5.29</v>
      </c>
    </row>
    <row r="1586" spans="2:39">
      <c r="B1586" s="747" t="s">
        <v>277</v>
      </c>
      <c r="C1586" s="938" t="s">
        <v>4303</v>
      </c>
      <c r="D1586" s="12" t="s">
        <v>4424</v>
      </c>
      <c r="E1586" s="12" t="s">
        <v>4425</v>
      </c>
      <c r="F1586" s="749">
        <v>12</v>
      </c>
      <c r="G1586" s="3" t="s">
        <v>932</v>
      </c>
      <c r="H1586" s="3" t="s">
        <v>1041</v>
      </c>
      <c r="I1586" s="3">
        <v>467.1</v>
      </c>
      <c r="J1586" s="3">
        <v>258.48</v>
      </c>
      <c r="K1586" s="3" t="str">
        <f t="shared" si="19"/>
        <v>March</v>
      </c>
      <c r="L1586" s="761">
        <v>44648</v>
      </c>
      <c r="M1586" s="761" t="s">
        <v>2185</v>
      </c>
      <c r="N1586" s="761">
        <v>44649</v>
      </c>
      <c r="O1586" s="761" t="s">
        <v>62</v>
      </c>
      <c r="P1586" s="762" t="s">
        <v>4426</v>
      </c>
      <c r="Q1586" s="3"/>
      <c r="R1586" s="3"/>
      <c r="S1586" s="3" t="s">
        <v>1547</v>
      </c>
      <c r="T1586" s="3"/>
      <c r="U1586" s="3">
        <v>281</v>
      </c>
      <c r="V1586" s="4"/>
      <c r="W1586" s="761"/>
      <c r="X1586" s="4" t="s">
        <v>2185</v>
      </c>
      <c r="Y1586" s="761">
        <v>44649</v>
      </c>
      <c r="Z1586" s="761" t="s">
        <v>62</v>
      </c>
      <c r="AA1586" s="4"/>
      <c r="AB1586" s="4"/>
      <c r="AC1586" s="4"/>
      <c r="AD1586" s="4"/>
      <c r="AE1586" s="4"/>
      <c r="AF1586" s="4"/>
      <c r="AG1586" s="4" t="s">
        <v>4427</v>
      </c>
      <c r="AH1586" s="4"/>
      <c r="AI1586" s="4"/>
      <c r="AJ1586" s="4"/>
      <c r="AK1586" s="4"/>
      <c r="AL1586" s="4"/>
      <c r="AM1586" s="4">
        <v>5.34</v>
      </c>
    </row>
    <row r="1587" spans="2:39">
      <c r="B1587" s="747" t="s">
        <v>277</v>
      </c>
      <c r="C1587" s="938" t="s">
        <v>4303</v>
      </c>
      <c r="D1587" s="12" t="s">
        <v>4428</v>
      </c>
      <c r="E1587" s="12" t="s">
        <v>4429</v>
      </c>
      <c r="F1587" s="749">
        <v>13</v>
      </c>
      <c r="G1587" s="3" t="s">
        <v>932</v>
      </c>
      <c r="H1587" s="3" t="s">
        <v>932</v>
      </c>
      <c r="I1587" s="3">
        <v>461</v>
      </c>
      <c r="J1587" s="3">
        <v>251.74</v>
      </c>
      <c r="K1587" s="3" t="str">
        <f t="shared" si="19"/>
        <v>March</v>
      </c>
      <c r="L1587" s="761">
        <v>44649</v>
      </c>
      <c r="M1587" s="761" t="s">
        <v>2185</v>
      </c>
      <c r="N1587" s="761">
        <v>44650</v>
      </c>
      <c r="O1587" s="761" t="s">
        <v>62</v>
      </c>
      <c r="P1587" s="762" t="s">
        <v>4430</v>
      </c>
      <c r="Q1587" s="3" t="s">
        <v>4431</v>
      </c>
      <c r="R1587" s="3"/>
      <c r="S1587" s="3" t="s">
        <v>1547</v>
      </c>
      <c r="T1587" s="3"/>
      <c r="U1587" s="3">
        <v>274.3</v>
      </c>
      <c r="V1587" s="4"/>
      <c r="W1587" s="761"/>
      <c r="X1587" s="4" t="s">
        <v>2185</v>
      </c>
      <c r="Y1587" s="761">
        <v>44650</v>
      </c>
      <c r="Z1587" s="761" t="s">
        <v>62</v>
      </c>
      <c r="AA1587" s="4"/>
      <c r="AB1587" s="4"/>
      <c r="AC1587" s="4"/>
      <c r="AD1587" s="4"/>
      <c r="AE1587" s="4"/>
      <c r="AF1587" s="4"/>
      <c r="AG1587" s="4" t="s">
        <v>1187</v>
      </c>
      <c r="AH1587" s="4"/>
      <c r="AI1587" s="4"/>
      <c r="AJ1587" s="4"/>
      <c r="AK1587" s="4"/>
      <c r="AL1587" s="4"/>
      <c r="AM1587" s="4">
        <v>5.27</v>
      </c>
    </row>
    <row r="1588" spans="2:39">
      <c r="B1588" s="747" t="s">
        <v>277</v>
      </c>
      <c r="C1588" s="938" t="s">
        <v>4303</v>
      </c>
      <c r="D1588" s="12" t="s">
        <v>4432</v>
      </c>
      <c r="E1588" s="12" t="s">
        <v>4433</v>
      </c>
      <c r="F1588" s="749">
        <v>14</v>
      </c>
      <c r="G1588" s="3" t="s">
        <v>932</v>
      </c>
      <c r="H1588" s="3" t="s">
        <v>932</v>
      </c>
      <c r="I1588" s="3">
        <v>469.4</v>
      </c>
      <c r="J1588" s="3">
        <v>257</v>
      </c>
      <c r="K1588" s="3" t="str">
        <f t="shared" si="19"/>
        <v>March</v>
      </c>
      <c r="L1588" s="761">
        <v>44650</v>
      </c>
      <c r="M1588" s="761" t="s">
        <v>2185</v>
      </c>
      <c r="N1588" s="761">
        <v>44650</v>
      </c>
      <c r="O1588" s="761" t="s">
        <v>62</v>
      </c>
      <c r="P1588" s="762" t="s">
        <v>4434</v>
      </c>
      <c r="Q1588" s="3" t="s">
        <v>4435</v>
      </c>
      <c r="R1588" s="3"/>
      <c r="S1588" s="3" t="s">
        <v>1547</v>
      </c>
      <c r="T1588" s="3"/>
      <c r="U1588" s="3">
        <v>279.60000000000002</v>
      </c>
      <c r="V1588" s="4"/>
      <c r="W1588" s="761"/>
      <c r="X1588" s="4" t="s">
        <v>2185</v>
      </c>
      <c r="Y1588" s="761">
        <v>44651</v>
      </c>
      <c r="Z1588" s="761" t="s">
        <v>62</v>
      </c>
      <c r="AA1588" s="4"/>
      <c r="AB1588" s="4"/>
      <c r="AC1588" s="4"/>
      <c r="AD1588" s="4"/>
      <c r="AE1588" s="4"/>
      <c r="AF1588" s="4"/>
      <c r="AG1588" s="4" t="s">
        <v>4436</v>
      </c>
      <c r="AH1588" s="4"/>
      <c r="AI1588" s="4"/>
      <c r="AJ1588" s="4"/>
      <c r="AK1588" s="4"/>
      <c r="AL1588" s="4"/>
      <c r="AM1588" s="4">
        <v>5.08</v>
      </c>
    </row>
    <row r="1589" spans="2:39">
      <c r="B1589" s="747" t="s">
        <v>277</v>
      </c>
      <c r="C1589" s="938" t="s">
        <v>4303</v>
      </c>
      <c r="D1589" s="12" t="s">
        <v>4437</v>
      </c>
      <c r="E1589" s="12" t="s">
        <v>4438</v>
      </c>
      <c r="F1589" s="749">
        <v>15</v>
      </c>
      <c r="G1589" s="3" t="s">
        <v>932</v>
      </c>
      <c r="H1589" s="3" t="s">
        <v>932</v>
      </c>
      <c r="I1589" s="3">
        <v>464</v>
      </c>
      <c r="J1589" s="3">
        <v>257.16000000000003</v>
      </c>
      <c r="K1589" s="3" t="str">
        <f t="shared" si="19"/>
        <v>March</v>
      </c>
      <c r="L1589" s="761">
        <v>44651</v>
      </c>
      <c r="M1589" s="761" t="s">
        <v>2185</v>
      </c>
      <c r="N1589" s="761">
        <v>44650</v>
      </c>
      <c r="O1589" s="761" t="s">
        <v>62</v>
      </c>
      <c r="P1589" s="762" t="s">
        <v>4439</v>
      </c>
      <c r="Q1589" s="3" t="s">
        <v>4440</v>
      </c>
      <c r="R1589" s="3"/>
      <c r="S1589" s="3" t="s">
        <v>1547</v>
      </c>
      <c r="T1589" s="3"/>
      <c r="U1589" s="3">
        <v>280</v>
      </c>
      <c r="V1589" s="4"/>
      <c r="W1589" s="761"/>
      <c r="X1589" s="4" t="s">
        <v>2185</v>
      </c>
      <c r="Y1589" s="761">
        <v>44651</v>
      </c>
      <c r="Z1589" s="761" t="s">
        <v>62</v>
      </c>
      <c r="AA1589" s="4"/>
      <c r="AB1589" s="4"/>
      <c r="AC1589" s="4"/>
      <c r="AD1589" s="4"/>
      <c r="AE1589" s="4"/>
      <c r="AF1589" s="4"/>
      <c r="AG1589" s="4" t="s">
        <v>4441</v>
      </c>
      <c r="AH1589" s="4"/>
      <c r="AI1589" s="4"/>
      <c r="AJ1589" s="4"/>
      <c r="AK1589" s="4"/>
      <c r="AL1589" s="4"/>
      <c r="AM1589" s="4">
        <v>5.25</v>
      </c>
    </row>
    <row r="1590" spans="2:39">
      <c r="B1590" s="747" t="s">
        <v>277</v>
      </c>
      <c r="C1590" s="938" t="s">
        <v>4303</v>
      </c>
      <c r="D1590" s="12" t="s">
        <v>4442</v>
      </c>
      <c r="E1590" s="12" t="s">
        <v>4443</v>
      </c>
      <c r="F1590" s="749">
        <v>16</v>
      </c>
      <c r="G1590" s="3" t="s">
        <v>932</v>
      </c>
      <c r="H1590" s="3" t="s">
        <v>1041</v>
      </c>
      <c r="I1590" s="3">
        <v>463.5</v>
      </c>
      <c r="J1590" s="3">
        <v>253.9</v>
      </c>
      <c r="K1590" s="3" t="str">
        <f t="shared" si="19"/>
        <v>April</v>
      </c>
      <c r="L1590" s="761">
        <v>44657</v>
      </c>
      <c r="M1590" s="761" t="s">
        <v>2272</v>
      </c>
      <c r="N1590" s="761">
        <v>44659</v>
      </c>
      <c r="O1590" s="761" t="s">
        <v>62</v>
      </c>
      <c r="P1590" s="762" t="s">
        <v>4444</v>
      </c>
      <c r="Q1590" s="3" t="s">
        <v>4445</v>
      </c>
      <c r="R1590" s="3"/>
      <c r="S1590" s="3" t="s">
        <v>1547</v>
      </c>
      <c r="T1590" s="3"/>
      <c r="U1590" s="3">
        <v>276.5</v>
      </c>
      <c r="V1590" s="4"/>
      <c r="W1590" s="761"/>
      <c r="X1590" s="4" t="s">
        <v>2272</v>
      </c>
      <c r="Y1590" s="761">
        <v>44659</v>
      </c>
      <c r="Z1590" s="761" t="s">
        <v>62</v>
      </c>
      <c r="AA1590" s="4"/>
      <c r="AB1590" s="4"/>
      <c r="AC1590" s="4"/>
      <c r="AD1590" s="4"/>
      <c r="AE1590" s="4"/>
      <c r="AF1590" s="4"/>
      <c r="AG1590" s="4" t="s">
        <v>4446</v>
      </c>
      <c r="AH1590" s="4"/>
      <c r="AI1590" s="4"/>
      <c r="AJ1590" s="4"/>
      <c r="AK1590" s="4"/>
      <c r="AL1590" s="4"/>
      <c r="AM1590" s="4">
        <v>5.29</v>
      </c>
    </row>
    <row r="1591" spans="2:39">
      <c r="B1591" s="747" t="s">
        <v>277</v>
      </c>
      <c r="C1591" s="938" t="s">
        <v>4303</v>
      </c>
      <c r="D1591" s="12" t="s">
        <v>4447</v>
      </c>
      <c r="E1591" s="12" t="s">
        <v>4448</v>
      </c>
      <c r="F1591" s="749">
        <v>17</v>
      </c>
      <c r="G1591" s="3" t="s">
        <v>932</v>
      </c>
      <c r="H1591" t="s">
        <v>1041</v>
      </c>
      <c r="I1591" s="3">
        <v>460.8</v>
      </c>
      <c r="J1591">
        <v>253.62</v>
      </c>
      <c r="K1591" s="3" t="str">
        <f t="shared" si="19"/>
        <v>April</v>
      </c>
      <c r="L1591" s="761">
        <v>44662</v>
      </c>
      <c r="M1591" s="761" t="s">
        <v>2272</v>
      </c>
      <c r="N1591" s="761">
        <v>44662</v>
      </c>
      <c r="O1591" s="761" t="s">
        <v>62</v>
      </c>
      <c r="P1591" s="3" t="s">
        <v>4449</v>
      </c>
      <c r="Q1591" s="2" t="s">
        <v>4450</v>
      </c>
      <c r="R1591" s="3"/>
      <c r="S1591" s="3" t="s">
        <v>1547</v>
      </c>
      <c r="T1591" s="3"/>
      <c r="U1591" s="3">
        <v>276.2</v>
      </c>
      <c r="V1591" s="4"/>
      <c r="W1591" s="761"/>
      <c r="X1591" s="4" t="s">
        <v>2272</v>
      </c>
      <c r="Y1591" s="761">
        <v>44662</v>
      </c>
      <c r="Z1591" s="761" t="s">
        <v>62</v>
      </c>
      <c r="AA1591" s="4"/>
      <c r="AB1591" s="4"/>
      <c r="AC1591" s="4"/>
      <c r="AD1591" s="4"/>
      <c r="AE1591" s="4"/>
      <c r="AF1591" s="4"/>
      <c r="AG1591" s="4" t="s">
        <v>4451</v>
      </c>
      <c r="AH1591" s="4"/>
      <c r="AI1591" s="4"/>
      <c r="AJ1591" s="4"/>
      <c r="AK1591" s="4"/>
      <c r="AL1591" s="4"/>
      <c r="AM1591" s="4">
        <v>4.96</v>
      </c>
    </row>
    <row r="1592" spans="2:39">
      <c r="B1592" s="747" t="s">
        <v>277</v>
      </c>
      <c r="C1592" s="938" t="s">
        <v>4303</v>
      </c>
      <c r="D1592" s="12" t="s">
        <v>4452</v>
      </c>
      <c r="E1592" s="12" t="s">
        <v>4453</v>
      </c>
      <c r="F1592" s="749">
        <v>18</v>
      </c>
      <c r="G1592" s="3" t="s">
        <v>932</v>
      </c>
      <c r="H1592" t="s">
        <v>1041</v>
      </c>
      <c r="I1592" s="3">
        <v>463.7</v>
      </c>
      <c r="J1592">
        <v>255.88</v>
      </c>
      <c r="K1592" s="3" t="str">
        <f t="shared" si="19"/>
        <v>April</v>
      </c>
      <c r="L1592" s="761">
        <v>44662</v>
      </c>
      <c r="M1592" s="761" t="s">
        <v>2272</v>
      </c>
      <c r="N1592" s="761">
        <v>44662</v>
      </c>
      <c r="O1592" s="761" t="s">
        <v>62</v>
      </c>
      <c r="P1592" s="762" t="s">
        <v>4454</v>
      </c>
      <c r="Q1592" s="3" t="s">
        <v>4455</v>
      </c>
      <c r="R1592" s="3"/>
      <c r="S1592" s="3" t="s">
        <v>1547</v>
      </c>
      <c r="T1592" s="3"/>
      <c r="U1592" s="3">
        <v>278.7</v>
      </c>
      <c r="V1592" s="4"/>
      <c r="W1592" s="761"/>
      <c r="X1592" s="4" t="s">
        <v>2272</v>
      </c>
      <c r="Y1592" s="761">
        <v>44662</v>
      </c>
      <c r="Z1592" s="761" t="s">
        <v>62</v>
      </c>
      <c r="AA1592" s="4"/>
      <c r="AB1592" s="4"/>
      <c r="AC1592" s="4"/>
      <c r="AD1592" s="4"/>
      <c r="AE1592" s="4"/>
      <c r="AF1592" s="4"/>
      <c r="AG1592" s="4" t="s">
        <v>4456</v>
      </c>
      <c r="AH1592" s="4"/>
      <c r="AI1592" s="4"/>
      <c r="AJ1592" s="4"/>
      <c r="AK1592" s="4"/>
      <c r="AL1592" s="4"/>
      <c r="AM1592" s="4">
        <v>5.17</v>
      </c>
    </row>
    <row r="1593" spans="2:39">
      <c r="B1593" s="747" t="s">
        <v>277</v>
      </c>
      <c r="C1593" s="938" t="s">
        <v>4303</v>
      </c>
      <c r="D1593" s="12" t="s">
        <v>4457</v>
      </c>
      <c r="E1593" s="12" t="s">
        <v>4458</v>
      </c>
      <c r="F1593" s="749">
        <v>19</v>
      </c>
      <c r="G1593" s="3" t="s">
        <v>932</v>
      </c>
      <c r="H1593" s="3" t="s">
        <v>1041</v>
      </c>
      <c r="I1593" s="3">
        <v>463.4</v>
      </c>
      <c r="J1593" s="3">
        <v>252.8</v>
      </c>
      <c r="K1593" s="3" t="str">
        <f t="shared" si="19"/>
        <v>April</v>
      </c>
      <c r="L1593" s="761">
        <v>44663</v>
      </c>
      <c r="M1593" s="761" t="s">
        <v>2272</v>
      </c>
      <c r="N1593" s="761">
        <v>44663</v>
      </c>
      <c r="O1593" s="761" t="s">
        <v>62</v>
      </c>
      <c r="P1593" s="762" t="s">
        <v>4459</v>
      </c>
      <c r="Q1593" s="3" t="s">
        <v>4460</v>
      </c>
      <c r="R1593" s="3"/>
      <c r="S1593" s="3" t="s">
        <v>1547</v>
      </c>
      <c r="T1593" s="3"/>
      <c r="U1593" s="3">
        <v>275.39999999999998</v>
      </c>
      <c r="V1593" s="4"/>
      <c r="W1593" s="761"/>
      <c r="X1593" s="4" t="s">
        <v>2272</v>
      </c>
      <c r="Y1593" s="761">
        <v>44663</v>
      </c>
      <c r="Z1593" s="761" t="s">
        <v>62</v>
      </c>
      <c r="AA1593" s="4"/>
      <c r="AB1593" s="4"/>
      <c r="AC1593" s="4"/>
      <c r="AD1593" s="4"/>
      <c r="AE1593" s="4"/>
      <c r="AF1593" s="4"/>
      <c r="AG1593" s="4" t="s">
        <v>4461</v>
      </c>
      <c r="AH1593" s="4"/>
      <c r="AI1593" s="4"/>
      <c r="AJ1593" s="4"/>
      <c r="AK1593" s="4"/>
      <c r="AL1593" s="4"/>
      <c r="AM1593" s="4">
        <v>5.23</v>
      </c>
    </row>
    <row r="1594" spans="2:39">
      <c r="B1594" s="747" t="s">
        <v>277</v>
      </c>
      <c r="C1594" s="938" t="s">
        <v>4303</v>
      </c>
      <c r="D1594" s="12" t="s">
        <v>4462</v>
      </c>
      <c r="E1594" s="12" t="s">
        <v>4463</v>
      </c>
      <c r="F1594" s="749">
        <v>20</v>
      </c>
      <c r="G1594" s="3" t="s">
        <v>932</v>
      </c>
      <c r="H1594" s="3" t="s">
        <v>1041</v>
      </c>
      <c r="I1594" s="3">
        <v>466.6</v>
      </c>
      <c r="J1594" s="3">
        <v>258.60000000000002</v>
      </c>
      <c r="K1594" s="3" t="str">
        <f t="shared" si="19"/>
        <v>April</v>
      </c>
      <c r="L1594" s="761">
        <v>44664</v>
      </c>
      <c r="M1594" s="761" t="s">
        <v>2272</v>
      </c>
      <c r="N1594" s="761">
        <v>44664</v>
      </c>
      <c r="O1594" s="761" t="s">
        <v>62</v>
      </c>
      <c r="P1594" s="762" t="s">
        <v>4464</v>
      </c>
      <c r="Q1594" s="3" t="s">
        <v>4465</v>
      </c>
      <c r="R1594" s="3"/>
      <c r="S1594" s="3" t="s">
        <v>1547</v>
      </c>
      <c r="T1594" s="3"/>
      <c r="U1594" s="3">
        <v>281.3</v>
      </c>
      <c r="V1594" s="4"/>
      <c r="W1594" s="761"/>
      <c r="X1594" s="4" t="s">
        <v>2272</v>
      </c>
      <c r="Y1594" s="761">
        <v>44664</v>
      </c>
      <c r="Z1594" s="761" t="s">
        <v>62</v>
      </c>
      <c r="AA1594" s="4"/>
      <c r="AB1594" s="4"/>
      <c r="AC1594" s="4"/>
      <c r="AD1594" s="4"/>
      <c r="AE1594" s="4"/>
      <c r="AF1594" s="4"/>
      <c r="AG1594" s="4" t="s">
        <v>4466</v>
      </c>
      <c r="AH1594" s="4"/>
      <c r="AI1594" s="4"/>
      <c r="AJ1594" s="4"/>
      <c r="AK1594" s="4"/>
      <c r="AL1594" s="4"/>
      <c r="AM1594" s="4">
        <v>5.37</v>
      </c>
    </row>
    <row r="1595" spans="2:39">
      <c r="B1595" s="747" t="s">
        <v>277</v>
      </c>
      <c r="C1595" s="938" t="s">
        <v>4303</v>
      </c>
      <c r="D1595" s="12" t="s">
        <v>4467</v>
      </c>
      <c r="E1595" s="12" t="s">
        <v>4468</v>
      </c>
      <c r="F1595" s="749">
        <v>21</v>
      </c>
      <c r="G1595" s="3" t="s">
        <v>932</v>
      </c>
      <c r="H1595" s="3" t="s">
        <v>1041</v>
      </c>
      <c r="I1595" s="3">
        <v>465.1</v>
      </c>
      <c r="J1595" s="3">
        <v>257.24</v>
      </c>
      <c r="K1595" s="3" t="str">
        <f t="shared" si="19"/>
        <v>April</v>
      </c>
      <c r="L1595" s="761">
        <v>44664</v>
      </c>
      <c r="M1595" s="761" t="s">
        <v>2272</v>
      </c>
      <c r="N1595" s="761">
        <v>44663</v>
      </c>
      <c r="O1595" s="761" t="s">
        <v>62</v>
      </c>
      <c r="P1595" s="762" t="s">
        <v>4469</v>
      </c>
      <c r="Q1595" s="3" t="s">
        <v>4470</v>
      </c>
      <c r="R1595" s="3"/>
      <c r="S1595" s="3" t="s">
        <v>1547</v>
      </c>
      <c r="T1595" s="3"/>
      <c r="U1595" s="3">
        <v>280</v>
      </c>
      <c r="V1595" s="4"/>
      <c r="W1595" s="761"/>
      <c r="X1595" s="4" t="s">
        <v>2272</v>
      </c>
      <c r="Y1595" s="761">
        <v>44664</v>
      </c>
      <c r="Z1595" s="761" t="s">
        <v>62</v>
      </c>
      <c r="AA1595" s="4"/>
      <c r="AB1595" s="4"/>
      <c r="AC1595" s="4"/>
      <c r="AD1595" s="4"/>
      <c r="AE1595" s="4"/>
      <c r="AF1595" s="4"/>
      <c r="AG1595" s="4" t="s">
        <v>4471</v>
      </c>
      <c r="AH1595" s="4"/>
      <c r="AI1595" s="4"/>
      <c r="AJ1595" s="4"/>
      <c r="AK1595" s="4"/>
      <c r="AL1595" s="4"/>
      <c r="AM1595" s="4">
        <v>5.39</v>
      </c>
    </row>
    <row r="1596" spans="2:39" s="707" customFormat="1">
      <c r="B1596" s="805" t="s">
        <v>13</v>
      </c>
      <c r="C1596" s="807" t="s">
        <v>1758</v>
      </c>
      <c r="D1596" s="875"/>
      <c r="E1596" s="875"/>
      <c r="F1596" s="808"/>
      <c r="G1596" s="807"/>
      <c r="H1596" s="807"/>
      <c r="I1596" s="807"/>
      <c r="J1596" s="807"/>
      <c r="K1596" s="807"/>
      <c r="L1596" s="819"/>
      <c r="M1596" s="819"/>
      <c r="N1596" s="819"/>
      <c r="O1596" s="819"/>
      <c r="P1596" s="943"/>
      <c r="Q1596" s="807"/>
      <c r="R1596" s="807"/>
      <c r="S1596" s="807"/>
      <c r="T1596" s="807"/>
      <c r="U1596" s="807"/>
      <c r="V1596" s="710"/>
      <c r="W1596" s="819"/>
      <c r="X1596" s="710"/>
      <c r="Y1596" s="819"/>
      <c r="Z1596" s="819"/>
      <c r="AA1596" s="710"/>
      <c r="AB1596" s="710"/>
      <c r="AC1596" s="710"/>
      <c r="AD1596" s="710"/>
      <c r="AE1596" s="710"/>
      <c r="AF1596" s="710"/>
      <c r="AG1596" s="710"/>
      <c r="AH1596" s="710"/>
      <c r="AI1596" s="710"/>
      <c r="AJ1596" s="710"/>
      <c r="AK1596" s="710"/>
      <c r="AL1596" s="710"/>
      <c r="AM1596" s="710"/>
    </row>
    <row r="1597" spans="2:39">
      <c r="B1597" s="747">
        <v>5</v>
      </c>
      <c r="C1597" s="938" t="s">
        <v>4303</v>
      </c>
      <c r="D1597" s="12" t="s">
        <v>4472</v>
      </c>
      <c r="E1597" s="12" t="s">
        <v>4473</v>
      </c>
      <c r="F1597" s="749">
        <v>1</v>
      </c>
      <c r="G1597" s="3" t="s">
        <v>932</v>
      </c>
      <c r="H1597" s="3" t="s">
        <v>1041</v>
      </c>
      <c r="I1597" s="3">
        <v>465.2</v>
      </c>
      <c r="J1597" s="3">
        <v>253.74</v>
      </c>
      <c r="K1597" s="3" t="str">
        <f t="shared" ref="K1597:K1606" si="20">TEXT(L1597,"mmmm")</f>
        <v>April</v>
      </c>
      <c r="L1597" s="761">
        <v>44673</v>
      </c>
      <c r="M1597" s="761" t="str">
        <f t="shared" ref="M1597:M1606" si="21">TEXT(N1597,"mmmm")</f>
        <v>April</v>
      </c>
      <c r="N1597" s="761">
        <v>44673</v>
      </c>
      <c r="O1597" s="761" t="s">
        <v>62</v>
      </c>
      <c r="P1597" s="2" t="s">
        <v>4474</v>
      </c>
      <c r="Q1597" s="3" t="s">
        <v>4475</v>
      </c>
      <c r="R1597" s="3"/>
      <c r="S1597" s="3" t="s">
        <v>1547</v>
      </c>
      <c r="T1597" s="3"/>
      <c r="U1597" s="3">
        <v>276.39999999999998</v>
      </c>
      <c r="V1597" s="4"/>
      <c r="W1597" s="761"/>
      <c r="X1597" s="4" t="str">
        <f t="shared" ref="X1597:X1606" si="22">TEXT(Y1597,"mmmm")</f>
        <v>April</v>
      </c>
      <c r="Y1597" s="761">
        <v>44673</v>
      </c>
      <c r="Z1597" s="761" t="s">
        <v>62</v>
      </c>
      <c r="AA1597" s="4"/>
      <c r="AB1597" s="4"/>
      <c r="AC1597" s="4"/>
      <c r="AD1597" s="4"/>
      <c r="AE1597" s="4"/>
      <c r="AF1597" s="4"/>
      <c r="AG1597" s="4" t="s">
        <v>4466</v>
      </c>
      <c r="AH1597" s="4"/>
      <c r="AI1597" s="4"/>
      <c r="AJ1597" s="4"/>
      <c r="AK1597" s="4"/>
      <c r="AL1597" s="4"/>
      <c r="AM1597" s="4" t="s">
        <v>4476</v>
      </c>
    </row>
    <row r="1598" spans="2:39">
      <c r="B1598" s="747">
        <v>5</v>
      </c>
      <c r="C1598" s="938" t="s">
        <v>4303</v>
      </c>
      <c r="D1598" s="12" t="s">
        <v>4477</v>
      </c>
      <c r="E1598" s="12" t="s">
        <v>4478</v>
      </c>
      <c r="F1598" s="749">
        <v>2</v>
      </c>
      <c r="G1598" s="3" t="s">
        <v>932</v>
      </c>
      <c r="H1598" s="3" t="s">
        <v>1041</v>
      </c>
      <c r="I1598" s="3">
        <v>468.7</v>
      </c>
      <c r="J1598" s="3">
        <v>256.94</v>
      </c>
      <c r="K1598" s="3" t="str">
        <f t="shared" si="20"/>
        <v>April</v>
      </c>
      <c r="L1598" s="761">
        <v>44673</v>
      </c>
      <c r="M1598" s="761" t="str">
        <f t="shared" si="21"/>
        <v>April</v>
      </c>
      <c r="N1598" s="761">
        <v>44673</v>
      </c>
      <c r="O1598" s="761" t="s">
        <v>62</v>
      </c>
      <c r="P1598" s="762" t="s">
        <v>4479</v>
      </c>
      <c r="Q1598" s="3" t="s">
        <v>4480</v>
      </c>
      <c r="R1598" s="3"/>
      <c r="S1598" s="3" t="s">
        <v>1547</v>
      </c>
      <c r="T1598" s="3"/>
      <c r="U1598" s="3">
        <v>279.89999999999998</v>
      </c>
      <c r="V1598" s="4"/>
      <c r="W1598" s="761"/>
      <c r="X1598" s="4" t="str">
        <f t="shared" si="22"/>
        <v>April</v>
      </c>
      <c r="Y1598" s="761">
        <v>44676</v>
      </c>
      <c r="Z1598" s="761" t="s">
        <v>62</v>
      </c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</row>
    <row r="1599" spans="2:39">
      <c r="B1599" s="747">
        <v>5</v>
      </c>
      <c r="C1599" s="938" t="s">
        <v>4303</v>
      </c>
      <c r="D1599" s="12" t="s">
        <v>4481</v>
      </c>
      <c r="E1599" s="12" t="s">
        <v>4482</v>
      </c>
      <c r="F1599" s="749">
        <v>3</v>
      </c>
      <c r="G1599" s="3" t="s">
        <v>1726</v>
      </c>
      <c r="H1599" s="3" t="s">
        <v>1041</v>
      </c>
      <c r="I1599" s="3">
        <v>464.1</v>
      </c>
      <c r="J1599" s="3">
        <v>254.92</v>
      </c>
      <c r="K1599" s="3" t="str">
        <f t="shared" si="20"/>
        <v>April</v>
      </c>
      <c r="L1599" s="761">
        <v>44673</v>
      </c>
      <c r="M1599" s="761" t="str">
        <f t="shared" si="21"/>
        <v>April</v>
      </c>
      <c r="N1599" s="761">
        <v>44676</v>
      </c>
      <c r="O1599" s="761" t="s">
        <v>62</v>
      </c>
      <c r="P1599" s="762" t="s">
        <v>4483</v>
      </c>
      <c r="Q1599" s="3" t="s">
        <v>4484</v>
      </c>
      <c r="R1599" s="3"/>
      <c r="S1599" s="3" t="s">
        <v>1547</v>
      </c>
      <c r="T1599" s="3"/>
      <c r="U1599" s="3">
        <v>276.7</v>
      </c>
      <c r="V1599" s="4"/>
      <c r="W1599" s="761"/>
      <c r="X1599" s="4" t="str">
        <f t="shared" si="22"/>
        <v>April</v>
      </c>
      <c r="Y1599" s="761">
        <v>44677</v>
      </c>
      <c r="Z1599" s="761" t="s">
        <v>62</v>
      </c>
      <c r="AA1599" s="4"/>
      <c r="AB1599" s="4"/>
      <c r="AC1599" s="4"/>
      <c r="AD1599" s="4"/>
      <c r="AE1599" s="4"/>
      <c r="AF1599" s="4"/>
      <c r="AG1599" s="4" t="s">
        <v>4485</v>
      </c>
      <c r="AH1599" s="4"/>
      <c r="AI1599" s="4"/>
      <c r="AJ1599" s="4"/>
      <c r="AK1599" s="4"/>
      <c r="AL1599" s="4"/>
      <c r="AM1599" s="28">
        <v>5.33</v>
      </c>
    </row>
    <row r="1600" spans="2:39">
      <c r="B1600" s="747">
        <v>5</v>
      </c>
      <c r="C1600" s="938" t="s">
        <v>4303</v>
      </c>
      <c r="D1600" s="12" t="s">
        <v>4486</v>
      </c>
      <c r="E1600" s="12" t="s">
        <v>4487</v>
      </c>
      <c r="F1600" s="749">
        <v>4</v>
      </c>
      <c r="G1600" s="3" t="s">
        <v>1041</v>
      </c>
      <c r="H1600" s="3" t="s">
        <v>1041</v>
      </c>
      <c r="I1600" s="3">
        <v>470.1</v>
      </c>
      <c r="J1600" s="3">
        <v>258.54000000000002</v>
      </c>
      <c r="K1600" s="3" t="str">
        <f t="shared" si="20"/>
        <v>April</v>
      </c>
      <c r="L1600" s="761">
        <v>44677</v>
      </c>
      <c r="M1600" s="761" t="str">
        <f t="shared" si="21"/>
        <v>April</v>
      </c>
      <c r="N1600" s="761">
        <v>44677</v>
      </c>
      <c r="O1600" s="761" t="s">
        <v>62</v>
      </c>
      <c r="P1600" s="762" t="s">
        <v>4488</v>
      </c>
      <c r="Q1600" s="3" t="s">
        <v>4489</v>
      </c>
      <c r="R1600" s="3"/>
      <c r="S1600" s="3" t="s">
        <v>1547</v>
      </c>
      <c r="T1600" s="3"/>
      <c r="U1600" s="3">
        <v>281.2</v>
      </c>
      <c r="V1600" s="4"/>
      <c r="W1600" s="761"/>
      <c r="X1600" s="4" t="str">
        <f t="shared" si="22"/>
        <v>April</v>
      </c>
      <c r="Y1600" s="761">
        <v>44677</v>
      </c>
      <c r="Z1600" s="761" t="s">
        <v>62</v>
      </c>
      <c r="AA1600" s="4"/>
      <c r="AB1600" s="4"/>
      <c r="AC1600" s="4"/>
      <c r="AD1600" s="4"/>
      <c r="AE1600" s="4"/>
      <c r="AF1600" s="4"/>
      <c r="AG1600" s="4" t="s">
        <v>4490</v>
      </c>
      <c r="AH1600" s="4"/>
      <c r="AI1600" s="4"/>
      <c r="AJ1600" s="4"/>
      <c r="AK1600" s="4"/>
      <c r="AL1600" s="4"/>
      <c r="AM1600" s="28">
        <v>5.61</v>
      </c>
    </row>
    <row r="1601" spans="1:39">
      <c r="B1601" s="747">
        <v>5</v>
      </c>
      <c r="C1601" s="938" t="s">
        <v>4303</v>
      </c>
      <c r="D1601" s="12" t="s">
        <v>4491</v>
      </c>
      <c r="E1601" s="12" t="s">
        <v>4492</v>
      </c>
      <c r="F1601" s="749">
        <v>5</v>
      </c>
      <c r="G1601" s="3" t="s">
        <v>932</v>
      </c>
      <c r="H1601" s="3" t="s">
        <v>1041</v>
      </c>
      <c r="I1601" s="3">
        <v>466.4</v>
      </c>
      <c r="J1601" s="3">
        <v>254.3</v>
      </c>
      <c r="K1601" s="3" t="str">
        <f t="shared" si="20"/>
        <v>April</v>
      </c>
      <c r="L1601" s="761">
        <v>44678</v>
      </c>
      <c r="M1601" s="761" t="str">
        <f t="shared" si="21"/>
        <v>April</v>
      </c>
      <c r="N1601" s="761">
        <v>44678</v>
      </c>
      <c r="O1601" s="761" t="s">
        <v>62</v>
      </c>
      <c r="P1601" s="762" t="s">
        <v>4493</v>
      </c>
      <c r="Q1601" s="3" t="s">
        <v>4494</v>
      </c>
      <c r="R1601" s="3"/>
      <c r="S1601" s="3" t="s">
        <v>1547</v>
      </c>
      <c r="T1601" s="3"/>
      <c r="U1601" s="3">
        <v>276.89999999999998</v>
      </c>
      <c r="V1601" s="4"/>
      <c r="W1601" s="761"/>
      <c r="X1601" s="4" t="str">
        <f t="shared" si="22"/>
        <v>April</v>
      </c>
      <c r="Y1601" s="761">
        <v>44678</v>
      </c>
      <c r="Z1601" s="761" t="s">
        <v>62</v>
      </c>
      <c r="AA1601" s="4"/>
      <c r="AB1601" s="4"/>
      <c r="AC1601" s="4"/>
      <c r="AD1601" s="4"/>
      <c r="AE1601" s="4"/>
      <c r="AF1601" s="4"/>
      <c r="AG1601" s="4" t="s">
        <v>4495</v>
      </c>
      <c r="AH1601" s="4"/>
      <c r="AI1601" s="4"/>
      <c r="AJ1601" s="4"/>
      <c r="AK1601" s="4"/>
      <c r="AL1601" s="4"/>
      <c r="AM1601" s="4">
        <v>5.34</v>
      </c>
    </row>
    <row r="1602" spans="1:39">
      <c r="B1602" s="747">
        <v>5</v>
      </c>
      <c r="C1602" s="938" t="s">
        <v>4303</v>
      </c>
      <c r="D1602" s="12" t="s">
        <v>4496</v>
      </c>
      <c r="E1602" s="12" t="s">
        <v>4497</v>
      </c>
      <c r="F1602" s="749">
        <v>6</v>
      </c>
      <c r="G1602" s="3" t="s">
        <v>932</v>
      </c>
      <c r="H1602" s="3" t="s">
        <v>1041</v>
      </c>
      <c r="I1602" s="3">
        <v>468.7</v>
      </c>
      <c r="J1602" s="3">
        <f>127.6+129.18</f>
        <v>256.77999999999997</v>
      </c>
      <c r="K1602" s="3" t="str">
        <f t="shared" si="20"/>
        <v>April</v>
      </c>
      <c r="L1602" s="761">
        <v>44678</v>
      </c>
      <c r="M1602" s="761" t="str">
        <f t="shared" si="21"/>
        <v>April</v>
      </c>
      <c r="N1602" s="761">
        <v>44678</v>
      </c>
      <c r="O1602" s="761" t="s">
        <v>62</v>
      </c>
      <c r="P1602" s="762" t="s">
        <v>4498</v>
      </c>
      <c r="Q1602" s="3" t="s">
        <v>4499</v>
      </c>
      <c r="R1602" s="3"/>
      <c r="S1602" s="3" t="s">
        <v>1547</v>
      </c>
      <c r="T1602" s="3"/>
      <c r="U1602" s="3">
        <v>279.3</v>
      </c>
      <c r="V1602" s="4"/>
      <c r="W1602" s="761"/>
      <c r="X1602" s="4" t="str">
        <f t="shared" si="22"/>
        <v>April</v>
      </c>
      <c r="Y1602" s="761">
        <v>44678</v>
      </c>
      <c r="Z1602" s="761" t="s">
        <v>62</v>
      </c>
      <c r="AA1602" s="4"/>
      <c r="AB1602" s="4"/>
      <c r="AC1602" s="4"/>
      <c r="AD1602" s="4"/>
      <c r="AE1602" s="4"/>
      <c r="AF1602" s="4"/>
      <c r="AG1602" s="4" t="s">
        <v>4500</v>
      </c>
      <c r="AH1602" s="4"/>
      <c r="AI1602" s="4"/>
      <c r="AJ1602" s="4"/>
      <c r="AK1602" s="4"/>
      <c r="AL1602" s="4"/>
      <c r="AM1602" s="710"/>
    </row>
    <row r="1603" spans="1:39">
      <c r="B1603" s="747">
        <v>5</v>
      </c>
      <c r="C1603" s="938" t="s">
        <v>4303</v>
      </c>
      <c r="D1603" s="12" t="s">
        <v>4501</v>
      </c>
      <c r="E1603" s="12" t="s">
        <v>4502</v>
      </c>
      <c r="F1603" s="749">
        <v>7</v>
      </c>
      <c r="G1603" s="3" t="s">
        <v>932</v>
      </c>
      <c r="H1603" s="3" t="s">
        <v>932</v>
      </c>
      <c r="I1603" s="3">
        <v>459.5</v>
      </c>
      <c r="J1603" s="3">
        <v>253.08</v>
      </c>
      <c r="K1603" s="3" t="str">
        <f t="shared" si="20"/>
        <v>May</v>
      </c>
      <c r="L1603" s="761">
        <v>44692</v>
      </c>
      <c r="M1603" s="761" t="str">
        <f t="shared" si="21"/>
        <v>May</v>
      </c>
      <c r="N1603" s="761">
        <v>44693</v>
      </c>
      <c r="O1603" s="761" t="s">
        <v>62</v>
      </c>
      <c r="P1603" s="762" t="s">
        <v>4503</v>
      </c>
      <c r="Q1603" s="3" t="s">
        <v>4504</v>
      </c>
      <c r="R1603" s="3"/>
      <c r="S1603" s="3" t="s">
        <v>1547</v>
      </c>
      <c r="T1603" s="3"/>
      <c r="U1603" s="3">
        <v>275.60000000000002</v>
      </c>
      <c r="V1603" s="4"/>
      <c r="W1603" s="761"/>
      <c r="X1603" s="4" t="str">
        <f t="shared" si="22"/>
        <v>May</v>
      </c>
      <c r="Y1603" s="761">
        <v>44694</v>
      </c>
      <c r="Z1603" s="761" t="s">
        <v>62</v>
      </c>
      <c r="AA1603" s="4"/>
      <c r="AB1603" s="4"/>
      <c r="AC1603" s="4"/>
      <c r="AD1603" s="4"/>
      <c r="AE1603" s="4"/>
      <c r="AF1603" s="4"/>
      <c r="AG1603" s="4" t="s">
        <v>4505</v>
      </c>
      <c r="AH1603" s="4"/>
      <c r="AI1603" s="4"/>
      <c r="AJ1603" s="4"/>
      <c r="AK1603" s="4"/>
      <c r="AL1603" s="4"/>
      <c r="AM1603" s="710"/>
    </row>
    <row r="1604" spans="1:39">
      <c r="B1604" s="747">
        <v>5</v>
      </c>
      <c r="C1604" s="938" t="s">
        <v>4303</v>
      </c>
      <c r="D1604" s="12" t="s">
        <v>4506</v>
      </c>
      <c r="E1604" s="12" t="s">
        <v>4507</v>
      </c>
      <c r="F1604" s="749">
        <v>8</v>
      </c>
      <c r="G1604" s="3" t="s">
        <v>932</v>
      </c>
      <c r="H1604" s="3" t="s">
        <v>932</v>
      </c>
      <c r="I1604" s="3">
        <v>461.8</v>
      </c>
      <c r="J1604" s="3">
        <v>254.98</v>
      </c>
      <c r="K1604" s="3" t="str">
        <f t="shared" si="20"/>
        <v>May</v>
      </c>
      <c r="L1604" s="761">
        <v>44693</v>
      </c>
      <c r="M1604" s="761" t="str">
        <f t="shared" si="21"/>
        <v>May</v>
      </c>
      <c r="N1604" s="761">
        <v>44698</v>
      </c>
      <c r="O1604" s="761" t="s">
        <v>62</v>
      </c>
      <c r="P1604" s="762" t="s">
        <v>4508</v>
      </c>
      <c r="Q1604" s="3" t="s">
        <v>4509</v>
      </c>
      <c r="R1604" s="3"/>
      <c r="S1604" s="3" t="s">
        <v>1547</v>
      </c>
      <c r="T1604" s="3"/>
      <c r="U1604" s="3">
        <v>277.60000000000002</v>
      </c>
      <c r="V1604" s="4"/>
      <c r="W1604" s="761"/>
      <c r="X1604" s="4" t="str">
        <f t="shared" si="22"/>
        <v>May</v>
      </c>
      <c r="Y1604" s="761">
        <v>44698</v>
      </c>
      <c r="Z1604" s="761" t="s">
        <v>62</v>
      </c>
      <c r="AA1604" s="4"/>
      <c r="AB1604" s="4"/>
      <c r="AC1604" s="4"/>
      <c r="AD1604" s="4"/>
      <c r="AE1604" s="4"/>
      <c r="AF1604" s="4"/>
      <c r="AG1604" s="4" t="s">
        <v>4510</v>
      </c>
      <c r="AH1604" s="4"/>
      <c r="AI1604" s="4"/>
      <c r="AJ1604" s="4"/>
      <c r="AK1604" s="4"/>
      <c r="AL1604" s="4"/>
      <c r="AM1604" s="4">
        <v>5.42</v>
      </c>
    </row>
    <row r="1605" spans="1:39">
      <c r="B1605" s="747">
        <v>5</v>
      </c>
      <c r="C1605" s="938" t="s">
        <v>4303</v>
      </c>
      <c r="D1605" s="12" t="s">
        <v>4511</v>
      </c>
      <c r="E1605" s="12" t="s">
        <v>4512</v>
      </c>
      <c r="F1605" s="749">
        <v>9</v>
      </c>
      <c r="G1605" s="3" t="s">
        <v>932</v>
      </c>
      <c r="H1605" s="3" t="s">
        <v>932</v>
      </c>
      <c r="I1605" s="3">
        <v>465.8</v>
      </c>
      <c r="J1605" s="3">
        <v>254.84</v>
      </c>
      <c r="K1605" s="3" t="str">
        <f t="shared" si="20"/>
        <v>May</v>
      </c>
      <c r="L1605" s="761">
        <v>44694</v>
      </c>
      <c r="M1605" s="761" t="str">
        <f t="shared" si="21"/>
        <v>May</v>
      </c>
      <c r="N1605" s="761">
        <v>44698</v>
      </c>
      <c r="O1605" s="761" t="s">
        <v>62</v>
      </c>
      <c r="P1605" s="762" t="s">
        <v>4513</v>
      </c>
      <c r="Q1605" s="3" t="s">
        <v>1151</v>
      </c>
      <c r="R1605" s="3"/>
      <c r="S1605" s="3" t="s">
        <v>1547</v>
      </c>
      <c r="T1605" s="3"/>
      <c r="U1605" s="3">
        <v>277.5</v>
      </c>
      <c r="V1605" s="4"/>
      <c r="W1605" s="761"/>
      <c r="X1605" s="4" t="str">
        <f t="shared" si="22"/>
        <v>May</v>
      </c>
      <c r="Y1605" s="761">
        <v>44698</v>
      </c>
      <c r="Z1605" s="761" t="s">
        <v>62</v>
      </c>
      <c r="AA1605" s="4"/>
      <c r="AB1605" s="4"/>
      <c r="AC1605" s="4"/>
      <c r="AD1605" s="4"/>
      <c r="AE1605" s="4"/>
      <c r="AF1605" s="4"/>
      <c r="AG1605" s="4" t="s">
        <v>4514</v>
      </c>
      <c r="AH1605" s="4"/>
      <c r="AI1605" s="4"/>
      <c r="AJ1605" s="4"/>
      <c r="AK1605" s="4"/>
      <c r="AL1605" s="4"/>
      <c r="AM1605" s="4">
        <v>5.16</v>
      </c>
    </row>
    <row r="1606" spans="1:39">
      <c r="B1606" s="747">
        <v>5</v>
      </c>
      <c r="C1606" s="938" t="s">
        <v>4303</v>
      </c>
      <c r="D1606" s="12" t="s">
        <v>4515</v>
      </c>
      <c r="E1606" s="12" t="s">
        <v>4516</v>
      </c>
      <c r="F1606" s="749">
        <v>10</v>
      </c>
      <c r="G1606" s="3" t="s">
        <v>932</v>
      </c>
      <c r="H1606" s="3" t="s">
        <v>1041</v>
      </c>
      <c r="I1606" s="3">
        <v>464.3</v>
      </c>
      <c r="J1606" s="3">
        <v>252.82</v>
      </c>
      <c r="K1606" s="3" t="str">
        <f t="shared" si="20"/>
        <v>May</v>
      </c>
      <c r="L1606" s="761">
        <v>44699</v>
      </c>
      <c r="M1606" s="761" t="str">
        <f t="shared" si="21"/>
        <v>May</v>
      </c>
      <c r="N1606" s="761">
        <v>44699</v>
      </c>
      <c r="O1606" s="761" t="s">
        <v>62</v>
      </c>
      <c r="P1606" s="762" t="s">
        <v>4517</v>
      </c>
      <c r="Q1606" s="3" t="s">
        <v>4518</v>
      </c>
      <c r="R1606" s="3"/>
      <c r="S1606" s="3" t="s">
        <v>1547</v>
      </c>
      <c r="T1606" s="3"/>
      <c r="U1606" s="3">
        <v>275.39999999999998</v>
      </c>
      <c r="V1606" s="4"/>
      <c r="W1606" s="761"/>
      <c r="X1606" s="4" t="str">
        <f t="shared" si="22"/>
        <v>May</v>
      </c>
      <c r="Y1606" s="761">
        <v>44699</v>
      </c>
      <c r="Z1606" s="761" t="s">
        <v>62</v>
      </c>
      <c r="AA1606" s="4"/>
      <c r="AB1606" s="4"/>
      <c r="AC1606" s="4"/>
      <c r="AD1606" s="4"/>
      <c r="AE1606" s="4"/>
      <c r="AF1606" s="4"/>
      <c r="AG1606" s="4" t="s">
        <v>4519</v>
      </c>
      <c r="AH1606" s="4"/>
      <c r="AI1606" s="4"/>
      <c r="AJ1606" s="4"/>
      <c r="AK1606" s="4"/>
      <c r="AL1606" s="4"/>
      <c r="AM1606" s="4">
        <v>5.07</v>
      </c>
    </row>
    <row r="1607" spans="1:39" s="707" customFormat="1">
      <c r="A1607"/>
      <c r="B1607" s="805" t="s">
        <v>13</v>
      </c>
      <c r="C1607" s="807" t="s">
        <v>3416</v>
      </c>
      <c r="D1607" s="875"/>
      <c r="E1607" s="876"/>
      <c r="F1607" s="808"/>
      <c r="G1607" s="807"/>
      <c r="H1607" s="807"/>
      <c r="I1607" s="807"/>
      <c r="J1607" s="807"/>
      <c r="K1607" s="807"/>
      <c r="L1607" s="819"/>
      <c r="M1607" s="819"/>
      <c r="N1607" s="819"/>
      <c r="O1607" s="819"/>
      <c r="P1607" s="820"/>
      <c r="Q1607" s="807"/>
      <c r="R1607" s="807"/>
      <c r="S1607" s="807"/>
      <c r="T1607" s="807"/>
      <c r="U1607" s="807"/>
      <c r="V1607" s="710"/>
      <c r="W1607" s="819"/>
      <c r="X1607" s="710"/>
      <c r="Y1607" s="819"/>
      <c r="Z1607" s="819"/>
      <c r="AA1607" s="710"/>
      <c r="AB1607" s="710"/>
      <c r="AC1607" s="710"/>
      <c r="AD1607" s="710"/>
      <c r="AE1607" s="710"/>
      <c r="AF1607" s="710"/>
      <c r="AG1607" s="710"/>
      <c r="AH1607" s="710"/>
      <c r="AI1607" s="710"/>
      <c r="AJ1607" s="710"/>
      <c r="AK1607" s="710"/>
      <c r="AL1607" s="710"/>
      <c r="AM1607" s="710"/>
    </row>
    <row r="1608" spans="1:39">
      <c r="B1608" s="747">
        <v>6</v>
      </c>
      <c r="C1608" s="938" t="s">
        <v>4303</v>
      </c>
      <c r="D1608" s="12" t="s">
        <v>4520</v>
      </c>
      <c r="E1608" s="787" t="s">
        <v>4521</v>
      </c>
      <c r="F1608" s="749">
        <v>1</v>
      </c>
      <c r="G1608" s="3" t="s">
        <v>932</v>
      </c>
      <c r="H1608" s="783" t="s">
        <v>1041</v>
      </c>
      <c r="I1608" s="3">
        <v>463.4</v>
      </c>
      <c r="J1608" s="3">
        <v>256.66000000000003</v>
      </c>
      <c r="K1608" s="3" t="str">
        <f t="shared" ref="K1608:K1629" si="23">TEXT(L1608,"mmmm")</f>
        <v>May</v>
      </c>
      <c r="L1608" s="761">
        <v>44700</v>
      </c>
      <c r="M1608" s="761" t="s">
        <v>2327</v>
      </c>
      <c r="N1608" s="761">
        <v>44699</v>
      </c>
      <c r="O1608" s="761" t="s">
        <v>62</v>
      </c>
      <c r="P1608" s="762" t="s">
        <v>4522</v>
      </c>
      <c r="Q1608" s="3" t="s">
        <v>4523</v>
      </c>
      <c r="R1608" s="3"/>
      <c r="S1608" s="3" t="s">
        <v>1547</v>
      </c>
      <c r="T1608" s="3"/>
      <c r="U1608" s="3">
        <v>279.3</v>
      </c>
      <c r="V1608" s="4"/>
      <c r="W1608" s="761"/>
      <c r="X1608" s="4" t="str">
        <f t="shared" ref="X1608:X1629" si="24">TEXT(Y1608,"mmmm")</f>
        <v>May</v>
      </c>
      <c r="Y1608" s="761">
        <v>44699</v>
      </c>
      <c r="Z1608" s="761" t="s">
        <v>62</v>
      </c>
      <c r="AA1608" s="4"/>
      <c r="AB1608" s="4"/>
      <c r="AC1608" s="4"/>
      <c r="AD1608" s="4"/>
      <c r="AE1608" s="4"/>
      <c r="AF1608" s="4"/>
      <c r="AG1608" s="4" t="s">
        <v>1205</v>
      </c>
      <c r="AH1608" s="4"/>
      <c r="AI1608" s="4"/>
      <c r="AJ1608" s="4"/>
      <c r="AK1608" s="4"/>
      <c r="AL1608" s="4"/>
      <c r="AM1608" s="4">
        <v>5.04</v>
      </c>
    </row>
    <row r="1609" spans="1:39">
      <c r="B1609" s="747">
        <v>6</v>
      </c>
      <c r="C1609" s="938" t="s">
        <v>4303</v>
      </c>
      <c r="D1609" s="12" t="s">
        <v>4524</v>
      </c>
      <c r="E1609" s="787" t="s">
        <v>4525</v>
      </c>
      <c r="F1609" s="749">
        <v>2</v>
      </c>
      <c r="G1609" s="3" t="s">
        <v>932</v>
      </c>
      <c r="H1609" s="783" t="s">
        <v>1041</v>
      </c>
      <c r="I1609" s="3">
        <v>468.9</v>
      </c>
      <c r="J1609" s="3">
        <v>256.64</v>
      </c>
      <c r="K1609" s="3" t="str">
        <f t="shared" si="23"/>
        <v>May</v>
      </c>
      <c r="L1609" s="761">
        <v>44700</v>
      </c>
      <c r="M1609" s="761" t="s">
        <v>2327</v>
      </c>
      <c r="N1609" s="761">
        <v>44699</v>
      </c>
      <c r="O1609" s="761" t="s">
        <v>62</v>
      </c>
      <c r="P1609" s="762" t="s">
        <v>2679</v>
      </c>
      <c r="Q1609" s="3" t="s">
        <v>4526</v>
      </c>
      <c r="R1609" s="3"/>
      <c r="S1609" s="3" t="s">
        <v>1547</v>
      </c>
      <c r="T1609" s="3"/>
      <c r="U1609" s="3">
        <v>279</v>
      </c>
      <c r="V1609" s="4"/>
      <c r="W1609" s="761"/>
      <c r="X1609" s="4" t="str">
        <f t="shared" si="24"/>
        <v>May</v>
      </c>
      <c r="Y1609" s="761">
        <v>44700</v>
      </c>
      <c r="Z1609" s="761" t="s">
        <v>62</v>
      </c>
      <c r="AA1609" s="4"/>
      <c r="AB1609" s="4"/>
      <c r="AC1609" s="4"/>
      <c r="AD1609" s="4"/>
      <c r="AE1609" s="4"/>
      <c r="AF1609" s="4"/>
      <c r="AG1609" s="4" t="s">
        <v>4527</v>
      </c>
      <c r="AH1609" s="4"/>
      <c r="AI1609" s="4"/>
      <c r="AJ1609" s="4"/>
      <c r="AK1609" s="4"/>
      <c r="AL1609" s="851"/>
      <c r="AM1609" s="4">
        <v>4.93</v>
      </c>
    </row>
    <row r="1610" spans="1:39">
      <c r="B1610" s="747">
        <v>6</v>
      </c>
      <c r="C1610" s="938" t="s">
        <v>4303</v>
      </c>
      <c r="D1610" s="12" t="s">
        <v>4528</v>
      </c>
      <c r="E1610" s="787" t="s">
        <v>4529</v>
      </c>
      <c r="F1610" s="749">
        <v>3</v>
      </c>
      <c r="G1610" s="3" t="s">
        <v>932</v>
      </c>
      <c r="H1610" s="783" t="s">
        <v>932</v>
      </c>
      <c r="I1610" s="3">
        <v>465.2</v>
      </c>
      <c r="J1610" s="3">
        <v>253.9</v>
      </c>
      <c r="K1610" s="3" t="str">
        <f t="shared" si="23"/>
        <v>May</v>
      </c>
      <c r="L1610" s="761">
        <v>44702</v>
      </c>
      <c r="M1610" s="761" t="s">
        <v>2327</v>
      </c>
      <c r="N1610" s="761">
        <v>44701</v>
      </c>
      <c r="O1610" s="761" t="s">
        <v>62</v>
      </c>
      <c r="P1610" s="762" t="s">
        <v>4530</v>
      </c>
      <c r="Q1610" s="3" t="s">
        <v>4531</v>
      </c>
      <c r="R1610" s="3"/>
      <c r="S1610" s="3" t="s">
        <v>130</v>
      </c>
      <c r="T1610" s="3"/>
      <c r="U1610" s="3">
        <v>276.8</v>
      </c>
      <c r="V1610" s="4"/>
      <c r="W1610" s="761"/>
      <c r="X1610" s="4" t="str">
        <f t="shared" si="24"/>
        <v>May</v>
      </c>
      <c r="Y1610" s="761">
        <v>44701</v>
      </c>
      <c r="Z1610" s="761" t="s">
        <v>62</v>
      </c>
      <c r="AA1610" s="4"/>
      <c r="AB1610" s="4"/>
      <c r="AC1610" s="4"/>
      <c r="AD1610" s="4"/>
      <c r="AE1610" s="4"/>
      <c r="AF1610" s="4"/>
      <c r="AG1610" s="4" t="s">
        <v>4532</v>
      </c>
      <c r="AH1610" s="4"/>
      <c r="AI1610" s="4"/>
      <c r="AJ1610" s="4"/>
      <c r="AK1610" s="4"/>
      <c r="AL1610" s="851"/>
      <c r="AM1610" s="4">
        <v>5.39</v>
      </c>
    </row>
    <row r="1611" spans="1:39">
      <c r="B1611" s="747">
        <v>6</v>
      </c>
      <c r="C1611" s="938" t="s">
        <v>4303</v>
      </c>
      <c r="D1611" s="12" t="s">
        <v>4533</v>
      </c>
      <c r="E1611" s="787" t="s">
        <v>4534</v>
      </c>
      <c r="F1611" s="749">
        <v>4</v>
      </c>
      <c r="G1611" s="3" t="s">
        <v>932</v>
      </c>
      <c r="H1611" s="783" t="s">
        <v>932</v>
      </c>
      <c r="I1611" s="3">
        <v>463.8</v>
      </c>
      <c r="J1611" s="3">
        <v>257.38</v>
      </c>
      <c r="K1611" s="3" t="str">
        <f t="shared" si="23"/>
        <v>May</v>
      </c>
      <c r="L1611" s="761">
        <v>44702</v>
      </c>
      <c r="M1611" s="761" t="s">
        <v>2327</v>
      </c>
      <c r="N1611" s="761">
        <v>44701</v>
      </c>
      <c r="O1611" s="761" t="s">
        <v>62</v>
      </c>
      <c r="P1611" s="762" t="s">
        <v>4535</v>
      </c>
      <c r="Q1611" s="3" t="s">
        <v>4536</v>
      </c>
      <c r="R1611" s="3"/>
      <c r="S1611" s="3" t="s">
        <v>1547</v>
      </c>
      <c r="T1611" s="3"/>
      <c r="U1611" s="3">
        <v>279.8</v>
      </c>
      <c r="V1611" s="4"/>
      <c r="W1611" s="761"/>
      <c r="X1611" s="4" t="str">
        <f t="shared" si="24"/>
        <v>May</v>
      </c>
      <c r="Y1611" s="761">
        <v>44701</v>
      </c>
      <c r="Z1611" s="761" t="s">
        <v>62</v>
      </c>
      <c r="AA1611" s="4"/>
      <c r="AB1611" s="4"/>
      <c r="AC1611" s="4"/>
      <c r="AD1611" s="4"/>
      <c r="AE1611" s="4"/>
      <c r="AF1611" s="4"/>
      <c r="AG1611" s="4" t="s">
        <v>4537</v>
      </c>
      <c r="AH1611" s="4"/>
      <c r="AI1611" s="4"/>
      <c r="AJ1611" s="4"/>
      <c r="AK1611" s="4"/>
      <c r="AL1611" s="851"/>
      <c r="AM1611" s="4">
        <v>5.05</v>
      </c>
    </row>
    <row r="1612" spans="1:39">
      <c r="B1612" s="747">
        <v>6</v>
      </c>
      <c r="C1612" s="938" t="s">
        <v>4303</v>
      </c>
      <c r="D1612" s="12" t="s">
        <v>4538</v>
      </c>
      <c r="E1612" s="787" t="s">
        <v>4539</v>
      </c>
      <c r="F1612" s="749">
        <v>5</v>
      </c>
      <c r="G1612" s="3" t="s">
        <v>932</v>
      </c>
      <c r="H1612" s="783" t="s">
        <v>932</v>
      </c>
      <c r="I1612" s="3">
        <v>462.4</v>
      </c>
      <c r="J1612" s="3">
        <v>251.62</v>
      </c>
      <c r="K1612" s="3" t="str">
        <f t="shared" si="23"/>
        <v>May</v>
      </c>
      <c r="L1612" s="761">
        <v>44704</v>
      </c>
      <c r="M1612" s="761" t="s">
        <v>2327</v>
      </c>
      <c r="N1612" s="761">
        <v>44704</v>
      </c>
      <c r="O1612" s="761" t="s">
        <v>62</v>
      </c>
      <c r="P1612" s="762" t="s">
        <v>4540</v>
      </c>
      <c r="Q1612" s="762" t="s">
        <v>4450</v>
      </c>
      <c r="R1612" s="3"/>
      <c r="S1612" s="3" t="s">
        <v>1547</v>
      </c>
      <c r="T1612" s="3"/>
      <c r="U1612" s="3">
        <v>274.60000000000002</v>
      </c>
      <c r="V1612" s="4"/>
      <c r="W1612" s="761"/>
      <c r="X1612" s="4" t="str">
        <f t="shared" si="24"/>
        <v>May</v>
      </c>
      <c r="Y1612" s="761">
        <v>44704</v>
      </c>
      <c r="Z1612" s="761" t="s">
        <v>62</v>
      </c>
      <c r="AA1612" s="4"/>
      <c r="AB1612" s="4"/>
      <c r="AC1612" s="4"/>
      <c r="AD1612" s="4"/>
      <c r="AE1612" s="4"/>
      <c r="AF1612" s="4"/>
      <c r="AG1612" s="4" t="s">
        <v>4541</v>
      </c>
      <c r="AH1612" s="4"/>
      <c r="AI1612" s="4"/>
      <c r="AJ1612" s="4"/>
      <c r="AK1612" s="4"/>
      <c r="AL1612" s="4"/>
      <c r="AM1612" s="4">
        <v>5.12</v>
      </c>
    </row>
    <row r="1613" spans="1:39">
      <c r="B1613" s="747">
        <v>6</v>
      </c>
      <c r="C1613" s="938" t="s">
        <v>4303</v>
      </c>
      <c r="D1613" s="12" t="s">
        <v>4542</v>
      </c>
      <c r="E1613" s="787" t="s">
        <v>4543</v>
      </c>
      <c r="F1613" s="749">
        <v>6</v>
      </c>
      <c r="G1613" s="3" t="s">
        <v>932</v>
      </c>
      <c r="H1613" s="783" t="s">
        <v>932</v>
      </c>
      <c r="I1613" s="3">
        <v>466.4</v>
      </c>
      <c r="J1613" s="859">
        <v>257.45999999999998</v>
      </c>
      <c r="K1613" s="3" t="str">
        <f t="shared" si="23"/>
        <v>May</v>
      </c>
      <c r="L1613" s="761">
        <v>44704</v>
      </c>
      <c r="M1613" s="761" t="s">
        <v>2327</v>
      </c>
      <c r="N1613" s="761">
        <v>44704</v>
      </c>
      <c r="O1613" s="761" t="s">
        <v>62</v>
      </c>
      <c r="P1613" s="762" t="s">
        <v>4544</v>
      </c>
      <c r="Q1613" s="3" t="s">
        <v>4545</v>
      </c>
      <c r="R1613" s="3"/>
      <c r="S1613" s="3" t="s">
        <v>1547</v>
      </c>
      <c r="T1613" s="3"/>
      <c r="U1613" s="3">
        <v>280.3</v>
      </c>
      <c r="V1613" s="4"/>
      <c r="W1613" s="761"/>
      <c r="X1613" s="4" t="str">
        <f t="shared" si="24"/>
        <v>May</v>
      </c>
      <c r="Y1613" s="761">
        <v>44704</v>
      </c>
      <c r="Z1613" s="761" t="s">
        <v>62</v>
      </c>
      <c r="AA1613" s="4"/>
      <c r="AB1613" s="4"/>
      <c r="AC1613" s="4"/>
      <c r="AD1613" s="4"/>
      <c r="AE1613" s="4"/>
      <c r="AF1613" s="4"/>
      <c r="AG1613" s="4" t="s">
        <v>4546</v>
      </c>
      <c r="AH1613" s="4"/>
      <c r="AI1613" s="4"/>
      <c r="AJ1613" s="4"/>
      <c r="AK1613" s="4"/>
      <c r="AL1613" s="4"/>
      <c r="AM1613" s="4">
        <v>4.7699999999999996</v>
      </c>
    </row>
    <row r="1614" spans="1:39">
      <c r="B1614" s="747">
        <v>6</v>
      </c>
      <c r="C1614" s="938" t="s">
        <v>4303</v>
      </c>
      <c r="D1614" s="787" t="s">
        <v>4547</v>
      </c>
      <c r="E1614" s="12" t="s">
        <v>4548</v>
      </c>
      <c r="F1614" s="749">
        <v>7</v>
      </c>
      <c r="G1614" s="3" t="s">
        <v>932</v>
      </c>
      <c r="H1614" s="3" t="s">
        <v>1041</v>
      </c>
      <c r="I1614" s="3">
        <v>460.2</v>
      </c>
      <c r="J1614" s="859">
        <v>254.48</v>
      </c>
      <c r="K1614" s="3" t="str">
        <f t="shared" si="23"/>
        <v>June</v>
      </c>
      <c r="L1614" s="761">
        <v>44714</v>
      </c>
      <c r="M1614" s="761" t="s">
        <v>2411</v>
      </c>
      <c r="N1614" s="761">
        <v>44714</v>
      </c>
      <c r="O1614" s="761" t="s">
        <v>62</v>
      </c>
      <c r="P1614" s="762" t="s">
        <v>4549</v>
      </c>
      <c r="Q1614" s="3" t="s">
        <v>4550</v>
      </c>
      <c r="R1614" s="3"/>
      <c r="S1614" s="3" t="s">
        <v>1547</v>
      </c>
      <c r="T1614" s="3"/>
      <c r="U1614" s="3">
        <v>276.89999999999998</v>
      </c>
      <c r="V1614" s="4"/>
      <c r="W1614" s="761"/>
      <c r="X1614" s="4" t="str">
        <f t="shared" si="24"/>
        <v>June</v>
      </c>
      <c r="Y1614" s="761">
        <v>44715</v>
      </c>
      <c r="Z1614" s="761" t="s">
        <v>62</v>
      </c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947"/>
      <c r="AM1614" s="948">
        <v>5.17</v>
      </c>
    </row>
    <row r="1615" spans="1:39">
      <c r="B1615" s="747">
        <v>6</v>
      </c>
      <c r="C1615" s="938" t="s">
        <v>4303</v>
      </c>
      <c r="D1615" s="787" t="s">
        <v>4551</v>
      </c>
      <c r="E1615" s="12" t="s">
        <v>4552</v>
      </c>
      <c r="F1615" s="749">
        <v>8</v>
      </c>
      <c r="G1615" s="3" t="s">
        <v>60</v>
      </c>
      <c r="H1615" s="3" t="s">
        <v>1041</v>
      </c>
      <c r="I1615" s="3">
        <v>467.9</v>
      </c>
      <c r="J1615" s="859">
        <v>255.04</v>
      </c>
      <c r="K1615" s="3" t="str">
        <f t="shared" si="23"/>
        <v>June</v>
      </c>
      <c r="L1615" s="761">
        <v>44715</v>
      </c>
      <c r="M1615" s="761" t="s">
        <v>2411</v>
      </c>
      <c r="N1615" s="761">
        <v>44714</v>
      </c>
      <c r="O1615" s="761" t="s">
        <v>62</v>
      </c>
      <c r="P1615" s="762" t="s">
        <v>4553</v>
      </c>
      <c r="Q1615" s="3" t="s">
        <v>4554</v>
      </c>
      <c r="R1615" s="3"/>
      <c r="S1615" s="3" t="s">
        <v>1547</v>
      </c>
      <c r="T1615" s="3"/>
      <c r="U1615" s="3">
        <v>277.3</v>
      </c>
      <c r="V1615" s="4"/>
      <c r="W1615" s="761"/>
      <c r="X1615" s="4" t="str">
        <f t="shared" si="24"/>
        <v>June</v>
      </c>
      <c r="Y1615" s="761">
        <v>44715</v>
      </c>
      <c r="Z1615" s="761" t="s">
        <v>62</v>
      </c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947"/>
      <c r="AM1615" s="948">
        <v>5.19</v>
      </c>
    </row>
    <row r="1616" spans="1:39">
      <c r="B1616" s="747">
        <v>6</v>
      </c>
      <c r="C1616" s="938" t="s">
        <v>4303</v>
      </c>
      <c r="D1616" s="787" t="s">
        <v>4555</v>
      </c>
      <c r="E1616" s="12" t="s">
        <v>4556</v>
      </c>
      <c r="F1616" s="749">
        <v>9</v>
      </c>
      <c r="G1616" s="3" t="s">
        <v>932</v>
      </c>
      <c r="H1616" s="3" t="s">
        <v>1041</v>
      </c>
      <c r="I1616" s="3">
        <v>465.9</v>
      </c>
      <c r="J1616" s="859">
        <v>254.66</v>
      </c>
      <c r="K1616" s="3" t="str">
        <f t="shared" si="23"/>
        <v>June</v>
      </c>
      <c r="L1616" s="761">
        <v>44715</v>
      </c>
      <c r="M1616" s="761" t="s">
        <v>2411</v>
      </c>
      <c r="N1616" s="761">
        <v>44718</v>
      </c>
      <c r="O1616" s="761" t="s">
        <v>62</v>
      </c>
      <c r="P1616" s="762" t="s">
        <v>4557</v>
      </c>
      <c r="Q1616" s="3" t="s">
        <v>4558</v>
      </c>
      <c r="R1616" s="3"/>
      <c r="S1616" s="3" t="s">
        <v>1547</v>
      </c>
      <c r="T1616" s="3"/>
      <c r="U1616" s="3">
        <v>277.39999999999998</v>
      </c>
      <c r="V1616" s="4"/>
      <c r="W1616" s="761"/>
      <c r="X1616" s="4" t="str">
        <f t="shared" si="24"/>
        <v>June</v>
      </c>
      <c r="Y1616" s="761">
        <v>44718</v>
      </c>
      <c r="Z1616" s="761" t="s">
        <v>62</v>
      </c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947"/>
      <c r="AM1616" s="948">
        <v>5.44</v>
      </c>
    </row>
    <row r="1617" spans="1:39">
      <c r="B1617" s="747">
        <v>6</v>
      </c>
      <c r="C1617" s="938" t="s">
        <v>4303</v>
      </c>
      <c r="D1617" s="787" t="s">
        <v>4559</v>
      </c>
      <c r="E1617" s="12" t="s">
        <v>4560</v>
      </c>
      <c r="F1617" s="749">
        <v>10</v>
      </c>
      <c r="G1617" s="3" t="s">
        <v>932</v>
      </c>
      <c r="H1617" s="3" t="s">
        <v>1041</v>
      </c>
      <c r="I1617" s="3">
        <v>456.9</v>
      </c>
      <c r="J1617" s="859">
        <v>252.64</v>
      </c>
      <c r="K1617" s="3" t="str">
        <f t="shared" si="23"/>
        <v>June</v>
      </c>
      <c r="L1617" s="761">
        <v>44719</v>
      </c>
      <c r="M1617" s="761" t="s">
        <v>2411</v>
      </c>
      <c r="N1617" s="761">
        <v>44719</v>
      </c>
      <c r="O1617" s="761" t="s">
        <v>62</v>
      </c>
      <c r="P1617" s="762" t="s">
        <v>4561</v>
      </c>
      <c r="Q1617" s="3" t="s">
        <v>4562</v>
      </c>
      <c r="R1617" s="3"/>
      <c r="S1617" s="3" t="s">
        <v>1547</v>
      </c>
      <c r="T1617" s="3"/>
      <c r="U1617" s="3">
        <v>275.3</v>
      </c>
      <c r="V1617" s="4"/>
      <c r="W1617" s="761"/>
      <c r="X1617" s="4" t="str">
        <f t="shared" si="24"/>
        <v>June</v>
      </c>
      <c r="Y1617" s="761">
        <v>44719</v>
      </c>
      <c r="Z1617" s="761" t="s">
        <v>62</v>
      </c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947"/>
      <c r="AM1617" s="948">
        <v>4.97</v>
      </c>
    </row>
    <row r="1618" spans="1:39">
      <c r="B1618" s="747">
        <v>6</v>
      </c>
      <c r="C1618" s="938" t="s">
        <v>4303</v>
      </c>
      <c r="D1618" s="787" t="s">
        <v>4563</v>
      </c>
      <c r="E1618" s="12" t="s">
        <v>4564</v>
      </c>
      <c r="F1618" s="749">
        <v>11</v>
      </c>
      <c r="G1618" s="3" t="s">
        <v>932</v>
      </c>
      <c r="H1618" s="3" t="s">
        <v>1041</v>
      </c>
      <c r="I1618" s="3">
        <v>466.86</v>
      </c>
      <c r="J1618" s="859">
        <v>256.54000000000002</v>
      </c>
      <c r="K1618" s="3" t="str">
        <f t="shared" si="23"/>
        <v>June</v>
      </c>
      <c r="L1618" s="761">
        <v>44719</v>
      </c>
      <c r="M1618" s="761" t="s">
        <v>2411</v>
      </c>
      <c r="N1618" s="761">
        <v>44719</v>
      </c>
      <c r="O1618" s="761" t="s">
        <v>62</v>
      </c>
      <c r="P1618" s="762" t="s">
        <v>4565</v>
      </c>
      <c r="Q1618" s="3" t="s">
        <v>4566</v>
      </c>
      <c r="R1618" s="3"/>
      <c r="S1618" s="3" t="s">
        <v>1547</v>
      </c>
      <c r="T1618" s="3"/>
      <c r="U1618" s="3">
        <v>279.2</v>
      </c>
      <c r="V1618" s="4"/>
      <c r="W1618" s="761"/>
      <c r="X1618" s="4" t="str">
        <f t="shared" si="24"/>
        <v>June</v>
      </c>
      <c r="Y1618" s="761">
        <v>44719</v>
      </c>
      <c r="Z1618" s="761" t="s">
        <v>62</v>
      </c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947"/>
      <c r="AM1618" s="948">
        <v>5.2</v>
      </c>
    </row>
    <row r="1619" spans="1:39">
      <c r="B1619" s="747">
        <v>6</v>
      </c>
      <c r="C1619" s="938" t="s">
        <v>4303</v>
      </c>
      <c r="D1619" s="787" t="s">
        <v>4567</v>
      </c>
      <c r="E1619" s="12" t="s">
        <v>4568</v>
      </c>
      <c r="F1619" s="749">
        <v>12</v>
      </c>
      <c r="G1619" s="3" t="s">
        <v>1041</v>
      </c>
      <c r="H1619" s="3" t="s">
        <v>1041</v>
      </c>
      <c r="I1619" s="3">
        <v>466.9</v>
      </c>
      <c r="J1619" s="859">
        <v>253.68</v>
      </c>
      <c r="K1619" s="3" t="str">
        <f t="shared" si="23"/>
        <v>June</v>
      </c>
      <c r="L1619" s="761">
        <v>44720</v>
      </c>
      <c r="M1619" s="761" t="s">
        <v>2411</v>
      </c>
      <c r="N1619" s="761">
        <v>44720</v>
      </c>
      <c r="O1619" s="761" t="s">
        <v>62</v>
      </c>
      <c r="P1619" s="761" t="s">
        <v>4569</v>
      </c>
      <c r="Q1619" s="3" t="s">
        <v>4570</v>
      </c>
      <c r="R1619" s="3"/>
      <c r="S1619" s="3" t="s">
        <v>1547</v>
      </c>
      <c r="T1619" s="3"/>
      <c r="U1619" s="3">
        <v>276</v>
      </c>
      <c r="V1619" s="4"/>
      <c r="W1619" s="761"/>
      <c r="X1619" s="4" t="str">
        <f t="shared" si="24"/>
        <v>June</v>
      </c>
      <c r="Y1619" s="761">
        <v>44720</v>
      </c>
      <c r="Z1619" s="761" t="s">
        <v>62</v>
      </c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947"/>
      <c r="AM1619" s="947"/>
    </row>
    <row r="1620" spans="1:39">
      <c r="B1620" s="747">
        <v>6</v>
      </c>
      <c r="C1620" s="938" t="s">
        <v>4303</v>
      </c>
      <c r="D1620" s="787" t="s">
        <v>4571</v>
      </c>
      <c r="E1620" s="12" t="s">
        <v>4572</v>
      </c>
      <c r="F1620" s="749">
        <v>13</v>
      </c>
      <c r="G1620" s="3" t="s">
        <v>932</v>
      </c>
      <c r="H1620" s="3" t="s">
        <v>1041</v>
      </c>
      <c r="I1620" s="3">
        <v>467.6</v>
      </c>
      <c r="J1620" s="859">
        <v>254</v>
      </c>
      <c r="K1620" s="3" t="str">
        <f t="shared" si="23"/>
        <v>June</v>
      </c>
      <c r="L1620" s="761">
        <v>44720</v>
      </c>
      <c r="M1620" s="761" t="s">
        <v>2411</v>
      </c>
      <c r="N1620" s="761">
        <v>44720</v>
      </c>
      <c r="O1620" s="761" t="s">
        <v>62</v>
      </c>
      <c r="P1620" s="762" t="s">
        <v>4573</v>
      </c>
      <c r="Q1620" s="3" t="s">
        <v>1043</v>
      </c>
      <c r="R1620" s="3"/>
      <c r="S1620" s="3" t="s">
        <v>1547</v>
      </c>
      <c r="T1620" s="3"/>
      <c r="U1620" s="3">
        <v>276.2</v>
      </c>
      <c r="V1620" s="4"/>
      <c r="W1620" s="761"/>
      <c r="X1620" s="4" t="str">
        <f t="shared" si="24"/>
        <v>June</v>
      </c>
      <c r="Y1620" s="761">
        <v>44721</v>
      </c>
      <c r="Z1620" s="761" t="s">
        <v>62</v>
      </c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</row>
    <row r="1621" spans="1:39">
      <c r="B1621" s="747">
        <v>6</v>
      </c>
      <c r="C1621" s="938" t="s">
        <v>4303</v>
      </c>
      <c r="D1621" s="787" t="s">
        <v>4574</v>
      </c>
      <c r="E1621" s="12" t="s">
        <v>4575</v>
      </c>
      <c r="F1621" s="749">
        <v>14</v>
      </c>
      <c r="G1621" s="3" t="s">
        <v>932</v>
      </c>
      <c r="H1621" s="3" t="s">
        <v>1041</v>
      </c>
      <c r="I1621" s="3">
        <v>465.3</v>
      </c>
      <c r="J1621" s="859">
        <v>252.06</v>
      </c>
      <c r="K1621" s="3" t="str">
        <f t="shared" si="23"/>
        <v>June</v>
      </c>
      <c r="L1621" s="761">
        <v>44721</v>
      </c>
      <c r="M1621" s="761" t="s">
        <v>2411</v>
      </c>
      <c r="N1621" s="761">
        <v>44721</v>
      </c>
      <c r="O1621" s="761" t="s">
        <v>62</v>
      </c>
      <c r="P1621" s="762" t="s">
        <v>4576</v>
      </c>
      <c r="Q1621" s="3" t="s">
        <v>4577</v>
      </c>
      <c r="R1621" s="3"/>
      <c r="S1621" s="3" t="s">
        <v>1547</v>
      </c>
      <c r="T1621" s="3"/>
      <c r="U1621" s="3">
        <v>274.60000000000002</v>
      </c>
      <c r="V1621" s="4"/>
      <c r="W1621" s="761"/>
      <c r="X1621" s="4" t="str">
        <f t="shared" si="24"/>
        <v>June</v>
      </c>
      <c r="Y1621" s="761">
        <v>44721</v>
      </c>
      <c r="Z1621" s="761" t="s">
        <v>62</v>
      </c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</row>
    <row r="1622" spans="1:39">
      <c r="B1622" s="747">
        <v>6</v>
      </c>
      <c r="C1622" s="938" t="s">
        <v>4303</v>
      </c>
      <c r="D1622" s="787" t="s">
        <v>4578</v>
      </c>
      <c r="E1622" s="12" t="s">
        <v>4579</v>
      </c>
      <c r="F1622" s="749">
        <v>15</v>
      </c>
      <c r="G1622" s="3" t="s">
        <v>932</v>
      </c>
      <c r="H1622" s="3" t="s">
        <v>932</v>
      </c>
      <c r="I1622" s="3">
        <v>468.3</v>
      </c>
      <c r="J1622" s="859">
        <v>252.28</v>
      </c>
      <c r="K1622" s="3" t="str">
        <f t="shared" si="23"/>
        <v>June</v>
      </c>
      <c r="L1622" s="761">
        <v>44722</v>
      </c>
      <c r="M1622" s="761" t="s">
        <v>2411</v>
      </c>
      <c r="N1622" s="761">
        <v>44722</v>
      </c>
      <c r="O1622" s="761" t="s">
        <v>62</v>
      </c>
      <c r="P1622" s="762" t="s">
        <v>4580</v>
      </c>
      <c r="Q1622" s="3" t="s">
        <v>4581</v>
      </c>
      <c r="R1622" s="3"/>
      <c r="S1622" s="3" t="s">
        <v>1547</v>
      </c>
      <c r="T1622" s="3"/>
      <c r="U1622" s="3">
        <v>275</v>
      </c>
      <c r="V1622" s="4"/>
      <c r="W1622" s="761"/>
      <c r="X1622" s="4" t="str">
        <f t="shared" si="24"/>
        <v>June</v>
      </c>
      <c r="Y1622" s="761">
        <v>44722</v>
      </c>
      <c r="Z1622" s="761" t="s">
        <v>62</v>
      </c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</row>
    <row r="1623" spans="1:39">
      <c r="B1623" s="747">
        <v>6</v>
      </c>
      <c r="C1623" s="938" t="s">
        <v>4303</v>
      </c>
      <c r="D1623" s="787" t="s">
        <v>4582</v>
      </c>
      <c r="E1623" s="12" t="s">
        <v>4583</v>
      </c>
      <c r="F1623" s="749">
        <v>16</v>
      </c>
      <c r="G1623" s="3" t="s">
        <v>932</v>
      </c>
      <c r="H1623" s="3" t="s">
        <v>932</v>
      </c>
      <c r="I1623" s="3">
        <v>464</v>
      </c>
      <c r="J1623" s="859">
        <v>255.6</v>
      </c>
      <c r="K1623" s="3" t="str">
        <f t="shared" si="23"/>
        <v>June</v>
      </c>
      <c r="L1623" s="761">
        <v>44722</v>
      </c>
      <c r="M1623" s="761" t="s">
        <v>2411</v>
      </c>
      <c r="N1623" s="761">
        <v>44722</v>
      </c>
      <c r="O1623" s="761" t="s">
        <v>62</v>
      </c>
      <c r="P1623" s="762" t="s">
        <v>4584</v>
      </c>
      <c r="Q1623" s="3" t="s">
        <v>4585</v>
      </c>
      <c r="R1623" s="3"/>
      <c r="S1623" s="3" t="s">
        <v>1547</v>
      </c>
      <c r="T1623" s="3"/>
      <c r="U1623" s="3">
        <v>278.5</v>
      </c>
      <c r="V1623" s="4"/>
      <c r="W1623" s="761"/>
      <c r="X1623" s="4" t="str">
        <f t="shared" si="24"/>
        <v>June</v>
      </c>
      <c r="Y1623" s="761">
        <v>44722</v>
      </c>
      <c r="Z1623" s="761" t="s">
        <v>62</v>
      </c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</row>
    <row r="1624" spans="1:39">
      <c r="B1624" s="747">
        <v>6</v>
      </c>
      <c r="C1624" s="938" t="s">
        <v>4303</v>
      </c>
      <c r="D1624" s="787" t="s">
        <v>4586</v>
      </c>
      <c r="E1624" s="12" t="s">
        <v>4587</v>
      </c>
      <c r="F1624" s="749">
        <v>17</v>
      </c>
      <c r="G1624" s="3" t="s">
        <v>932</v>
      </c>
      <c r="H1624" s="3" t="s">
        <v>1041</v>
      </c>
      <c r="I1624" s="3">
        <v>466.4</v>
      </c>
      <c r="J1624" s="859">
        <v>252.96</v>
      </c>
      <c r="K1624" s="3" t="str">
        <f t="shared" si="23"/>
        <v>June</v>
      </c>
      <c r="L1624" s="761">
        <v>44725</v>
      </c>
      <c r="M1624" s="761" t="s">
        <v>2411</v>
      </c>
      <c r="N1624" s="761">
        <v>44725</v>
      </c>
      <c r="O1624" s="761" t="s">
        <v>62</v>
      </c>
      <c r="P1624" s="762" t="s">
        <v>4588</v>
      </c>
      <c r="Q1624" s="3" t="s">
        <v>4589</v>
      </c>
      <c r="R1624" s="3"/>
      <c r="S1624" s="3" t="s">
        <v>1547</v>
      </c>
      <c r="T1624" s="3"/>
      <c r="U1624" s="3">
        <v>275.5</v>
      </c>
      <c r="V1624" s="4"/>
      <c r="W1624" s="761"/>
      <c r="X1624" s="4" t="str">
        <f t="shared" si="24"/>
        <v>June</v>
      </c>
      <c r="Y1624" s="761">
        <v>44725</v>
      </c>
      <c r="Z1624" s="761" t="s">
        <v>62</v>
      </c>
      <c r="AA1624" s="4"/>
      <c r="AB1624" s="4"/>
      <c r="AC1624" s="4"/>
      <c r="AD1624" s="4"/>
      <c r="AE1624" s="4"/>
      <c r="AF1624" s="4"/>
      <c r="AG1624" s="4" t="s">
        <v>4590</v>
      </c>
      <c r="AH1624" s="4"/>
      <c r="AI1624" s="4"/>
      <c r="AJ1624" s="4"/>
      <c r="AK1624" s="4"/>
      <c r="AL1624" s="4"/>
      <c r="AM1624" s="4">
        <v>5.07</v>
      </c>
    </row>
    <row r="1625" spans="1:39">
      <c r="B1625" s="747">
        <v>6</v>
      </c>
      <c r="C1625" s="938" t="s">
        <v>4303</v>
      </c>
      <c r="D1625" s="787" t="s">
        <v>4591</v>
      </c>
      <c r="E1625" s="12" t="s">
        <v>4592</v>
      </c>
      <c r="F1625" s="749">
        <v>18</v>
      </c>
      <c r="G1625" s="3" t="s">
        <v>932</v>
      </c>
      <c r="H1625" s="3" t="s">
        <v>1041</v>
      </c>
      <c r="I1625" s="3">
        <v>466.5</v>
      </c>
      <c r="J1625" s="859">
        <v>258.58</v>
      </c>
      <c r="K1625" s="3" t="str">
        <f t="shared" si="23"/>
        <v>June</v>
      </c>
      <c r="L1625" s="761">
        <v>44725</v>
      </c>
      <c r="M1625" s="761" t="s">
        <v>2411</v>
      </c>
      <c r="N1625" s="761">
        <v>44726</v>
      </c>
      <c r="O1625" s="761" t="s">
        <v>62</v>
      </c>
      <c r="P1625" s="762" t="s">
        <v>4593</v>
      </c>
      <c r="Q1625" s="3" t="s">
        <v>1216</v>
      </c>
      <c r="R1625" s="3"/>
      <c r="S1625" s="3" t="s">
        <v>130</v>
      </c>
      <c r="T1625" s="3"/>
      <c r="U1625" s="3">
        <v>281.3</v>
      </c>
      <c r="V1625" s="4"/>
      <c r="W1625" s="761"/>
      <c r="X1625" s="4" t="str">
        <f t="shared" si="24"/>
        <v>June</v>
      </c>
      <c r="Y1625" s="761">
        <v>44725</v>
      </c>
      <c r="Z1625" s="761" t="s">
        <v>62</v>
      </c>
      <c r="AA1625" s="4"/>
      <c r="AB1625" s="4"/>
      <c r="AC1625" s="4"/>
      <c r="AD1625" s="4"/>
      <c r="AE1625" s="4"/>
      <c r="AF1625" s="4"/>
      <c r="AG1625" s="4" t="s">
        <v>4594</v>
      </c>
      <c r="AH1625" s="4"/>
      <c r="AI1625" s="4"/>
      <c r="AJ1625" s="4"/>
      <c r="AK1625" s="4"/>
      <c r="AL1625" s="4"/>
      <c r="AM1625" s="4">
        <v>5.17</v>
      </c>
    </row>
    <row r="1626" spans="1:39">
      <c r="B1626" s="747">
        <v>6</v>
      </c>
      <c r="C1626" s="938" t="s">
        <v>4303</v>
      </c>
      <c r="D1626" s="787" t="s">
        <v>4595</v>
      </c>
      <c r="E1626" s="12" t="s">
        <v>4596</v>
      </c>
      <c r="F1626" s="749">
        <v>19</v>
      </c>
      <c r="G1626" s="3" t="s">
        <v>932</v>
      </c>
      <c r="H1626" s="3" t="s">
        <v>1041</v>
      </c>
      <c r="I1626" s="3">
        <v>467.16</v>
      </c>
      <c r="J1626" s="859">
        <v>255.7</v>
      </c>
      <c r="K1626" s="3" t="str">
        <f t="shared" si="23"/>
        <v>June</v>
      </c>
      <c r="L1626" s="761">
        <v>44725</v>
      </c>
      <c r="M1626" s="761" t="s">
        <v>2411</v>
      </c>
      <c r="N1626" s="761">
        <v>44726</v>
      </c>
      <c r="O1626" s="761" t="s">
        <v>62</v>
      </c>
      <c r="P1626" s="762" t="s">
        <v>4597</v>
      </c>
      <c r="Q1626" s="3" t="s">
        <v>4598</v>
      </c>
      <c r="R1626" s="3"/>
      <c r="S1626" s="3" t="s">
        <v>130</v>
      </c>
      <c r="T1626" s="3"/>
      <c r="U1626" s="3">
        <v>278.2</v>
      </c>
      <c r="V1626" s="4"/>
      <c r="W1626" s="761"/>
      <c r="X1626" s="4" t="str">
        <f t="shared" si="24"/>
        <v>June</v>
      </c>
      <c r="Y1626" s="761">
        <v>44726</v>
      </c>
      <c r="Z1626" s="761" t="s">
        <v>62</v>
      </c>
      <c r="AA1626" s="4"/>
      <c r="AB1626" s="4"/>
      <c r="AC1626" s="4"/>
      <c r="AD1626" s="4"/>
      <c r="AE1626" s="4"/>
      <c r="AF1626" s="4"/>
      <c r="AG1626" s="4" t="s">
        <v>838</v>
      </c>
      <c r="AH1626" s="4"/>
      <c r="AI1626" s="4"/>
      <c r="AJ1626" s="4"/>
      <c r="AK1626" s="4"/>
      <c r="AL1626" s="4"/>
      <c r="AM1626" s="4">
        <v>4.9400000000000004</v>
      </c>
    </row>
    <row r="1627" spans="1:39">
      <c r="B1627" s="747">
        <v>6</v>
      </c>
      <c r="C1627" s="938" t="s">
        <v>4303</v>
      </c>
      <c r="D1627" s="787" t="s">
        <v>4599</v>
      </c>
      <c r="E1627" s="12" t="s">
        <v>4600</v>
      </c>
      <c r="F1627" s="749">
        <v>20</v>
      </c>
      <c r="G1627" s="3" t="s">
        <v>932</v>
      </c>
      <c r="H1627" s="3" t="s">
        <v>1041</v>
      </c>
      <c r="I1627" s="3">
        <v>466.9</v>
      </c>
      <c r="J1627" s="859">
        <v>252.42</v>
      </c>
      <c r="K1627" s="3" t="str">
        <f t="shared" si="23"/>
        <v>June</v>
      </c>
      <c r="L1627" s="761">
        <v>44725</v>
      </c>
      <c r="M1627" s="761" t="s">
        <v>2411</v>
      </c>
      <c r="N1627" s="761">
        <v>44727</v>
      </c>
      <c r="O1627" s="761" t="s">
        <v>62</v>
      </c>
      <c r="P1627" s="762" t="s">
        <v>4601</v>
      </c>
      <c r="Q1627" s="3" t="s">
        <v>4602</v>
      </c>
      <c r="R1627" s="3"/>
      <c r="S1627" s="3" t="s">
        <v>1795</v>
      </c>
      <c r="T1627" s="3"/>
      <c r="U1627" s="3">
        <v>273.89999999999998</v>
      </c>
      <c r="V1627" s="4"/>
      <c r="W1627" s="761"/>
      <c r="X1627" s="4" t="str">
        <f t="shared" si="24"/>
        <v>June</v>
      </c>
      <c r="Y1627" s="761">
        <v>44727</v>
      </c>
      <c r="Z1627" s="761" t="s">
        <v>62</v>
      </c>
      <c r="AA1627" s="4"/>
      <c r="AB1627" s="4"/>
      <c r="AC1627" s="4"/>
      <c r="AD1627" s="4"/>
      <c r="AE1627" s="4"/>
      <c r="AF1627" s="4"/>
      <c r="AG1627" s="4" t="s">
        <v>4603</v>
      </c>
      <c r="AH1627" s="4"/>
      <c r="AI1627" s="4"/>
      <c r="AJ1627" s="4"/>
      <c r="AK1627" s="4"/>
      <c r="AL1627" s="4"/>
      <c r="AM1627" s="4">
        <v>5.12</v>
      </c>
    </row>
    <row r="1628" spans="1:39">
      <c r="B1628" s="747">
        <v>6</v>
      </c>
      <c r="C1628" s="938" t="s">
        <v>4303</v>
      </c>
      <c r="D1628" s="787" t="s">
        <v>4604</v>
      </c>
      <c r="E1628" s="12" t="s">
        <v>4605</v>
      </c>
      <c r="F1628" s="749">
        <v>21</v>
      </c>
      <c r="G1628" s="3" t="s">
        <v>932</v>
      </c>
      <c r="H1628" s="3" t="s">
        <v>1041</v>
      </c>
      <c r="I1628" s="3">
        <v>465.6</v>
      </c>
      <c r="J1628" s="878">
        <v>257.76</v>
      </c>
      <c r="K1628" s="3" t="str">
        <f t="shared" si="23"/>
        <v>June</v>
      </c>
      <c r="L1628" s="761">
        <v>44726</v>
      </c>
      <c r="M1628" s="761" t="s">
        <v>2411</v>
      </c>
      <c r="N1628" s="761">
        <v>44727</v>
      </c>
      <c r="O1628" s="761" t="s">
        <v>62</v>
      </c>
      <c r="P1628" s="762" t="s">
        <v>4606</v>
      </c>
      <c r="Q1628" s="3" t="s">
        <v>4607</v>
      </c>
      <c r="R1628" s="3"/>
      <c r="S1628" s="3" t="s">
        <v>130</v>
      </c>
      <c r="T1628" s="3"/>
      <c r="U1628" s="3">
        <v>279.89999999999998</v>
      </c>
      <c r="V1628" s="4"/>
      <c r="W1628" s="761"/>
      <c r="X1628" s="4" t="str">
        <f t="shared" si="24"/>
        <v>June</v>
      </c>
      <c r="Y1628" s="761">
        <v>44727</v>
      </c>
      <c r="Z1628" s="761" t="s">
        <v>62</v>
      </c>
      <c r="AA1628" s="4"/>
      <c r="AB1628" s="4"/>
      <c r="AC1628" s="4"/>
      <c r="AD1628" s="4"/>
      <c r="AE1628" s="4"/>
      <c r="AF1628" s="4"/>
      <c r="AG1628" s="4" t="s">
        <v>4608</v>
      </c>
      <c r="AH1628" s="4"/>
      <c r="AI1628" s="4"/>
      <c r="AJ1628" s="4"/>
      <c r="AK1628" s="4"/>
      <c r="AL1628" s="4"/>
      <c r="AM1628" s="4">
        <v>5.04</v>
      </c>
    </row>
    <row r="1629" spans="1:39">
      <c r="B1629" s="747">
        <v>6</v>
      </c>
      <c r="C1629" s="938" t="s">
        <v>4303</v>
      </c>
      <c r="D1629" s="787" t="s">
        <v>4609</v>
      </c>
      <c r="E1629" s="12" t="s">
        <v>4610</v>
      </c>
      <c r="F1629" s="749">
        <v>22</v>
      </c>
      <c r="G1629" s="3" t="s">
        <v>932</v>
      </c>
      <c r="H1629" s="3" t="s">
        <v>128</v>
      </c>
      <c r="I1629" s="3">
        <v>465.4</v>
      </c>
      <c r="J1629" s="859">
        <v>257.60000000000002</v>
      </c>
      <c r="K1629" s="3" t="str">
        <f t="shared" si="23"/>
        <v>June</v>
      </c>
      <c r="L1629" s="761">
        <v>44727</v>
      </c>
      <c r="M1629" s="761" t="s">
        <v>2411</v>
      </c>
      <c r="N1629" s="761">
        <v>44728</v>
      </c>
      <c r="O1629" s="761" t="s">
        <v>62</v>
      </c>
      <c r="P1629" s="762" t="s">
        <v>4611</v>
      </c>
      <c r="Q1629" s="3" t="s">
        <v>934</v>
      </c>
      <c r="R1629" s="3"/>
      <c r="S1629" s="3" t="s">
        <v>130</v>
      </c>
      <c r="T1629" s="3"/>
      <c r="U1629" s="3">
        <v>280.3</v>
      </c>
      <c r="V1629" s="4"/>
      <c r="W1629" s="761"/>
      <c r="X1629" s="4" t="str">
        <f t="shared" si="24"/>
        <v>June</v>
      </c>
      <c r="Y1629" s="761">
        <v>44728</v>
      </c>
      <c r="Z1629" s="761" t="s">
        <v>62</v>
      </c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>
        <v>5.01</v>
      </c>
    </row>
    <row r="1630" spans="1:39" s="707" customFormat="1">
      <c r="A1630"/>
      <c r="B1630" s="805" t="s">
        <v>13</v>
      </c>
      <c r="C1630" s="807" t="s">
        <v>1764</v>
      </c>
      <c r="D1630" s="876"/>
      <c r="E1630" s="875"/>
      <c r="F1630" s="808"/>
      <c r="G1630" s="807"/>
      <c r="H1630" s="807"/>
      <c r="I1630" s="807"/>
      <c r="J1630" s="885"/>
      <c r="K1630" s="807"/>
      <c r="L1630" s="819"/>
      <c r="M1630" s="819"/>
      <c r="N1630" s="819"/>
      <c r="O1630" s="819"/>
      <c r="P1630" s="820"/>
      <c r="Q1630" s="807"/>
      <c r="R1630" s="807"/>
      <c r="S1630" s="807"/>
      <c r="T1630" s="807"/>
      <c r="U1630" s="807"/>
      <c r="V1630" s="710"/>
      <c r="W1630" s="819"/>
      <c r="X1630" s="710"/>
      <c r="Y1630" s="819"/>
      <c r="Z1630" s="819"/>
      <c r="AA1630" s="710"/>
      <c r="AB1630" s="710"/>
      <c r="AC1630" s="710"/>
      <c r="AD1630" s="710"/>
      <c r="AE1630" s="710"/>
      <c r="AF1630" s="710"/>
      <c r="AG1630" s="710"/>
      <c r="AH1630" s="710"/>
      <c r="AI1630" s="710"/>
      <c r="AJ1630" s="710"/>
      <c r="AK1630" s="710"/>
      <c r="AL1630" s="710"/>
      <c r="AM1630" s="710"/>
    </row>
    <row r="1631" spans="1:39">
      <c r="B1631" s="747">
        <v>7</v>
      </c>
      <c r="C1631" s="938" t="s">
        <v>4303</v>
      </c>
      <c r="D1631" s="787" t="s">
        <v>4612</v>
      </c>
      <c r="E1631" s="12" t="s">
        <v>4613</v>
      </c>
      <c r="F1631" s="749">
        <v>1</v>
      </c>
      <c r="G1631" s="3" t="s">
        <v>60</v>
      </c>
      <c r="H1631" s="3" t="s">
        <v>128</v>
      </c>
      <c r="I1631" s="859">
        <v>463.8</v>
      </c>
      <c r="J1631" s="3">
        <v>254.53</v>
      </c>
      <c r="K1631" s="3" t="s">
        <v>2411</v>
      </c>
      <c r="L1631" s="761">
        <v>44729</v>
      </c>
      <c r="M1631" s="761" t="s">
        <v>2411</v>
      </c>
      <c r="N1631" s="761">
        <v>44729</v>
      </c>
      <c r="O1631" s="761" t="s">
        <v>62</v>
      </c>
      <c r="P1631" s="3" t="s">
        <v>4614</v>
      </c>
      <c r="Q1631" s="762" t="s">
        <v>4615</v>
      </c>
      <c r="R1631" s="3"/>
      <c r="S1631" s="3" t="s">
        <v>130</v>
      </c>
      <c r="T1631" s="3"/>
      <c r="U1631" s="3">
        <v>277.5</v>
      </c>
      <c r="V1631" s="4"/>
      <c r="W1631" s="761"/>
      <c r="X1631" s="4" t="s">
        <v>3373</v>
      </c>
      <c r="Y1631" s="761">
        <v>44729</v>
      </c>
      <c r="Z1631" s="761" t="s">
        <v>62</v>
      </c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>
        <v>5.18</v>
      </c>
    </row>
    <row r="1632" spans="1:39">
      <c r="B1632" s="747">
        <v>7</v>
      </c>
      <c r="C1632" s="938" t="s">
        <v>4303</v>
      </c>
      <c r="D1632" s="787" t="s">
        <v>4616</v>
      </c>
      <c r="E1632" s="12" t="s">
        <v>4617</v>
      </c>
      <c r="F1632" s="749">
        <v>2</v>
      </c>
      <c r="G1632" s="3" t="s">
        <v>60</v>
      </c>
      <c r="H1632" s="3" t="s">
        <v>128</v>
      </c>
      <c r="I1632" s="3">
        <v>468.5</v>
      </c>
      <c r="J1632" s="859">
        <v>253.29</v>
      </c>
      <c r="K1632" s="3" t="s">
        <v>2411</v>
      </c>
      <c r="L1632" s="761">
        <v>44732</v>
      </c>
      <c r="M1632" s="761" t="s">
        <v>2411</v>
      </c>
      <c r="N1632" s="761">
        <v>44732</v>
      </c>
      <c r="O1632" s="761" t="s">
        <v>62</v>
      </c>
      <c r="P1632" s="762" t="s">
        <v>4618</v>
      </c>
      <c r="Q1632" s="3" t="s">
        <v>4619</v>
      </c>
      <c r="R1632" s="3"/>
      <c r="S1632" s="3" t="s">
        <v>130</v>
      </c>
      <c r="T1632" s="3"/>
      <c r="U1632" s="3">
        <v>276</v>
      </c>
      <c r="V1632" s="4"/>
      <c r="W1632" s="761"/>
      <c r="X1632" s="4" t="s">
        <v>3373</v>
      </c>
      <c r="Y1632" s="761">
        <v>44732</v>
      </c>
      <c r="Z1632" s="761" t="s">
        <v>62</v>
      </c>
      <c r="AA1632" s="4"/>
      <c r="AB1632" s="4"/>
      <c r="AC1632" s="4"/>
      <c r="AD1632" s="4"/>
      <c r="AE1632" s="4"/>
      <c r="AF1632" s="4"/>
      <c r="AG1632" s="4" t="s">
        <v>4620</v>
      </c>
      <c r="AH1632" s="4"/>
      <c r="AI1632" s="4"/>
      <c r="AJ1632" s="4"/>
      <c r="AK1632" s="4"/>
      <c r="AL1632" s="4"/>
      <c r="AM1632" s="4">
        <v>5.26</v>
      </c>
    </row>
    <row r="1633" spans="1:39">
      <c r="B1633" s="747">
        <v>7</v>
      </c>
      <c r="C1633" s="938" t="s">
        <v>4303</v>
      </c>
      <c r="D1633" s="787" t="s">
        <v>4621</v>
      </c>
      <c r="E1633" s="12" t="s">
        <v>4622</v>
      </c>
      <c r="F1633" s="749">
        <v>3</v>
      </c>
      <c r="G1633" s="3" t="s">
        <v>60</v>
      </c>
      <c r="H1633" s="3" t="s">
        <v>128</v>
      </c>
      <c r="I1633" s="3">
        <v>464.4</v>
      </c>
      <c r="J1633" s="859">
        <v>256.04000000000002</v>
      </c>
      <c r="K1633" s="3" t="s">
        <v>2411</v>
      </c>
      <c r="L1633" s="761">
        <v>44732</v>
      </c>
      <c r="M1633" s="761" t="s">
        <v>2411</v>
      </c>
      <c r="N1633" s="761">
        <v>44732</v>
      </c>
      <c r="O1633" s="761" t="s">
        <v>62</v>
      </c>
      <c r="P1633" s="762" t="s">
        <v>4623</v>
      </c>
      <c r="Q1633" s="3" t="s">
        <v>4624</v>
      </c>
      <c r="R1633" s="3"/>
      <c r="S1633" s="3" t="s">
        <v>130</v>
      </c>
      <c r="T1633" s="3"/>
      <c r="U1633" s="3">
        <v>278.5</v>
      </c>
      <c r="V1633" s="4"/>
      <c r="W1633" s="761"/>
      <c r="X1633" s="4" t="s">
        <v>3373</v>
      </c>
      <c r="Y1633" s="761">
        <v>44732</v>
      </c>
      <c r="Z1633" s="761" t="s">
        <v>62</v>
      </c>
      <c r="AA1633" s="4"/>
      <c r="AB1633" s="4"/>
      <c r="AC1633" s="4"/>
      <c r="AD1633" s="4"/>
      <c r="AE1633" s="4"/>
      <c r="AF1633" s="4"/>
      <c r="AG1633" s="4" t="s">
        <v>4625</v>
      </c>
      <c r="AH1633" s="4"/>
      <c r="AI1633" s="4"/>
      <c r="AJ1633" s="4"/>
      <c r="AK1633" s="4"/>
      <c r="AL1633" s="4"/>
      <c r="AM1633" s="4">
        <v>5.07</v>
      </c>
    </row>
    <row r="1634" spans="1:39">
      <c r="B1634" s="747">
        <v>7</v>
      </c>
      <c r="C1634" s="938" t="s">
        <v>4303</v>
      </c>
      <c r="D1634" s="787" t="s">
        <v>4626</v>
      </c>
      <c r="E1634" s="12" t="s">
        <v>4627</v>
      </c>
      <c r="F1634" s="749">
        <v>4</v>
      </c>
      <c r="G1634" s="3" t="s">
        <v>60</v>
      </c>
      <c r="H1634" s="3" t="s">
        <v>128</v>
      </c>
      <c r="I1634" s="3">
        <v>467.4</v>
      </c>
      <c r="J1634" s="859">
        <v>259.25</v>
      </c>
      <c r="K1634" s="3" t="s">
        <v>2411</v>
      </c>
      <c r="L1634" s="761">
        <v>44732</v>
      </c>
      <c r="M1634" s="761" t="s">
        <v>2411</v>
      </c>
      <c r="N1634" s="761">
        <v>44732</v>
      </c>
      <c r="O1634" s="761" t="s">
        <v>62</v>
      </c>
      <c r="P1634" s="762" t="s">
        <v>4628</v>
      </c>
      <c r="Q1634" s="3" t="s">
        <v>4629</v>
      </c>
      <c r="R1634" s="3"/>
      <c r="S1634" s="3" t="s">
        <v>130</v>
      </c>
      <c r="T1634" s="3"/>
      <c r="U1634" s="3">
        <v>281.60000000000002</v>
      </c>
      <c r="V1634" s="4"/>
      <c r="W1634" s="761"/>
      <c r="X1634" s="4" t="s">
        <v>3373</v>
      </c>
      <c r="Y1634" s="761">
        <v>44732</v>
      </c>
      <c r="Z1634" s="761" t="s">
        <v>62</v>
      </c>
      <c r="AA1634" s="4"/>
      <c r="AB1634" s="4"/>
      <c r="AC1634" s="4"/>
      <c r="AD1634" s="4"/>
      <c r="AE1634" s="4"/>
      <c r="AF1634" s="4"/>
      <c r="AG1634" s="4" t="s">
        <v>4630</v>
      </c>
      <c r="AH1634" s="4"/>
      <c r="AI1634" s="4"/>
      <c r="AJ1634" s="4"/>
      <c r="AK1634" s="4"/>
      <c r="AL1634" s="4"/>
      <c r="AM1634" s="4">
        <v>5.26</v>
      </c>
    </row>
    <row r="1635" spans="1:39">
      <c r="B1635" s="747">
        <v>7</v>
      </c>
      <c r="C1635" s="938" t="s">
        <v>4303</v>
      </c>
      <c r="D1635" s="787" t="s">
        <v>4631</v>
      </c>
      <c r="E1635" s="787" t="s">
        <v>4632</v>
      </c>
      <c r="F1635" s="749">
        <v>5</v>
      </c>
      <c r="G1635" s="3" t="s">
        <v>60</v>
      </c>
      <c r="H1635" s="3" t="s">
        <v>128</v>
      </c>
      <c r="I1635" s="3">
        <v>464.7</v>
      </c>
      <c r="J1635" s="859">
        <v>254.84</v>
      </c>
      <c r="K1635" s="3" t="s">
        <v>2411</v>
      </c>
      <c r="L1635" s="761">
        <v>44732</v>
      </c>
      <c r="M1635" s="761" t="s">
        <v>2411</v>
      </c>
      <c r="N1635" s="761">
        <v>44733</v>
      </c>
      <c r="O1635" s="761" t="s">
        <v>62</v>
      </c>
      <c r="P1635" s="762" t="s">
        <v>4633</v>
      </c>
      <c r="Q1635" s="3" t="s">
        <v>4634</v>
      </c>
      <c r="R1635" s="3"/>
      <c r="S1635" s="3" t="s">
        <v>130</v>
      </c>
      <c r="T1635" s="3"/>
      <c r="U1635" s="3">
        <v>277.3</v>
      </c>
      <c r="V1635" s="4"/>
      <c r="W1635" s="761"/>
      <c r="X1635" s="4" t="s">
        <v>3373</v>
      </c>
      <c r="Y1635" s="761">
        <v>44734</v>
      </c>
      <c r="Z1635" s="761" t="s">
        <v>62</v>
      </c>
      <c r="AA1635" s="4"/>
      <c r="AB1635" s="4"/>
      <c r="AC1635" s="4"/>
      <c r="AD1635" s="4"/>
      <c r="AE1635" s="4"/>
      <c r="AF1635" s="4"/>
      <c r="AG1635" s="4" t="s">
        <v>4635</v>
      </c>
      <c r="AH1635" s="4"/>
      <c r="AI1635" s="4"/>
      <c r="AJ1635" s="4"/>
      <c r="AK1635" s="4"/>
      <c r="AL1635" s="4"/>
      <c r="AM1635" s="4">
        <v>5.04</v>
      </c>
    </row>
    <row r="1636" spans="1:39">
      <c r="B1636" s="747">
        <v>7</v>
      </c>
      <c r="C1636" s="938" t="s">
        <v>4303</v>
      </c>
      <c r="D1636" s="787" t="s">
        <v>4636</v>
      </c>
      <c r="E1636" s="12" t="s">
        <v>4637</v>
      </c>
      <c r="F1636" s="749">
        <v>6</v>
      </c>
      <c r="G1636" s="3" t="s">
        <v>60</v>
      </c>
      <c r="H1636" s="3" t="s">
        <v>128</v>
      </c>
      <c r="I1636" s="3">
        <v>472</v>
      </c>
      <c r="J1636" s="859">
        <v>255.04</v>
      </c>
      <c r="K1636" s="3" t="s">
        <v>2411</v>
      </c>
      <c r="L1636" s="761">
        <v>44734</v>
      </c>
      <c r="M1636" s="761" t="s">
        <v>2411</v>
      </c>
      <c r="N1636" s="761">
        <v>44733</v>
      </c>
      <c r="O1636" s="761" t="s">
        <v>62</v>
      </c>
      <c r="P1636" s="762" t="s">
        <v>4638</v>
      </c>
      <c r="Q1636" s="3" t="s">
        <v>4639</v>
      </c>
      <c r="R1636" s="3"/>
      <c r="S1636" s="3" t="s">
        <v>130</v>
      </c>
      <c r="T1636" s="3"/>
      <c r="U1636" s="3">
        <v>278.10000000000002</v>
      </c>
      <c r="V1636" s="4"/>
      <c r="W1636" s="761"/>
      <c r="X1636" s="4" t="s">
        <v>3373</v>
      </c>
      <c r="Y1636" s="761">
        <v>44734</v>
      </c>
      <c r="Z1636" s="761" t="s">
        <v>62</v>
      </c>
      <c r="AA1636" s="4"/>
      <c r="AB1636" s="4"/>
      <c r="AC1636" s="4"/>
      <c r="AD1636" s="4"/>
      <c r="AE1636" s="4"/>
      <c r="AF1636" s="4"/>
      <c r="AG1636" s="4" t="s">
        <v>4640</v>
      </c>
      <c r="AH1636" s="4"/>
      <c r="AI1636" s="4"/>
      <c r="AJ1636" s="4"/>
      <c r="AK1636" s="4"/>
      <c r="AL1636" s="4"/>
      <c r="AM1636" s="4">
        <v>4.99</v>
      </c>
    </row>
    <row r="1637" spans="1:39">
      <c r="B1637" s="747">
        <v>7</v>
      </c>
      <c r="C1637" s="938" t="s">
        <v>4303</v>
      </c>
      <c r="D1637" s="787" t="s">
        <v>4641</v>
      </c>
      <c r="E1637" s="12" t="s">
        <v>4642</v>
      </c>
      <c r="F1637" s="749">
        <v>7</v>
      </c>
      <c r="G1637" s="3" t="s">
        <v>60</v>
      </c>
      <c r="H1637" s="3" t="s">
        <v>128</v>
      </c>
      <c r="I1637" s="3">
        <v>467.2</v>
      </c>
      <c r="J1637" s="859">
        <v>259.74</v>
      </c>
      <c r="K1637" s="3" t="s">
        <v>2411</v>
      </c>
      <c r="L1637" s="761">
        <v>44734</v>
      </c>
      <c r="M1637" s="761" t="s">
        <v>2411</v>
      </c>
      <c r="N1637" s="761">
        <v>44734</v>
      </c>
      <c r="O1637" s="761" t="s">
        <v>62</v>
      </c>
      <c r="P1637" s="762" t="s">
        <v>4643</v>
      </c>
      <c r="Q1637" s="3" t="s">
        <v>4644</v>
      </c>
      <c r="R1637" s="3"/>
      <c r="S1637" s="3" t="s">
        <v>130</v>
      </c>
      <c r="T1637" s="3"/>
      <c r="U1637" s="3">
        <v>282.5</v>
      </c>
      <c r="V1637" s="4"/>
      <c r="W1637" s="761"/>
      <c r="X1637" s="4" t="s">
        <v>3373</v>
      </c>
      <c r="Y1637" s="761">
        <v>44734</v>
      </c>
      <c r="Z1637" s="761" t="s">
        <v>62</v>
      </c>
      <c r="AA1637" s="4"/>
      <c r="AB1637" s="4"/>
      <c r="AC1637" s="4"/>
      <c r="AD1637" s="4"/>
      <c r="AE1637" s="4"/>
      <c r="AF1637" s="4"/>
      <c r="AG1637" s="4" t="s">
        <v>4645</v>
      </c>
      <c r="AH1637" s="4"/>
      <c r="AI1637" s="4"/>
      <c r="AJ1637" s="4"/>
      <c r="AK1637" s="4"/>
      <c r="AL1637" s="4"/>
      <c r="AM1637" s="4">
        <v>4.72</v>
      </c>
    </row>
    <row r="1638" spans="1:39" s="707" customFormat="1">
      <c r="A1638"/>
      <c r="B1638" s="805" t="s">
        <v>13</v>
      </c>
      <c r="C1638" s="807" t="s">
        <v>1761</v>
      </c>
      <c r="D1638" s="876"/>
      <c r="E1638" s="875"/>
      <c r="F1638" s="808"/>
      <c r="G1638" s="807"/>
      <c r="H1638" s="807"/>
      <c r="I1638" s="807"/>
      <c r="J1638" s="885"/>
      <c r="K1638" s="807"/>
      <c r="L1638" s="819"/>
      <c r="M1638" s="819"/>
      <c r="N1638" s="819"/>
      <c r="O1638" s="819"/>
      <c r="P1638" s="820"/>
      <c r="Q1638" s="807"/>
      <c r="R1638" s="807"/>
      <c r="S1638" s="807"/>
      <c r="T1638" s="807"/>
      <c r="U1638" s="807"/>
      <c r="V1638" s="710"/>
      <c r="W1638" s="819"/>
      <c r="X1638" s="710"/>
      <c r="Y1638" s="819"/>
      <c r="Z1638" s="819"/>
      <c r="AA1638" s="710"/>
      <c r="AB1638" s="710"/>
      <c r="AC1638" s="710"/>
      <c r="AD1638" s="710"/>
      <c r="AE1638" s="710"/>
      <c r="AF1638" s="710"/>
      <c r="AG1638" s="710"/>
      <c r="AH1638" s="710"/>
      <c r="AI1638" s="710"/>
      <c r="AJ1638" s="710"/>
      <c r="AK1638" s="710"/>
      <c r="AL1638" s="710"/>
      <c r="AM1638" s="710"/>
    </row>
    <row r="1639" spans="1:39">
      <c r="B1639" s="747">
        <v>8</v>
      </c>
      <c r="C1639" s="938" t="s">
        <v>4303</v>
      </c>
      <c r="D1639" s="787" t="s">
        <v>4646</v>
      </c>
      <c r="E1639" s="12" t="s">
        <v>4647</v>
      </c>
      <c r="F1639" s="749">
        <v>1</v>
      </c>
      <c r="G1639" s="3" t="s">
        <v>60</v>
      </c>
      <c r="H1639" s="3" t="s">
        <v>128</v>
      </c>
      <c r="I1639" s="3">
        <v>465.7</v>
      </c>
      <c r="J1639" s="3">
        <v>255.3</v>
      </c>
      <c r="K1639" s="3" t="s">
        <v>2512</v>
      </c>
      <c r="L1639" s="761">
        <v>44756</v>
      </c>
      <c r="M1639" s="761" t="s">
        <v>2512</v>
      </c>
      <c r="N1639" s="761">
        <v>44757</v>
      </c>
      <c r="O1639" s="761" t="s">
        <v>62</v>
      </c>
      <c r="P1639" s="762" t="s">
        <v>4648</v>
      </c>
      <c r="Q1639" s="3" t="s">
        <v>4649</v>
      </c>
      <c r="R1639" s="3"/>
      <c r="S1639" s="3" t="s">
        <v>130</v>
      </c>
      <c r="T1639" s="3"/>
      <c r="U1639" s="3">
        <v>277.8</v>
      </c>
      <c r="V1639" s="4"/>
      <c r="W1639" s="761"/>
      <c r="X1639" s="4" t="s">
        <v>2512</v>
      </c>
      <c r="Y1639" s="761">
        <v>44757</v>
      </c>
      <c r="Z1639" s="761" t="s">
        <v>62</v>
      </c>
      <c r="AA1639" s="4"/>
      <c r="AB1639" s="4"/>
      <c r="AC1639" s="4"/>
      <c r="AD1639" s="4"/>
      <c r="AE1639" s="4"/>
      <c r="AF1639" s="4"/>
      <c r="AG1639" s="4" t="s">
        <v>4650</v>
      </c>
      <c r="AH1639" s="4"/>
      <c r="AI1639" s="4"/>
      <c r="AJ1639" s="4"/>
      <c r="AK1639" s="4"/>
      <c r="AL1639" s="4"/>
      <c r="AM1639" s="4">
        <v>5.17</v>
      </c>
    </row>
    <row r="1640" spans="1:39">
      <c r="B1640" s="747">
        <v>8</v>
      </c>
      <c r="C1640" s="938" t="s">
        <v>4303</v>
      </c>
      <c r="D1640" s="787" t="s">
        <v>4651</v>
      </c>
      <c r="E1640" s="12" t="s">
        <v>4652</v>
      </c>
      <c r="F1640" s="749">
        <v>2</v>
      </c>
      <c r="G1640" s="3" t="s">
        <v>60</v>
      </c>
      <c r="H1640" s="3" t="s">
        <v>128</v>
      </c>
      <c r="I1640" s="3">
        <v>467.1</v>
      </c>
      <c r="J1640" s="3">
        <v>259.08</v>
      </c>
      <c r="K1640" s="3" t="s">
        <v>2512</v>
      </c>
      <c r="L1640" s="761">
        <v>44756</v>
      </c>
      <c r="M1640" s="761" t="s">
        <v>2512</v>
      </c>
      <c r="N1640" s="761">
        <v>44757</v>
      </c>
      <c r="O1640" s="761" t="s">
        <v>62</v>
      </c>
      <c r="P1640" s="762" t="s">
        <v>4653</v>
      </c>
      <c r="Q1640" s="3" t="s">
        <v>4654</v>
      </c>
      <c r="R1640" s="3"/>
      <c r="S1640" s="3" t="s">
        <v>130</v>
      </c>
      <c r="T1640" s="3"/>
      <c r="U1640" s="3">
        <v>281.89999999999998</v>
      </c>
      <c r="V1640" s="4"/>
      <c r="W1640" s="761"/>
      <c r="X1640" s="4" t="s">
        <v>2512</v>
      </c>
      <c r="Y1640" s="761">
        <v>44757</v>
      </c>
      <c r="Z1640" s="761" t="s">
        <v>62</v>
      </c>
      <c r="AA1640" s="4"/>
      <c r="AB1640" s="4"/>
      <c r="AC1640" s="4"/>
      <c r="AD1640" s="4"/>
      <c r="AE1640" s="4"/>
      <c r="AF1640" s="4"/>
      <c r="AG1640" s="4" t="s">
        <v>4655</v>
      </c>
      <c r="AH1640" s="4"/>
      <c r="AI1640" s="4"/>
      <c r="AJ1640" s="4"/>
      <c r="AK1640" s="4"/>
      <c r="AL1640" s="4"/>
      <c r="AM1640" s="4">
        <v>5.24</v>
      </c>
    </row>
    <row r="1641" spans="1:39">
      <c r="B1641" s="747">
        <v>8</v>
      </c>
      <c r="C1641" s="938" t="s">
        <v>4303</v>
      </c>
      <c r="D1641" s="787" t="s">
        <v>4656</v>
      </c>
      <c r="E1641" s="12" t="s">
        <v>4657</v>
      </c>
      <c r="F1641" s="749">
        <v>3</v>
      </c>
      <c r="G1641" s="3" t="s">
        <v>60</v>
      </c>
      <c r="H1641" s="3" t="s">
        <v>128</v>
      </c>
      <c r="I1641" s="3">
        <v>463.3</v>
      </c>
      <c r="J1641" s="3">
        <v>256.55</v>
      </c>
      <c r="K1641" s="3" t="s">
        <v>2512</v>
      </c>
      <c r="L1641" s="761">
        <v>44760</v>
      </c>
      <c r="M1641" s="761" t="s">
        <v>2512</v>
      </c>
      <c r="N1641" s="761">
        <v>44760</v>
      </c>
      <c r="O1641" s="761" t="s">
        <v>62</v>
      </c>
      <c r="P1641" s="3" t="s">
        <v>4658</v>
      </c>
      <c r="Q1641" s="3" t="s">
        <v>4659</v>
      </c>
      <c r="R1641" s="3"/>
      <c r="S1641" s="3" t="s">
        <v>130</v>
      </c>
      <c r="T1641" s="3"/>
      <c r="U1641" s="3">
        <v>279.39999999999998</v>
      </c>
      <c r="V1641" s="4"/>
      <c r="W1641" s="761"/>
      <c r="X1641" s="4" t="s">
        <v>2512</v>
      </c>
      <c r="Y1641" s="761">
        <v>44760</v>
      </c>
      <c r="Z1641" s="761" t="s">
        <v>62</v>
      </c>
      <c r="AA1641" s="4"/>
      <c r="AB1641" s="4"/>
      <c r="AC1641" s="4"/>
      <c r="AD1641" s="4"/>
      <c r="AE1641" s="4"/>
      <c r="AF1641" s="4"/>
      <c r="AG1641" s="4" t="s">
        <v>4660</v>
      </c>
      <c r="AH1641" s="4"/>
      <c r="AI1641" s="4"/>
      <c r="AJ1641" s="4"/>
      <c r="AK1641" s="4"/>
      <c r="AL1641" s="4"/>
      <c r="AM1641" s="4">
        <v>5.34</v>
      </c>
    </row>
    <row r="1642" spans="1:39">
      <c r="B1642" s="747">
        <v>8</v>
      </c>
      <c r="C1642" s="938" t="s">
        <v>4303</v>
      </c>
      <c r="D1642" s="787" t="s">
        <v>4661</v>
      </c>
      <c r="E1642" s="12" t="s">
        <v>4662</v>
      </c>
      <c r="F1642" s="749">
        <v>4</v>
      </c>
      <c r="G1642" s="3" t="s">
        <v>60</v>
      </c>
      <c r="H1642" s="3" t="s">
        <v>128</v>
      </c>
      <c r="I1642" s="3">
        <v>470</v>
      </c>
      <c r="J1642" s="3">
        <v>258.05</v>
      </c>
      <c r="K1642" s="3" t="s">
        <v>2512</v>
      </c>
      <c r="L1642" s="761">
        <v>44760</v>
      </c>
      <c r="M1642" s="761" t="s">
        <v>2512</v>
      </c>
      <c r="N1642" s="761">
        <v>44760</v>
      </c>
      <c r="O1642" s="761" t="s">
        <v>62</v>
      </c>
      <c r="P1642" s="3" t="s">
        <v>4663</v>
      </c>
      <c r="Q1642" s="3" t="s">
        <v>4664</v>
      </c>
      <c r="R1642" s="3"/>
      <c r="S1642" s="3" t="s">
        <v>130</v>
      </c>
      <c r="T1642" s="3"/>
      <c r="U1642" s="3">
        <v>281.3</v>
      </c>
      <c r="V1642" s="4"/>
      <c r="W1642" s="761"/>
      <c r="X1642" s="4" t="s">
        <v>2512</v>
      </c>
      <c r="Y1642" s="761">
        <v>44760</v>
      </c>
      <c r="Z1642" s="761" t="s">
        <v>62</v>
      </c>
      <c r="AA1642" s="4"/>
      <c r="AB1642" s="4"/>
      <c r="AC1642" s="4"/>
      <c r="AD1642" s="4"/>
      <c r="AE1642" s="4"/>
      <c r="AF1642" s="4"/>
      <c r="AG1642" s="4" t="s">
        <v>4665</v>
      </c>
      <c r="AH1642" s="4"/>
      <c r="AI1642" s="4"/>
      <c r="AJ1642" s="4"/>
      <c r="AK1642" s="4"/>
      <c r="AL1642" s="4"/>
      <c r="AM1642" s="4">
        <v>5.07</v>
      </c>
    </row>
    <row r="1643" spans="1:39">
      <c r="B1643" s="747">
        <v>8</v>
      </c>
      <c r="C1643" s="938" t="s">
        <v>4303</v>
      </c>
      <c r="D1643" s="787" t="s">
        <v>4666</v>
      </c>
      <c r="E1643" s="12" t="s">
        <v>4667</v>
      </c>
      <c r="F1643" s="749">
        <v>5</v>
      </c>
      <c r="G1643" s="3" t="s">
        <v>60</v>
      </c>
      <c r="H1643" s="3" t="s">
        <v>128</v>
      </c>
      <c r="I1643" s="3">
        <v>468.6</v>
      </c>
      <c r="J1643" s="8">
        <v>258.81</v>
      </c>
      <c r="K1643" s="3" t="s">
        <v>2512</v>
      </c>
      <c r="L1643" s="761">
        <v>44760</v>
      </c>
      <c r="M1643" s="761" t="s">
        <v>2512</v>
      </c>
      <c r="N1643" s="761">
        <v>44761</v>
      </c>
      <c r="O1643" s="761" t="s">
        <v>62</v>
      </c>
      <c r="P1643" s="3" t="s">
        <v>4668</v>
      </c>
      <c r="Q1643" s="928" t="s">
        <v>1230</v>
      </c>
      <c r="R1643" s="3"/>
      <c r="S1643" s="3" t="s">
        <v>130</v>
      </c>
      <c r="T1643" s="3"/>
      <c r="U1643" s="3">
        <v>281.5</v>
      </c>
      <c r="V1643" s="4"/>
      <c r="W1643" s="761"/>
      <c r="X1643" s="4" t="s">
        <v>2512</v>
      </c>
      <c r="Y1643" s="761">
        <v>44761</v>
      </c>
      <c r="Z1643" s="761" t="s">
        <v>62</v>
      </c>
      <c r="AA1643" s="4"/>
      <c r="AB1643" s="4"/>
      <c r="AC1643" s="4"/>
      <c r="AD1643" s="4"/>
      <c r="AE1643" s="4"/>
      <c r="AF1643" s="4"/>
      <c r="AG1643" s="4" t="s">
        <v>4669</v>
      </c>
      <c r="AH1643" s="4"/>
      <c r="AI1643" s="4"/>
      <c r="AJ1643" s="4"/>
      <c r="AK1643" s="4"/>
      <c r="AL1643" s="4"/>
      <c r="AM1643" s="4">
        <v>4.83</v>
      </c>
    </row>
    <row r="1644" spans="1:39">
      <c r="B1644" s="747">
        <v>8</v>
      </c>
      <c r="C1644" s="938" t="s">
        <v>4303</v>
      </c>
      <c r="D1644" s="787" t="s">
        <v>4670</v>
      </c>
      <c r="E1644" s="12" t="s">
        <v>4671</v>
      </c>
      <c r="F1644" s="749">
        <v>6</v>
      </c>
      <c r="G1644" s="3" t="s">
        <v>60</v>
      </c>
      <c r="H1644" s="3" t="s">
        <v>128</v>
      </c>
      <c r="I1644" s="3">
        <v>467</v>
      </c>
      <c r="J1644" s="3">
        <v>258.24</v>
      </c>
      <c r="K1644" s="3" t="s">
        <v>2512</v>
      </c>
      <c r="L1644" s="761">
        <v>44761</v>
      </c>
      <c r="M1644" s="761" t="s">
        <v>2512</v>
      </c>
      <c r="N1644" s="761">
        <v>44761</v>
      </c>
      <c r="O1644" s="761" t="s">
        <v>62</v>
      </c>
      <c r="P1644" s="3" t="s">
        <v>4672</v>
      </c>
      <c r="Q1644" s="3" t="s">
        <v>4673</v>
      </c>
      <c r="R1644" s="3"/>
      <c r="S1644" s="3" t="s">
        <v>130</v>
      </c>
      <c r="T1644" s="3"/>
      <c r="U1644" s="3">
        <v>280.5</v>
      </c>
      <c r="V1644" s="4"/>
      <c r="W1644" s="761"/>
      <c r="X1644" s="4" t="s">
        <v>2512</v>
      </c>
      <c r="Y1644" s="761">
        <v>44761</v>
      </c>
      <c r="Z1644" s="761" t="s">
        <v>62</v>
      </c>
      <c r="AA1644" s="4"/>
      <c r="AB1644" s="4"/>
      <c r="AC1644" s="4"/>
      <c r="AD1644" s="4"/>
      <c r="AE1644" s="4"/>
      <c r="AF1644" s="4"/>
      <c r="AG1644" s="4" t="s">
        <v>4674</v>
      </c>
      <c r="AH1644" s="4"/>
      <c r="AI1644" s="4"/>
      <c r="AJ1644" s="4"/>
      <c r="AK1644" s="4"/>
      <c r="AL1644" s="4"/>
      <c r="AM1644" s="4">
        <v>5.27</v>
      </c>
    </row>
    <row r="1645" spans="1:39">
      <c r="B1645" s="747">
        <v>8</v>
      </c>
      <c r="C1645" s="938" t="s">
        <v>4303</v>
      </c>
      <c r="D1645" s="787" t="s">
        <v>4675</v>
      </c>
      <c r="E1645" s="12" t="s">
        <v>4676</v>
      </c>
      <c r="F1645" s="749">
        <v>7</v>
      </c>
      <c r="G1645" s="3" t="s">
        <v>932</v>
      </c>
      <c r="H1645" s="3" t="s">
        <v>128</v>
      </c>
      <c r="I1645" s="3">
        <v>462.5</v>
      </c>
      <c r="J1645" s="3">
        <v>259.17</v>
      </c>
      <c r="K1645" s="3" t="s">
        <v>2512</v>
      </c>
      <c r="L1645" s="761">
        <v>44763</v>
      </c>
      <c r="M1645" s="761" t="s">
        <v>2512</v>
      </c>
      <c r="N1645" s="761">
        <v>44761</v>
      </c>
      <c r="O1645" s="761" t="s">
        <v>62</v>
      </c>
      <c r="P1645" s="762" t="s">
        <v>4677</v>
      </c>
      <c r="Q1645" s="3" t="s">
        <v>4678</v>
      </c>
      <c r="R1645" s="3"/>
      <c r="S1645" s="3" t="s">
        <v>130</v>
      </c>
      <c r="T1645" s="3"/>
      <c r="U1645" s="3">
        <v>282</v>
      </c>
      <c r="V1645" s="4"/>
      <c r="W1645" s="761"/>
      <c r="X1645" s="4" t="s">
        <v>2512</v>
      </c>
      <c r="Y1645" s="761">
        <v>44761</v>
      </c>
      <c r="Z1645" s="761" t="s">
        <v>62</v>
      </c>
      <c r="AA1645" s="4"/>
      <c r="AB1645" s="4"/>
      <c r="AC1645" s="4"/>
      <c r="AD1645" s="4"/>
      <c r="AE1645" s="4"/>
      <c r="AF1645" s="4"/>
      <c r="AG1645" s="4" t="s">
        <v>4679</v>
      </c>
      <c r="AH1645" s="4"/>
      <c r="AI1645" s="4"/>
      <c r="AJ1645" s="4"/>
      <c r="AK1645" s="4"/>
      <c r="AL1645" s="4"/>
      <c r="AM1645" s="4">
        <v>5.15</v>
      </c>
    </row>
    <row r="1646" spans="1:39">
      <c r="B1646" s="747">
        <v>8</v>
      </c>
      <c r="C1646" s="938" t="s">
        <v>4303</v>
      </c>
      <c r="D1646" s="787" t="s">
        <v>4680</v>
      </c>
      <c r="E1646" s="12" t="s">
        <v>4681</v>
      </c>
      <c r="F1646" s="749">
        <v>8</v>
      </c>
      <c r="G1646" s="3" t="s">
        <v>932</v>
      </c>
      <c r="H1646" s="3" t="s">
        <v>128</v>
      </c>
      <c r="I1646" s="3">
        <v>467.8</v>
      </c>
      <c r="J1646" s="3">
        <v>258.32</v>
      </c>
      <c r="K1646" s="3" t="s">
        <v>2512</v>
      </c>
      <c r="L1646" s="761">
        <v>44763</v>
      </c>
      <c r="M1646" s="761" t="s">
        <v>2512</v>
      </c>
      <c r="N1646" s="761">
        <v>44761</v>
      </c>
      <c r="O1646" s="761" t="s">
        <v>62</v>
      </c>
      <c r="P1646" s="762" t="s">
        <v>4682</v>
      </c>
      <c r="Q1646" s="3" t="s">
        <v>4683</v>
      </c>
      <c r="R1646" s="3"/>
      <c r="S1646" s="3" t="s">
        <v>130</v>
      </c>
      <c r="T1646" s="3"/>
      <c r="U1646" s="3">
        <v>281.10000000000002</v>
      </c>
      <c r="V1646" s="4"/>
      <c r="W1646" s="761"/>
      <c r="X1646" s="4" t="s">
        <v>2512</v>
      </c>
      <c r="Y1646" s="761">
        <v>44761</v>
      </c>
      <c r="Z1646" s="761" t="s">
        <v>62</v>
      </c>
      <c r="AA1646" s="4"/>
      <c r="AB1646" s="4"/>
      <c r="AC1646" s="4"/>
      <c r="AD1646" s="4"/>
      <c r="AE1646" s="4"/>
      <c r="AF1646" s="4"/>
      <c r="AG1646" s="4" t="s">
        <v>4684</v>
      </c>
      <c r="AH1646" s="4"/>
      <c r="AI1646" s="4"/>
      <c r="AJ1646" s="4"/>
      <c r="AK1646" s="4"/>
      <c r="AL1646" s="4"/>
      <c r="AM1646" s="4">
        <v>5.19</v>
      </c>
    </row>
    <row r="1647" spans="1:39">
      <c r="B1647" s="747">
        <v>8</v>
      </c>
      <c r="C1647" s="938" t="s">
        <v>4303</v>
      </c>
      <c r="D1647" s="787" t="s">
        <v>4685</v>
      </c>
      <c r="E1647" s="12" t="s">
        <v>4686</v>
      </c>
      <c r="F1647" s="749">
        <v>9</v>
      </c>
      <c r="G1647" s="3" t="s">
        <v>932</v>
      </c>
      <c r="H1647" s="3" t="s">
        <v>128</v>
      </c>
      <c r="I1647" s="786">
        <v>463.2</v>
      </c>
      <c r="J1647" s="786">
        <v>256.57</v>
      </c>
      <c r="K1647" s="3" t="s">
        <v>2556</v>
      </c>
      <c r="L1647" s="761">
        <v>44783</v>
      </c>
      <c r="M1647" s="761" t="s">
        <v>2556</v>
      </c>
      <c r="N1647" s="761">
        <v>44783</v>
      </c>
      <c r="O1647" s="761" t="s">
        <v>62</v>
      </c>
      <c r="P1647" s="3" t="s">
        <v>4687</v>
      </c>
      <c r="Q1647" s="3" t="s">
        <v>4688</v>
      </c>
      <c r="R1647" s="3"/>
      <c r="S1647" s="3" t="s">
        <v>130</v>
      </c>
      <c r="T1647" s="786"/>
      <c r="U1647" s="786">
        <v>279.39999999999998</v>
      </c>
      <c r="V1647" s="4"/>
      <c r="W1647" s="761"/>
      <c r="X1647" s="4" t="s">
        <v>2556</v>
      </c>
      <c r="Y1647" s="761">
        <v>44784</v>
      </c>
      <c r="Z1647" s="761" t="s">
        <v>62</v>
      </c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>
        <v>5.26</v>
      </c>
    </row>
    <row r="1648" spans="1:39">
      <c r="B1648" s="747">
        <v>8</v>
      </c>
      <c r="C1648" s="938" t="s">
        <v>4303</v>
      </c>
      <c r="D1648" s="787" t="s">
        <v>4689</v>
      </c>
      <c r="E1648" s="12" t="s">
        <v>4690</v>
      </c>
      <c r="F1648" s="749">
        <v>10</v>
      </c>
      <c r="G1648" s="3" t="s">
        <v>932</v>
      </c>
      <c r="H1648" s="3" t="s">
        <v>128</v>
      </c>
      <c r="I1648" s="786">
        <v>467.7</v>
      </c>
      <c r="J1648" s="786">
        <v>259.99</v>
      </c>
      <c r="K1648" s="3" t="s">
        <v>2556</v>
      </c>
      <c r="L1648" s="761">
        <v>44783</v>
      </c>
      <c r="M1648" s="761" t="s">
        <v>2556</v>
      </c>
      <c r="N1648" s="761">
        <v>44783</v>
      </c>
      <c r="O1648" s="761" t="s">
        <v>62</v>
      </c>
      <c r="P1648" s="3" t="s">
        <v>4691</v>
      </c>
      <c r="Q1648" s="3" t="s">
        <v>4692</v>
      </c>
      <c r="R1648" s="3"/>
      <c r="S1648" s="3" t="s">
        <v>130</v>
      </c>
      <c r="T1648" s="786"/>
      <c r="U1648" s="786">
        <v>282.5</v>
      </c>
      <c r="V1648" s="4"/>
      <c r="W1648" s="761"/>
      <c r="X1648" s="4" t="s">
        <v>2556</v>
      </c>
      <c r="Y1648" s="761">
        <v>44784</v>
      </c>
      <c r="Z1648" s="761" t="s">
        <v>62</v>
      </c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>
        <v>5.14</v>
      </c>
    </row>
    <row r="1649" spans="1:39">
      <c r="B1649" s="747">
        <v>8</v>
      </c>
      <c r="C1649" s="938" t="s">
        <v>4303</v>
      </c>
      <c r="D1649" s="787" t="s">
        <v>4693</v>
      </c>
      <c r="E1649" s="12" t="s">
        <v>4694</v>
      </c>
      <c r="F1649" s="749">
        <v>11</v>
      </c>
      <c r="G1649" s="3" t="s">
        <v>932</v>
      </c>
      <c r="H1649" s="3" t="s">
        <v>128</v>
      </c>
      <c r="I1649" s="786">
        <v>465</v>
      </c>
      <c r="J1649" s="786">
        <v>258.36</v>
      </c>
      <c r="K1649" s="3" t="s">
        <v>2556</v>
      </c>
      <c r="L1649" s="761">
        <v>44784</v>
      </c>
      <c r="M1649" s="761" t="s">
        <v>2556</v>
      </c>
      <c r="N1649" s="761">
        <v>44785</v>
      </c>
      <c r="O1649" s="761" t="s">
        <v>62</v>
      </c>
      <c r="P1649" s="3" t="s">
        <v>4695</v>
      </c>
      <c r="Q1649" s="3" t="s">
        <v>4678</v>
      </c>
      <c r="R1649" s="3"/>
      <c r="S1649" s="3" t="s">
        <v>130</v>
      </c>
      <c r="T1649" s="786"/>
      <c r="U1649" s="786">
        <v>281.10000000000002</v>
      </c>
      <c r="V1649" s="4"/>
      <c r="W1649" s="761"/>
      <c r="X1649" s="4" t="s">
        <v>2556</v>
      </c>
      <c r="Y1649" s="761">
        <v>44785</v>
      </c>
      <c r="Z1649" s="761" t="s">
        <v>62</v>
      </c>
      <c r="AA1649" s="4"/>
      <c r="AB1649" s="4"/>
      <c r="AC1649" s="4"/>
      <c r="AD1649" s="4"/>
      <c r="AE1649" s="4"/>
      <c r="AF1649" s="4"/>
      <c r="AG1649" s="4" t="s">
        <v>4696</v>
      </c>
      <c r="AH1649" s="4"/>
      <c r="AI1649" s="4"/>
      <c r="AJ1649" s="4"/>
      <c r="AK1649" s="4"/>
      <c r="AL1649" s="4"/>
      <c r="AM1649" s="4">
        <v>5.09</v>
      </c>
    </row>
    <row r="1650" spans="1:39">
      <c r="B1650" s="747">
        <v>8</v>
      </c>
      <c r="C1650" s="938" t="s">
        <v>4303</v>
      </c>
      <c r="D1650" s="787" t="s">
        <v>4697</v>
      </c>
      <c r="E1650" s="12" t="s">
        <v>4698</v>
      </c>
      <c r="F1650" s="749">
        <v>12</v>
      </c>
      <c r="G1650" s="3" t="s">
        <v>932</v>
      </c>
      <c r="H1650" s="3" t="s">
        <v>128</v>
      </c>
      <c r="I1650" s="786">
        <v>466</v>
      </c>
      <c r="J1650" s="786">
        <v>256.67</v>
      </c>
      <c r="K1650" s="3" t="s">
        <v>2556</v>
      </c>
      <c r="L1650" s="761">
        <v>44785</v>
      </c>
      <c r="M1650" s="761" t="s">
        <v>2556</v>
      </c>
      <c r="N1650" s="761">
        <v>44785</v>
      </c>
      <c r="O1650" s="761" t="s">
        <v>62</v>
      </c>
      <c r="P1650" s="3" t="s">
        <v>4699</v>
      </c>
      <c r="Q1650" s="3" t="s">
        <v>3923</v>
      </c>
      <c r="R1650" s="3"/>
      <c r="S1650" s="3" t="s">
        <v>130</v>
      </c>
      <c r="T1650" s="786"/>
      <c r="U1650" s="786">
        <v>279.3</v>
      </c>
      <c r="V1650" s="4"/>
      <c r="W1650" s="761"/>
      <c r="X1650" s="4" t="s">
        <v>2556</v>
      </c>
      <c r="Y1650" s="761">
        <v>44785</v>
      </c>
      <c r="Z1650" s="761" t="s">
        <v>62</v>
      </c>
      <c r="AA1650" s="4"/>
      <c r="AB1650" s="4"/>
      <c r="AC1650" s="4"/>
      <c r="AD1650" s="4"/>
      <c r="AE1650" s="4"/>
      <c r="AF1650" s="4"/>
      <c r="AG1650" s="4" t="s">
        <v>4700</v>
      </c>
      <c r="AH1650" s="4"/>
      <c r="AI1650" s="4"/>
      <c r="AJ1650" s="4"/>
      <c r="AK1650" s="4"/>
      <c r="AL1650" s="4"/>
      <c r="AM1650" s="4">
        <v>5.05</v>
      </c>
    </row>
    <row r="1651" spans="1:39">
      <c r="B1651" s="747">
        <v>8</v>
      </c>
      <c r="C1651" s="938" t="s">
        <v>4303</v>
      </c>
      <c r="D1651" s="787" t="s">
        <v>4701</v>
      </c>
      <c r="E1651" s="12" t="s">
        <v>4702</v>
      </c>
      <c r="F1651" s="749">
        <v>13</v>
      </c>
      <c r="G1651" s="3" t="s">
        <v>932</v>
      </c>
      <c r="H1651" s="3" t="s">
        <v>128</v>
      </c>
      <c r="I1651" s="786">
        <v>462.3</v>
      </c>
      <c r="J1651" s="784">
        <v>254.34</v>
      </c>
      <c r="K1651" s="3" t="s">
        <v>2556</v>
      </c>
      <c r="L1651" s="761">
        <v>44788</v>
      </c>
      <c r="M1651" s="761" t="s">
        <v>2556</v>
      </c>
      <c r="N1651" s="761">
        <v>44788</v>
      </c>
      <c r="O1651" s="761" t="s">
        <v>62</v>
      </c>
      <c r="P1651" s="3" t="s">
        <v>4703</v>
      </c>
      <c r="Q1651" s="3" t="s">
        <v>4704</v>
      </c>
      <c r="R1651" s="3"/>
      <c r="S1651" s="3" t="s">
        <v>130</v>
      </c>
      <c r="T1651" s="786"/>
      <c r="U1651" s="786">
        <v>277.39999999999998</v>
      </c>
      <c r="V1651" s="4"/>
      <c r="W1651" s="761"/>
      <c r="X1651" s="4" t="s">
        <v>2556</v>
      </c>
      <c r="Y1651" s="761">
        <v>44789</v>
      </c>
      <c r="Z1651" s="761" t="s">
        <v>62</v>
      </c>
      <c r="AA1651" s="4"/>
      <c r="AB1651" s="4"/>
      <c r="AC1651" s="4"/>
      <c r="AD1651" s="4"/>
      <c r="AE1651" s="4"/>
      <c r="AF1651" s="4"/>
      <c r="AG1651" s="4" t="s">
        <v>4705</v>
      </c>
      <c r="AH1651" s="4"/>
      <c r="AI1651" s="4"/>
      <c r="AJ1651" s="4"/>
      <c r="AK1651" s="4"/>
      <c r="AL1651" s="4"/>
      <c r="AM1651" s="4">
        <v>5.03</v>
      </c>
    </row>
    <row r="1652" spans="1:39" s="707" customFormat="1">
      <c r="A1652"/>
      <c r="B1652" s="805" t="s">
        <v>13</v>
      </c>
      <c r="C1652" s="807" t="s">
        <v>1760</v>
      </c>
      <c r="D1652" s="876"/>
      <c r="E1652" s="875"/>
      <c r="F1652" s="808"/>
      <c r="G1652" s="807"/>
      <c r="H1652" s="807"/>
      <c r="I1652" s="820"/>
      <c r="J1652" s="820"/>
      <c r="K1652" s="807"/>
      <c r="L1652" s="819"/>
      <c r="M1652" s="819"/>
      <c r="N1652" s="819"/>
      <c r="O1652" s="819"/>
      <c r="P1652" s="807"/>
      <c r="Q1652" s="807"/>
      <c r="R1652" s="807"/>
      <c r="S1652" s="807"/>
      <c r="T1652" s="820"/>
      <c r="U1652" s="820"/>
      <c r="V1652" s="807"/>
      <c r="W1652" s="819"/>
      <c r="X1652" s="807"/>
      <c r="Y1652" s="819"/>
      <c r="Z1652" s="819"/>
      <c r="AA1652" s="710"/>
      <c r="AB1652" s="710"/>
      <c r="AC1652" s="710"/>
      <c r="AD1652" s="710"/>
      <c r="AE1652" s="710"/>
      <c r="AF1652" s="710"/>
      <c r="AG1652" s="710"/>
      <c r="AH1652" s="710"/>
      <c r="AI1652" s="710"/>
      <c r="AJ1652" s="710"/>
      <c r="AK1652" s="710"/>
      <c r="AL1652" s="710"/>
      <c r="AM1652" s="710"/>
    </row>
    <row r="1653" spans="1:39">
      <c r="B1653" s="747">
        <v>9</v>
      </c>
      <c r="C1653" s="938" t="s">
        <v>4303</v>
      </c>
      <c r="D1653" s="787" t="s">
        <v>4706</v>
      </c>
      <c r="E1653" s="12" t="s">
        <v>4707</v>
      </c>
      <c r="F1653" s="749">
        <v>1</v>
      </c>
      <c r="G1653" s="3" t="s">
        <v>932</v>
      </c>
      <c r="H1653" s="3" t="s">
        <v>128</v>
      </c>
      <c r="I1653" s="786">
        <v>464.8</v>
      </c>
      <c r="J1653" s="786">
        <v>255.08</v>
      </c>
      <c r="K1653" s="3" t="str">
        <f t="shared" ref="K1653:K1658" si="25">TEXT(L1653,"mmmm")</f>
        <v>August</v>
      </c>
      <c r="L1653" s="761">
        <v>44788</v>
      </c>
      <c r="M1653" s="761" t="str">
        <f>TEXT(N1653,"mmmm")</f>
        <v>August</v>
      </c>
      <c r="N1653" s="761">
        <v>44789</v>
      </c>
      <c r="O1653" s="761" t="s">
        <v>62</v>
      </c>
      <c r="P1653" s="3" t="s">
        <v>4708</v>
      </c>
      <c r="Q1653" s="3" t="s">
        <v>4709</v>
      </c>
      <c r="R1653" s="3"/>
      <c r="S1653" s="3" t="s">
        <v>130</v>
      </c>
      <c r="T1653" s="786"/>
      <c r="U1653" s="786">
        <v>277.8</v>
      </c>
      <c r="V1653" s="3"/>
      <c r="W1653" s="761"/>
      <c r="X1653" s="3"/>
      <c r="Y1653" s="761">
        <v>44789</v>
      </c>
      <c r="Z1653" s="761" t="s">
        <v>62</v>
      </c>
      <c r="AA1653" s="4"/>
      <c r="AB1653" s="4"/>
      <c r="AC1653" s="4"/>
      <c r="AD1653" s="4"/>
      <c r="AE1653" s="4"/>
      <c r="AF1653" s="4"/>
      <c r="AG1653" s="4" t="s">
        <v>4710</v>
      </c>
      <c r="AH1653" s="4"/>
      <c r="AI1653" s="4"/>
      <c r="AJ1653" s="4"/>
      <c r="AK1653" s="4"/>
      <c r="AL1653" s="4"/>
      <c r="AM1653" s="4">
        <v>4.8499999999999996</v>
      </c>
    </row>
    <row r="1654" spans="1:39">
      <c r="B1654" s="747">
        <v>9</v>
      </c>
      <c r="C1654" s="938" t="s">
        <v>4303</v>
      </c>
      <c r="D1654" s="787" t="s">
        <v>4711</v>
      </c>
      <c r="E1654" s="12" t="s">
        <v>4712</v>
      </c>
      <c r="F1654" s="749">
        <v>2</v>
      </c>
      <c r="G1654" s="3" t="s">
        <v>60</v>
      </c>
      <c r="H1654" s="3" t="s">
        <v>128</v>
      </c>
      <c r="I1654" s="784">
        <v>462.6</v>
      </c>
      <c r="J1654" s="784">
        <v>257.36</v>
      </c>
      <c r="K1654" s="3" t="str">
        <f t="shared" si="25"/>
        <v>August</v>
      </c>
      <c r="L1654" s="761">
        <v>44789</v>
      </c>
      <c r="M1654" s="761" t="str">
        <f>TEXT(N1654,"mmmm")</f>
        <v>August</v>
      </c>
      <c r="N1654" s="761">
        <v>44791</v>
      </c>
      <c r="O1654" s="761" t="s">
        <v>62</v>
      </c>
      <c r="P1654" s="3" t="s">
        <v>4713</v>
      </c>
      <c r="Q1654" s="3" t="s">
        <v>4714</v>
      </c>
      <c r="R1654" s="3"/>
      <c r="S1654" s="3" t="s">
        <v>130</v>
      </c>
      <c r="T1654" s="786"/>
      <c r="U1654" s="786">
        <v>279.89999999999998</v>
      </c>
      <c r="V1654" s="3"/>
      <c r="W1654" s="761"/>
      <c r="X1654" s="3"/>
      <c r="Y1654" s="761">
        <v>44791</v>
      </c>
      <c r="Z1654" s="761" t="s">
        <v>62</v>
      </c>
      <c r="AA1654" s="4"/>
      <c r="AB1654" s="4"/>
      <c r="AC1654" s="4"/>
      <c r="AD1654" s="4"/>
      <c r="AE1654" s="4"/>
      <c r="AF1654" s="4"/>
      <c r="AG1654" s="4" t="s">
        <v>4715</v>
      </c>
      <c r="AH1654" s="4"/>
      <c r="AI1654" s="4"/>
      <c r="AJ1654" s="4"/>
      <c r="AK1654" s="4"/>
      <c r="AL1654" s="4"/>
      <c r="AM1654" s="4">
        <v>5.19</v>
      </c>
    </row>
    <row r="1655" spans="1:39">
      <c r="B1655" s="747">
        <v>9</v>
      </c>
      <c r="C1655" s="938" t="s">
        <v>4303</v>
      </c>
      <c r="D1655" s="787" t="s">
        <v>4716</v>
      </c>
      <c r="E1655" s="12" t="s">
        <v>4717</v>
      </c>
      <c r="F1655" s="749">
        <v>3</v>
      </c>
      <c r="G1655" s="3" t="s">
        <v>60</v>
      </c>
      <c r="H1655" s="3" t="s">
        <v>128</v>
      </c>
      <c r="I1655" s="762">
        <v>463.4</v>
      </c>
      <c r="J1655" s="762">
        <v>253.48</v>
      </c>
      <c r="K1655" s="3" t="str">
        <f t="shared" si="25"/>
        <v>September</v>
      </c>
      <c r="L1655" s="761">
        <v>44809</v>
      </c>
      <c r="M1655" s="761" t="s">
        <v>2661</v>
      </c>
      <c r="N1655" s="761">
        <v>44810</v>
      </c>
      <c r="O1655" s="761" t="s">
        <v>62</v>
      </c>
      <c r="P1655" s="3" t="s">
        <v>4718</v>
      </c>
      <c r="Q1655" s="3" t="s">
        <v>4719</v>
      </c>
      <c r="R1655" s="3"/>
      <c r="S1655" s="3" t="s">
        <v>130</v>
      </c>
      <c r="T1655" s="762"/>
      <c r="U1655" s="762">
        <v>276.39999999999998</v>
      </c>
      <c r="V1655" s="3"/>
      <c r="W1655" s="761"/>
      <c r="X1655" s="3"/>
      <c r="Y1655" s="761">
        <v>44810</v>
      </c>
      <c r="Z1655" s="761" t="s">
        <v>62</v>
      </c>
      <c r="AA1655" s="4"/>
      <c r="AB1655" s="4"/>
      <c r="AC1655" s="4"/>
      <c r="AD1655" s="4"/>
      <c r="AE1655" s="4"/>
      <c r="AF1655" s="4"/>
      <c r="AG1655" s="4" t="s">
        <v>4720</v>
      </c>
      <c r="AH1655" s="4"/>
      <c r="AI1655" s="4"/>
      <c r="AJ1655" s="4"/>
      <c r="AK1655" s="4"/>
      <c r="AL1655" s="4"/>
      <c r="AM1655" s="4">
        <v>4.75</v>
      </c>
    </row>
    <row r="1656" spans="1:39">
      <c r="B1656" s="747">
        <v>9</v>
      </c>
      <c r="C1656" s="938" t="s">
        <v>4303</v>
      </c>
      <c r="D1656" s="787" t="s">
        <v>4721</v>
      </c>
      <c r="E1656" s="12" t="s">
        <v>4722</v>
      </c>
      <c r="F1656" s="749">
        <v>4</v>
      </c>
      <c r="G1656" s="3" t="s">
        <v>60</v>
      </c>
      <c r="H1656" s="3" t="s">
        <v>128</v>
      </c>
      <c r="I1656" s="762">
        <v>464.6</v>
      </c>
      <c r="J1656" s="786">
        <v>256.38</v>
      </c>
      <c r="K1656" s="3" t="str">
        <f t="shared" si="25"/>
        <v>September</v>
      </c>
      <c r="L1656" s="761">
        <v>44809</v>
      </c>
      <c r="M1656" s="761" t="s">
        <v>2661</v>
      </c>
      <c r="N1656" s="761">
        <v>44810</v>
      </c>
      <c r="O1656" s="761" t="s">
        <v>62</v>
      </c>
      <c r="P1656" s="3" t="s">
        <v>4723</v>
      </c>
      <c r="Q1656" s="3" t="s">
        <v>4724</v>
      </c>
      <c r="R1656" s="3"/>
      <c r="S1656" s="3" t="s">
        <v>130</v>
      </c>
      <c r="T1656" s="762"/>
      <c r="U1656" s="762">
        <v>279.2</v>
      </c>
      <c r="V1656" s="3"/>
      <c r="W1656" s="761"/>
      <c r="X1656" s="3"/>
      <c r="Y1656" s="761">
        <v>44810</v>
      </c>
      <c r="Z1656" s="761" t="s">
        <v>62</v>
      </c>
      <c r="AA1656" s="4"/>
      <c r="AB1656" s="4"/>
      <c r="AC1656" s="4"/>
      <c r="AD1656" s="4"/>
      <c r="AE1656" s="4"/>
      <c r="AF1656" s="4"/>
      <c r="AG1656" s="4" t="s">
        <v>4725</v>
      </c>
      <c r="AH1656" s="4"/>
      <c r="AI1656" s="4"/>
      <c r="AJ1656" s="4"/>
      <c r="AK1656" s="4"/>
      <c r="AL1656" s="4"/>
      <c r="AM1656" s="710"/>
    </row>
    <row r="1657" spans="1:39">
      <c r="B1657" s="747">
        <v>9</v>
      </c>
      <c r="C1657" s="938" t="s">
        <v>4303</v>
      </c>
      <c r="D1657" s="787" t="s">
        <v>4726</v>
      </c>
      <c r="E1657" s="12" t="s">
        <v>4727</v>
      </c>
      <c r="F1657" s="749">
        <v>5</v>
      </c>
      <c r="G1657" s="3" t="s">
        <v>60</v>
      </c>
      <c r="H1657" s="3" t="s">
        <v>128</v>
      </c>
      <c r="I1657" s="762">
        <v>467.9</v>
      </c>
      <c r="J1657" s="786">
        <v>254.65</v>
      </c>
      <c r="K1657" s="3" t="str">
        <f t="shared" si="25"/>
        <v>September</v>
      </c>
      <c r="L1657" s="761">
        <v>44809</v>
      </c>
      <c r="M1657" s="761" t="s">
        <v>2661</v>
      </c>
      <c r="N1657" s="761">
        <v>44812</v>
      </c>
      <c r="O1657" s="761" t="s">
        <v>62</v>
      </c>
      <c r="P1657" s="3" t="s">
        <v>4728</v>
      </c>
      <c r="Q1657" s="3" t="s">
        <v>4729</v>
      </c>
      <c r="R1657" s="3"/>
      <c r="S1657" s="3" t="s">
        <v>130</v>
      </c>
      <c r="T1657" s="786"/>
      <c r="U1657" s="786">
        <v>277.2</v>
      </c>
      <c r="V1657" s="3"/>
      <c r="W1657" s="761"/>
      <c r="X1657" s="3"/>
      <c r="Y1657" s="761">
        <v>44812</v>
      </c>
      <c r="Z1657" s="761" t="s">
        <v>62</v>
      </c>
      <c r="AA1657" s="4"/>
      <c r="AB1657" s="4"/>
      <c r="AC1657" s="4"/>
      <c r="AD1657" s="4"/>
      <c r="AE1657" s="4"/>
      <c r="AF1657" s="4"/>
      <c r="AG1657" s="4" t="s">
        <v>4730</v>
      </c>
      <c r="AH1657" s="4"/>
      <c r="AI1657" s="4"/>
      <c r="AJ1657" s="4"/>
      <c r="AK1657" s="4"/>
      <c r="AL1657" s="4"/>
      <c r="AM1657" s="4">
        <v>5.27</v>
      </c>
    </row>
    <row r="1658" spans="1:39">
      <c r="B1658" s="747">
        <v>9</v>
      </c>
      <c r="C1658" s="938" t="s">
        <v>4303</v>
      </c>
      <c r="D1658" s="787" t="s">
        <v>4731</v>
      </c>
      <c r="E1658" s="12" t="s">
        <v>4732</v>
      </c>
      <c r="F1658" s="749">
        <v>6</v>
      </c>
      <c r="G1658" s="3" t="s">
        <v>60</v>
      </c>
      <c r="H1658" s="3" t="s">
        <v>128</v>
      </c>
      <c r="I1658" s="786">
        <v>461.6</v>
      </c>
      <c r="J1658" s="786">
        <v>255.18</v>
      </c>
      <c r="K1658" s="3" t="str">
        <f t="shared" si="25"/>
        <v>September</v>
      </c>
      <c r="L1658" s="761">
        <v>44813</v>
      </c>
      <c r="M1658" s="761" t="s">
        <v>2661</v>
      </c>
      <c r="N1658" s="761">
        <v>44813</v>
      </c>
      <c r="O1658" s="761" t="s">
        <v>62</v>
      </c>
      <c r="P1658" s="3" t="s">
        <v>4733</v>
      </c>
      <c r="Q1658" s="3" t="s">
        <v>4734</v>
      </c>
      <c r="R1658" s="3"/>
      <c r="S1658" s="3" t="s">
        <v>130</v>
      </c>
      <c r="T1658" s="786"/>
      <c r="U1658" s="786">
        <v>277.8</v>
      </c>
      <c r="V1658" s="3"/>
      <c r="W1658" s="761"/>
      <c r="X1658" s="3"/>
      <c r="Y1658" s="761">
        <v>44813</v>
      </c>
      <c r="Z1658" s="761" t="s">
        <v>62</v>
      </c>
      <c r="AA1658" s="4"/>
      <c r="AB1658" s="4"/>
      <c r="AC1658" s="4"/>
      <c r="AD1658" s="4"/>
      <c r="AE1658" s="4"/>
      <c r="AF1658" s="4"/>
      <c r="AG1658" s="4" t="s">
        <v>4735</v>
      </c>
      <c r="AH1658" s="4"/>
      <c r="AI1658" s="4"/>
      <c r="AJ1658" s="4"/>
      <c r="AK1658" s="4"/>
      <c r="AL1658" s="4"/>
      <c r="AM1658" s="4">
        <v>5.13</v>
      </c>
    </row>
    <row r="1659" spans="1:39" s="707" customFormat="1">
      <c r="A1659"/>
      <c r="B1659" s="805" t="s">
        <v>13</v>
      </c>
      <c r="C1659" s="807" t="s">
        <v>1899</v>
      </c>
      <c r="D1659" s="876"/>
      <c r="E1659" s="875"/>
      <c r="F1659" s="808"/>
      <c r="G1659" s="807"/>
      <c r="H1659" s="807"/>
      <c r="I1659" s="820"/>
      <c r="J1659" s="820"/>
      <c r="K1659" s="807"/>
      <c r="L1659" s="819"/>
      <c r="M1659" s="819"/>
      <c r="N1659" s="819"/>
      <c r="O1659" s="819"/>
      <c r="P1659" s="807"/>
      <c r="Q1659" s="807"/>
      <c r="R1659" s="807"/>
      <c r="S1659" s="807"/>
      <c r="T1659" s="820"/>
      <c r="U1659" s="820"/>
      <c r="V1659" s="807"/>
      <c r="W1659" s="819"/>
      <c r="X1659" s="807"/>
      <c r="Y1659" s="819"/>
      <c r="Z1659" s="819"/>
      <c r="AA1659" s="710"/>
      <c r="AB1659" s="710"/>
      <c r="AC1659" s="710"/>
      <c r="AD1659" s="710"/>
      <c r="AE1659" s="710"/>
      <c r="AF1659" s="710"/>
      <c r="AG1659" s="710"/>
      <c r="AH1659" s="710"/>
      <c r="AI1659" s="710"/>
      <c r="AJ1659" s="710"/>
      <c r="AK1659" s="710"/>
      <c r="AL1659" s="710"/>
      <c r="AM1659" s="710"/>
    </row>
    <row r="1660" spans="1:39">
      <c r="B1660" s="747">
        <v>10</v>
      </c>
      <c r="C1660" s="938" t="s">
        <v>4303</v>
      </c>
      <c r="D1660" s="787" t="s">
        <v>4736</v>
      </c>
      <c r="E1660" s="12" t="s">
        <v>4737</v>
      </c>
      <c r="F1660" s="749">
        <v>1</v>
      </c>
      <c r="G1660" s="3"/>
      <c r="H1660" s="3" t="s">
        <v>128</v>
      </c>
      <c r="I1660" s="762"/>
      <c r="J1660" s="762">
        <v>252.2</v>
      </c>
      <c r="K1660" s="3" t="s">
        <v>2661</v>
      </c>
      <c r="L1660" s="761">
        <v>44826</v>
      </c>
      <c r="M1660" s="761" t="s">
        <v>2661</v>
      </c>
      <c r="N1660" s="761">
        <v>44826</v>
      </c>
      <c r="O1660" s="761" t="s">
        <v>62</v>
      </c>
      <c r="P1660" s="3" t="s">
        <v>4738</v>
      </c>
      <c r="Q1660" s="3"/>
      <c r="R1660" s="3"/>
      <c r="S1660" s="3" t="s">
        <v>130</v>
      </c>
      <c r="T1660" s="786"/>
      <c r="U1660" s="786">
        <v>275.3</v>
      </c>
      <c r="V1660" s="3"/>
      <c r="W1660" s="761"/>
      <c r="X1660" s="3" t="s">
        <v>2661</v>
      </c>
      <c r="Y1660" s="761">
        <v>44830</v>
      </c>
      <c r="Z1660" s="761" t="s">
        <v>62</v>
      </c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</row>
    <row r="1661" spans="1:39">
      <c r="B1661" s="747">
        <v>10</v>
      </c>
      <c r="C1661" s="938" t="s">
        <v>4303</v>
      </c>
      <c r="D1661" s="787" t="s">
        <v>4739</v>
      </c>
      <c r="E1661" s="12" t="s">
        <v>4740</v>
      </c>
      <c r="F1661" s="749">
        <v>2</v>
      </c>
      <c r="G1661" s="3" t="s">
        <v>128</v>
      </c>
      <c r="H1661" s="3" t="s">
        <v>128</v>
      </c>
      <c r="I1661" s="786">
        <v>466.2</v>
      </c>
      <c r="J1661" s="762">
        <v>260.69</v>
      </c>
      <c r="K1661" s="3" t="s">
        <v>2661</v>
      </c>
      <c r="L1661" s="761">
        <v>44830</v>
      </c>
      <c r="M1661" s="761" t="s">
        <v>2661</v>
      </c>
      <c r="N1661" s="761">
        <v>44826</v>
      </c>
      <c r="O1661" s="761" t="s">
        <v>62</v>
      </c>
      <c r="P1661" s="3" t="s">
        <v>4741</v>
      </c>
      <c r="Q1661" s="3" t="s">
        <v>4742</v>
      </c>
      <c r="R1661" s="3"/>
      <c r="S1661" s="3" t="s">
        <v>130</v>
      </c>
      <c r="T1661" s="786"/>
      <c r="U1661" s="786">
        <v>283.39999999999998</v>
      </c>
      <c r="V1661" s="3"/>
      <c r="W1661" s="761"/>
      <c r="X1661" s="3" t="s">
        <v>2661</v>
      </c>
      <c r="Y1661" s="761">
        <v>44830</v>
      </c>
      <c r="Z1661" s="761" t="s">
        <v>62</v>
      </c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</row>
    <row r="1662" spans="1:39">
      <c r="B1662" s="747">
        <v>10</v>
      </c>
      <c r="C1662" s="938" t="s">
        <v>4303</v>
      </c>
      <c r="D1662" s="787" t="s">
        <v>4743</v>
      </c>
      <c r="E1662" s="12" t="s">
        <v>4744</v>
      </c>
      <c r="F1662" s="749">
        <v>3</v>
      </c>
      <c r="G1662" s="3" t="s">
        <v>128</v>
      </c>
      <c r="H1662" s="3" t="s">
        <v>128</v>
      </c>
      <c r="I1662" s="786">
        <v>467.1</v>
      </c>
      <c r="J1662" s="762">
        <v>255.56</v>
      </c>
      <c r="K1662" s="3" t="s">
        <v>2661</v>
      </c>
      <c r="L1662" s="761">
        <v>44830</v>
      </c>
      <c r="M1662" s="761" t="s">
        <v>2661</v>
      </c>
      <c r="N1662" s="761">
        <v>44830</v>
      </c>
      <c r="O1662" s="761" t="s">
        <v>62</v>
      </c>
      <c r="P1662" s="3" t="s">
        <v>4745</v>
      </c>
      <c r="Q1662" s="3" t="s">
        <v>4746</v>
      </c>
      <c r="R1662" s="3"/>
      <c r="S1662" s="3" t="s">
        <v>130</v>
      </c>
      <c r="T1662" s="786"/>
      <c r="U1662" s="786">
        <v>278.3</v>
      </c>
      <c r="V1662" s="3"/>
      <c r="W1662" s="761"/>
      <c r="X1662" s="3" t="s">
        <v>2661</v>
      </c>
      <c r="Y1662" s="761">
        <v>44831</v>
      </c>
      <c r="Z1662" s="761" t="s">
        <v>62</v>
      </c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</row>
    <row r="1663" spans="1:39">
      <c r="B1663" s="747">
        <v>10</v>
      </c>
      <c r="C1663" s="938" t="s">
        <v>4303</v>
      </c>
      <c r="D1663" s="787" t="s">
        <v>4747</v>
      </c>
      <c r="E1663" s="12" t="s">
        <v>4748</v>
      </c>
      <c r="F1663" s="749">
        <v>4</v>
      </c>
      <c r="G1663" s="3" t="s">
        <v>128</v>
      </c>
      <c r="H1663" s="3" t="s">
        <v>128</v>
      </c>
      <c r="I1663" s="786">
        <v>464.2</v>
      </c>
      <c r="J1663" s="762">
        <v>259.73</v>
      </c>
      <c r="K1663" s="3" t="s">
        <v>2661</v>
      </c>
      <c r="L1663" s="761">
        <v>44830</v>
      </c>
      <c r="M1663" s="761" t="s">
        <v>2661</v>
      </c>
      <c r="N1663" s="761">
        <v>44830</v>
      </c>
      <c r="O1663" s="761" t="s">
        <v>62</v>
      </c>
      <c r="P1663" s="3" t="s">
        <v>4749</v>
      </c>
      <c r="Q1663" s="3" t="s">
        <v>4750</v>
      </c>
      <c r="R1663" s="3"/>
      <c r="S1663" s="3" t="s">
        <v>130</v>
      </c>
      <c r="T1663" s="786"/>
      <c r="U1663" s="786">
        <v>279.3</v>
      </c>
      <c r="V1663" s="3"/>
      <c r="W1663" s="761"/>
      <c r="X1663" s="3" t="s">
        <v>2661</v>
      </c>
      <c r="Y1663" s="761">
        <v>44831</v>
      </c>
      <c r="Z1663" s="761" t="s">
        <v>62</v>
      </c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</row>
    <row r="1664" spans="1:39">
      <c r="B1664" s="747">
        <v>10</v>
      </c>
      <c r="C1664" s="938" t="s">
        <v>4303</v>
      </c>
      <c r="D1664" s="787" t="s">
        <v>4751</v>
      </c>
      <c r="E1664" s="12" t="s">
        <v>4752</v>
      </c>
      <c r="F1664" s="749">
        <v>5</v>
      </c>
      <c r="G1664" s="3" t="s">
        <v>128</v>
      </c>
      <c r="H1664" s="3" t="s">
        <v>128</v>
      </c>
      <c r="I1664" s="786">
        <v>472.9</v>
      </c>
      <c r="J1664" s="786">
        <v>260.02999999999997</v>
      </c>
      <c r="K1664" s="3" t="s">
        <v>2661</v>
      </c>
      <c r="L1664" s="761">
        <v>44830</v>
      </c>
      <c r="M1664" s="761" t="s">
        <v>2661</v>
      </c>
      <c r="N1664" s="761">
        <v>44831</v>
      </c>
      <c r="O1664" s="761" t="s">
        <v>62</v>
      </c>
      <c r="P1664" s="3" t="s">
        <v>4753</v>
      </c>
      <c r="Q1664" s="3" t="s">
        <v>4754</v>
      </c>
      <c r="R1664" s="3"/>
      <c r="S1664" s="3" t="s">
        <v>130</v>
      </c>
      <c r="T1664" s="786"/>
      <c r="U1664" s="786">
        <v>282.8</v>
      </c>
      <c r="V1664" s="3"/>
      <c r="W1664" s="761"/>
      <c r="X1664" s="3" t="s">
        <v>2661</v>
      </c>
      <c r="Y1664" s="761">
        <v>44832</v>
      </c>
      <c r="Z1664" s="761" t="s">
        <v>62</v>
      </c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</row>
    <row r="1665" spans="2:39">
      <c r="B1665" s="747">
        <v>10</v>
      </c>
      <c r="C1665" s="938" t="s">
        <v>4303</v>
      </c>
      <c r="D1665" s="787" t="s">
        <v>4755</v>
      </c>
      <c r="E1665" s="12" t="s">
        <v>4756</v>
      </c>
      <c r="F1665" s="749">
        <v>6</v>
      </c>
      <c r="G1665" s="3" t="s">
        <v>128</v>
      </c>
      <c r="H1665" s="3" t="s">
        <v>128</v>
      </c>
      <c r="I1665" s="786">
        <v>468.2</v>
      </c>
      <c r="J1665" s="786">
        <v>260</v>
      </c>
      <c r="K1665" s="3" t="s">
        <v>2661</v>
      </c>
      <c r="L1665" s="761">
        <v>44832</v>
      </c>
      <c r="M1665" s="761" t="s">
        <v>2661</v>
      </c>
      <c r="N1665" s="761">
        <v>44831</v>
      </c>
      <c r="O1665" s="761" t="s">
        <v>62</v>
      </c>
      <c r="P1665" s="3" t="s">
        <v>4757</v>
      </c>
      <c r="Q1665" s="3" t="s">
        <v>4758</v>
      </c>
      <c r="R1665" s="3"/>
      <c r="S1665" s="3" t="s">
        <v>130</v>
      </c>
      <c r="T1665" s="786"/>
      <c r="U1665" s="786">
        <v>282.3</v>
      </c>
      <c r="V1665" s="3"/>
      <c r="W1665" s="761"/>
      <c r="X1665" s="3" t="s">
        <v>2661</v>
      </c>
      <c r="Y1665" s="761">
        <v>44832</v>
      </c>
      <c r="Z1665" s="761" t="s">
        <v>62</v>
      </c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</row>
    <row r="1666" spans="2:39">
      <c r="B1666" s="747">
        <v>10</v>
      </c>
      <c r="C1666" s="938" t="s">
        <v>4303</v>
      </c>
      <c r="D1666" s="787" t="s">
        <v>4759</v>
      </c>
      <c r="E1666" s="12" t="s">
        <v>4760</v>
      </c>
      <c r="F1666" s="749">
        <v>7</v>
      </c>
      <c r="G1666" s="3" t="s">
        <v>128</v>
      </c>
      <c r="H1666" s="3" t="s">
        <v>128</v>
      </c>
      <c r="I1666" s="786">
        <v>468.5</v>
      </c>
      <c r="J1666" s="786">
        <v>254.63</v>
      </c>
      <c r="K1666" s="3" t="s">
        <v>2661</v>
      </c>
      <c r="L1666" s="761">
        <v>44832</v>
      </c>
      <c r="M1666" s="761" t="s">
        <v>2661</v>
      </c>
      <c r="N1666" s="761">
        <v>44832</v>
      </c>
      <c r="O1666" s="761" t="s">
        <v>62</v>
      </c>
      <c r="P1666" s="3" t="s">
        <v>4761</v>
      </c>
      <c r="Q1666" s="3" t="s">
        <v>4762</v>
      </c>
      <c r="R1666" s="3"/>
      <c r="S1666" s="3" t="s">
        <v>130</v>
      </c>
      <c r="T1666" s="786"/>
      <c r="U1666" s="786">
        <v>278</v>
      </c>
      <c r="V1666" s="3"/>
      <c r="W1666" s="761"/>
      <c r="X1666" s="3" t="s">
        <v>2661</v>
      </c>
      <c r="Y1666" s="761">
        <v>44833</v>
      </c>
      <c r="Z1666" s="761" t="s">
        <v>62</v>
      </c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</row>
    <row r="1667" spans="2:39">
      <c r="B1667" s="747">
        <v>10</v>
      </c>
      <c r="C1667" s="938" t="s">
        <v>4303</v>
      </c>
      <c r="D1667" s="787" t="s">
        <v>4763</v>
      </c>
      <c r="E1667" s="12" t="s">
        <v>4764</v>
      </c>
      <c r="F1667" s="749">
        <v>8</v>
      </c>
      <c r="G1667" s="3" t="s">
        <v>128</v>
      </c>
      <c r="H1667" s="3" t="s">
        <v>128</v>
      </c>
      <c r="I1667" s="786">
        <v>469.1</v>
      </c>
      <c r="J1667" s="786">
        <v>255.62</v>
      </c>
      <c r="K1667" s="3" t="s">
        <v>2661</v>
      </c>
      <c r="L1667" s="761">
        <v>44832</v>
      </c>
      <c r="M1667" s="761" t="s">
        <v>2716</v>
      </c>
      <c r="N1667" s="761">
        <v>44840</v>
      </c>
      <c r="O1667" s="761" t="s">
        <v>62</v>
      </c>
      <c r="P1667" s="3" t="s">
        <v>4765</v>
      </c>
      <c r="Q1667" s="3" t="s">
        <v>4766</v>
      </c>
      <c r="R1667" s="3"/>
      <c r="S1667" s="3" t="s">
        <v>130</v>
      </c>
      <c r="T1667" s="786"/>
      <c r="U1667" s="786">
        <v>278</v>
      </c>
      <c r="V1667" s="3"/>
      <c r="W1667" s="761"/>
      <c r="X1667" s="3" t="s">
        <v>2698</v>
      </c>
      <c r="Y1667" s="761">
        <v>44840</v>
      </c>
      <c r="Z1667" s="761" t="s">
        <v>62</v>
      </c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</row>
    <row r="1668" spans="2:39">
      <c r="B1668" s="747">
        <v>10</v>
      </c>
      <c r="C1668" s="938" t="s">
        <v>4303</v>
      </c>
      <c r="D1668" s="787" t="s">
        <v>4767</v>
      </c>
      <c r="E1668" s="12" t="s">
        <v>4768</v>
      </c>
      <c r="F1668" s="749">
        <v>9</v>
      </c>
      <c r="G1668" s="3" t="s">
        <v>60</v>
      </c>
      <c r="H1668" s="3" t="s">
        <v>128</v>
      </c>
      <c r="I1668" s="785">
        <v>463.6</v>
      </c>
      <c r="J1668" s="786">
        <v>260.85000000000002</v>
      </c>
      <c r="K1668" s="3" t="s">
        <v>2661</v>
      </c>
      <c r="L1668" s="761">
        <v>44837</v>
      </c>
      <c r="M1668" s="761" t="s">
        <v>2716</v>
      </c>
      <c r="N1668" s="761">
        <v>44840</v>
      </c>
      <c r="O1668" s="761" t="s">
        <v>62</v>
      </c>
      <c r="P1668" s="3" t="s">
        <v>4769</v>
      </c>
      <c r="Q1668" s="3" t="s">
        <v>4770</v>
      </c>
      <c r="R1668" s="3"/>
      <c r="S1668" s="3" t="s">
        <v>130</v>
      </c>
      <c r="T1668" s="786"/>
      <c r="U1668" s="786">
        <v>283</v>
      </c>
      <c r="V1668" s="3"/>
      <c r="W1668" s="761"/>
      <c r="X1668" s="3" t="s">
        <v>2698</v>
      </c>
      <c r="Y1668" s="761">
        <v>44841</v>
      </c>
      <c r="Z1668" s="761" t="s">
        <v>62</v>
      </c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</row>
    <row r="1669" spans="2:39">
      <c r="B1669" s="747">
        <v>10</v>
      </c>
      <c r="C1669" s="938" t="s">
        <v>4303</v>
      </c>
      <c r="D1669" s="787" t="s">
        <v>4771</v>
      </c>
      <c r="E1669" s="12" t="s">
        <v>4772</v>
      </c>
      <c r="F1669" s="749">
        <v>10</v>
      </c>
      <c r="G1669" s="3" t="s">
        <v>60</v>
      </c>
      <c r="H1669" s="3" t="s">
        <v>128</v>
      </c>
      <c r="I1669" s="3">
        <v>471.1</v>
      </c>
      <c r="J1669" s="785">
        <v>254.12</v>
      </c>
      <c r="K1669" s="3" t="s">
        <v>2661</v>
      </c>
      <c r="L1669" s="761">
        <v>44837</v>
      </c>
      <c r="M1669" s="761" t="s">
        <v>2716</v>
      </c>
      <c r="N1669" s="761">
        <v>44844</v>
      </c>
      <c r="O1669" s="761" t="s">
        <v>62</v>
      </c>
      <c r="P1669" s="3" t="s">
        <v>4773</v>
      </c>
      <c r="Q1669" s="3" t="s">
        <v>4774</v>
      </c>
      <c r="R1669" s="3"/>
      <c r="S1669" s="3" t="s">
        <v>130</v>
      </c>
      <c r="T1669" s="785"/>
      <c r="U1669" s="785">
        <v>277.5</v>
      </c>
      <c r="V1669" s="3"/>
      <c r="W1669" s="761"/>
      <c r="X1669" s="3" t="s">
        <v>2698</v>
      </c>
      <c r="Y1669" s="761">
        <v>44844</v>
      </c>
      <c r="Z1669" s="761" t="s">
        <v>62</v>
      </c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</row>
    <row r="1670" spans="2:39">
      <c r="B1670" s="747">
        <v>10</v>
      </c>
      <c r="C1670" s="938" t="s">
        <v>4303</v>
      </c>
      <c r="D1670" s="787" t="s">
        <v>4775</v>
      </c>
      <c r="E1670" s="12" t="s">
        <v>4776</v>
      </c>
      <c r="F1670" s="749">
        <v>11</v>
      </c>
      <c r="G1670" s="3" t="s">
        <v>60</v>
      </c>
      <c r="H1670" s="3" t="s">
        <v>128</v>
      </c>
      <c r="I1670" s="785">
        <v>465.4</v>
      </c>
      <c r="J1670" s="785">
        <v>256.67</v>
      </c>
      <c r="K1670" s="3" t="s">
        <v>2716</v>
      </c>
      <c r="L1670" s="761">
        <v>44843</v>
      </c>
      <c r="M1670" s="761" t="s">
        <v>2716</v>
      </c>
      <c r="N1670" s="761">
        <v>44844</v>
      </c>
      <c r="O1670" s="761" t="s">
        <v>62</v>
      </c>
      <c r="P1670" s="3" t="s">
        <v>4777</v>
      </c>
      <c r="Q1670" s="3" t="s">
        <v>4778</v>
      </c>
      <c r="R1670" s="3"/>
      <c r="S1670" s="3" t="s">
        <v>130</v>
      </c>
      <c r="T1670" s="786"/>
      <c r="U1670" s="786">
        <v>279.89999999999998</v>
      </c>
      <c r="V1670" s="3"/>
      <c r="W1670" s="761"/>
      <c r="X1670" s="3" t="s">
        <v>2698</v>
      </c>
      <c r="Y1670" s="761">
        <v>44844</v>
      </c>
      <c r="Z1670" s="761" t="s">
        <v>62</v>
      </c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</row>
    <row r="1671" spans="2:39">
      <c r="B1671" s="747">
        <v>10</v>
      </c>
      <c r="C1671" s="938" t="s">
        <v>4303</v>
      </c>
      <c r="D1671" s="787" t="s">
        <v>4779</v>
      </c>
      <c r="E1671" s="12" t="s">
        <v>4780</v>
      </c>
      <c r="F1671" s="749">
        <v>12</v>
      </c>
      <c r="G1671" s="3" t="s">
        <v>60</v>
      </c>
      <c r="H1671" s="3" t="s">
        <v>128</v>
      </c>
      <c r="I1671" s="785">
        <v>459.5</v>
      </c>
      <c r="J1671" s="786">
        <v>257.8</v>
      </c>
      <c r="K1671" s="3" t="s">
        <v>2716</v>
      </c>
      <c r="L1671" s="761">
        <v>44843</v>
      </c>
      <c r="M1671" s="761" t="s">
        <v>2716</v>
      </c>
      <c r="N1671" s="761">
        <v>44844</v>
      </c>
      <c r="O1671" s="761" t="s">
        <v>62</v>
      </c>
      <c r="P1671" s="3" t="s">
        <v>4781</v>
      </c>
      <c r="Q1671" s="3" t="s">
        <v>4782</v>
      </c>
      <c r="R1671" s="3"/>
      <c r="S1671" s="3" t="s">
        <v>130</v>
      </c>
      <c r="T1671" s="785"/>
      <c r="U1671" s="785">
        <v>280.8</v>
      </c>
      <c r="V1671" s="3"/>
      <c r="W1671" s="761"/>
      <c r="X1671" s="3" t="s">
        <v>2698</v>
      </c>
      <c r="Y1671" s="761">
        <v>44844</v>
      </c>
      <c r="Z1671" s="761" t="s">
        <v>62</v>
      </c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</row>
    <row r="1672" spans="2:39">
      <c r="B1672" s="747">
        <v>10</v>
      </c>
      <c r="C1672" s="938" t="s">
        <v>4303</v>
      </c>
      <c r="D1672" s="787" t="s">
        <v>4783</v>
      </c>
      <c r="E1672" s="12" t="s">
        <v>4784</v>
      </c>
      <c r="F1672" s="749">
        <v>13</v>
      </c>
      <c r="G1672" s="3" t="s">
        <v>60</v>
      </c>
      <c r="H1672" s="3" t="s">
        <v>128</v>
      </c>
      <c r="I1672" s="785">
        <v>469.7</v>
      </c>
      <c r="J1672" s="785">
        <v>254.3</v>
      </c>
      <c r="K1672" s="3" t="s">
        <v>2716</v>
      </c>
      <c r="L1672" s="761">
        <v>44843</v>
      </c>
      <c r="M1672" s="761" t="s">
        <v>2716</v>
      </c>
      <c r="N1672" s="761">
        <v>44844</v>
      </c>
      <c r="O1672" s="761" t="s">
        <v>62</v>
      </c>
      <c r="P1672" s="3" t="s">
        <v>4785</v>
      </c>
      <c r="Q1672" s="3" t="s">
        <v>4786</v>
      </c>
      <c r="R1672" s="3"/>
      <c r="S1672" s="3" t="s">
        <v>130</v>
      </c>
      <c r="T1672" s="786"/>
      <c r="U1672" s="786">
        <v>276.60000000000002</v>
      </c>
      <c r="V1672" s="3"/>
      <c r="W1672" s="761"/>
      <c r="X1672" s="3" t="s">
        <v>2698</v>
      </c>
      <c r="Y1672" s="761">
        <v>44845</v>
      </c>
      <c r="Z1672" s="761" t="s">
        <v>62</v>
      </c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</row>
    <row r="1673" spans="2:39">
      <c r="B1673" s="747">
        <v>10</v>
      </c>
      <c r="C1673" s="938" t="s">
        <v>4303</v>
      </c>
      <c r="D1673" s="787" t="s">
        <v>4787</v>
      </c>
      <c r="E1673" s="12" t="s">
        <v>4788</v>
      </c>
      <c r="F1673" s="749">
        <v>14</v>
      </c>
      <c r="G1673" s="3" t="s">
        <v>60</v>
      </c>
      <c r="H1673" s="3" t="s">
        <v>128</v>
      </c>
      <c r="I1673" s="785">
        <v>462.7</v>
      </c>
      <c r="J1673" s="785">
        <v>257.99</v>
      </c>
      <c r="K1673" s="3" t="s">
        <v>2716</v>
      </c>
      <c r="L1673" s="761">
        <v>44844</v>
      </c>
      <c r="M1673" s="761" t="s">
        <v>2716</v>
      </c>
      <c r="N1673" s="761">
        <v>44845</v>
      </c>
      <c r="O1673" s="761" t="s">
        <v>62</v>
      </c>
      <c r="P1673" s="3" t="s">
        <v>4789</v>
      </c>
      <c r="Q1673" s="3" t="s">
        <v>4790</v>
      </c>
      <c r="R1673" s="3"/>
      <c r="S1673" s="3" t="s">
        <v>130</v>
      </c>
      <c r="T1673" s="785"/>
      <c r="U1673" s="785">
        <v>280.7</v>
      </c>
      <c r="V1673" s="3"/>
      <c r="W1673" s="761"/>
      <c r="X1673" s="3" t="s">
        <v>2698</v>
      </c>
      <c r="Y1673" s="761">
        <v>44845</v>
      </c>
      <c r="Z1673" s="761" t="s">
        <v>62</v>
      </c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</row>
    <row r="1674" spans="2:39">
      <c r="B1674" s="747">
        <v>10</v>
      </c>
      <c r="C1674" s="938" t="s">
        <v>4303</v>
      </c>
      <c r="D1674" s="787" t="s">
        <v>4791</v>
      </c>
      <c r="E1674" s="12" t="s">
        <v>4792</v>
      </c>
      <c r="F1674" s="749">
        <v>15</v>
      </c>
      <c r="G1674" s="3" t="s">
        <v>60</v>
      </c>
      <c r="H1674" s="3" t="s">
        <v>128</v>
      </c>
      <c r="I1674" s="785">
        <v>464.1</v>
      </c>
      <c r="J1674" s="785">
        <v>255.56</v>
      </c>
      <c r="K1674" s="3" t="s">
        <v>2716</v>
      </c>
      <c r="L1674" s="761">
        <v>44845</v>
      </c>
      <c r="M1674" s="761" t="s">
        <v>2716</v>
      </c>
      <c r="N1674" s="761">
        <v>44845</v>
      </c>
      <c r="O1674" s="761" t="s">
        <v>62</v>
      </c>
      <c r="P1674" s="3" t="s">
        <v>4793</v>
      </c>
      <c r="Q1674" s="3" t="s">
        <v>934</v>
      </c>
      <c r="R1674" s="3"/>
      <c r="S1674" s="3" t="s">
        <v>130</v>
      </c>
      <c r="T1674" s="786"/>
      <c r="U1674" s="786">
        <v>278.89999999999998</v>
      </c>
      <c r="V1674" s="3"/>
      <c r="W1674" s="761"/>
      <c r="X1674" s="3" t="s">
        <v>2698</v>
      </c>
      <c r="Y1674" s="761">
        <v>44845</v>
      </c>
      <c r="Z1674" s="761" t="s">
        <v>62</v>
      </c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</row>
    <row r="1675" spans="2:39">
      <c r="B1675" s="747">
        <v>10</v>
      </c>
      <c r="C1675" s="938" t="s">
        <v>4303</v>
      </c>
      <c r="D1675" s="787" t="s">
        <v>4794</v>
      </c>
      <c r="E1675" s="12" t="s">
        <v>4795</v>
      </c>
      <c r="F1675" s="749">
        <v>16</v>
      </c>
      <c r="G1675" s="3" t="s">
        <v>60</v>
      </c>
      <c r="H1675" s="3" t="s">
        <v>128</v>
      </c>
      <c r="I1675" s="785">
        <v>463</v>
      </c>
      <c r="J1675" s="785">
        <v>253.82</v>
      </c>
      <c r="K1675" s="3" t="s">
        <v>2716</v>
      </c>
      <c r="L1675" s="761">
        <v>44845</v>
      </c>
      <c r="M1675" s="761" t="s">
        <v>2716</v>
      </c>
      <c r="N1675" s="761">
        <v>44846</v>
      </c>
      <c r="O1675" s="761" t="s">
        <v>62</v>
      </c>
      <c r="P1675" s="3" t="s">
        <v>4796</v>
      </c>
      <c r="Q1675" s="3" t="s">
        <v>4797</v>
      </c>
      <c r="R1675" s="3"/>
      <c r="S1675" s="3" t="s">
        <v>130</v>
      </c>
      <c r="T1675" s="785"/>
      <c r="U1675" s="785">
        <v>276.3</v>
      </c>
      <c r="V1675" s="3"/>
      <c r="W1675" s="761"/>
      <c r="X1675" s="3" t="s">
        <v>2698</v>
      </c>
      <c r="Y1675" s="761">
        <v>44846</v>
      </c>
      <c r="Z1675" s="761" t="s">
        <v>62</v>
      </c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</row>
    <row r="1676" spans="2:39">
      <c r="B1676" s="747">
        <v>10</v>
      </c>
      <c r="C1676" s="938" t="s">
        <v>4303</v>
      </c>
      <c r="D1676" s="787" t="s">
        <v>4798</v>
      </c>
      <c r="E1676" s="12" t="s">
        <v>4799</v>
      </c>
      <c r="F1676" s="749">
        <v>17</v>
      </c>
      <c r="G1676" s="3" t="s">
        <v>60</v>
      </c>
      <c r="H1676" s="3" t="s">
        <v>128</v>
      </c>
      <c r="I1676" s="785">
        <v>465.6</v>
      </c>
      <c r="J1676" s="785">
        <v>256.77999999999997</v>
      </c>
      <c r="K1676" s="3" t="s">
        <v>2716</v>
      </c>
      <c r="L1676" s="761">
        <v>44845</v>
      </c>
      <c r="M1676" s="761" t="s">
        <v>2716</v>
      </c>
      <c r="N1676" s="761">
        <v>44846</v>
      </c>
      <c r="O1676" s="761" t="s">
        <v>62</v>
      </c>
      <c r="P1676" s="3" t="s">
        <v>4800</v>
      </c>
      <c r="Q1676" s="3" t="s">
        <v>4801</v>
      </c>
      <c r="R1676" s="3"/>
      <c r="S1676" s="3" t="s">
        <v>130</v>
      </c>
      <c r="T1676" s="785"/>
      <c r="U1676" s="785">
        <v>279.39999999999998</v>
      </c>
      <c r="V1676" s="3"/>
      <c r="W1676" s="761"/>
      <c r="X1676" s="3" t="s">
        <v>2698</v>
      </c>
      <c r="Y1676" s="761">
        <v>44846</v>
      </c>
      <c r="Z1676" s="761" t="s">
        <v>62</v>
      </c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</row>
    <row r="1677" spans="2:39">
      <c r="B1677" s="747">
        <v>10</v>
      </c>
      <c r="C1677" s="938" t="s">
        <v>4303</v>
      </c>
      <c r="D1677" s="787" t="s">
        <v>4802</v>
      </c>
      <c r="E1677" s="12" t="s">
        <v>4803</v>
      </c>
      <c r="F1677" s="749">
        <v>18</v>
      </c>
      <c r="G1677" s="3" t="s">
        <v>60</v>
      </c>
      <c r="H1677" s="3" t="s">
        <v>128</v>
      </c>
      <c r="I1677" s="785">
        <v>463.5</v>
      </c>
      <c r="J1677" s="785">
        <v>252.41</v>
      </c>
      <c r="K1677" s="3" t="s">
        <v>2716</v>
      </c>
      <c r="L1677" s="761">
        <v>44846</v>
      </c>
      <c r="M1677" s="761" t="s">
        <v>2716</v>
      </c>
      <c r="N1677" s="761">
        <v>44846</v>
      </c>
      <c r="O1677" s="761" t="s">
        <v>62</v>
      </c>
      <c r="P1677" s="3" t="s">
        <v>4804</v>
      </c>
      <c r="Q1677" s="3" t="s">
        <v>4673</v>
      </c>
      <c r="R1677" s="3"/>
      <c r="S1677" s="3" t="s">
        <v>130</v>
      </c>
      <c r="T1677" s="785"/>
      <c r="U1677" s="785">
        <v>275.3</v>
      </c>
      <c r="V1677" s="3"/>
      <c r="W1677" s="761"/>
      <c r="X1677" s="3" t="s">
        <v>2698</v>
      </c>
      <c r="Y1677" s="761">
        <v>44846</v>
      </c>
      <c r="Z1677" s="761" t="s">
        <v>62</v>
      </c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</row>
    <row r="1678" spans="2:39">
      <c r="B1678" s="747">
        <v>10</v>
      </c>
      <c r="C1678" s="938" t="s">
        <v>4303</v>
      </c>
      <c r="D1678" s="787" t="s">
        <v>4805</v>
      </c>
      <c r="E1678" s="12" t="s">
        <v>4806</v>
      </c>
      <c r="F1678" s="749">
        <v>19</v>
      </c>
      <c r="G1678" s="3" t="s">
        <v>60</v>
      </c>
      <c r="H1678" s="3" t="s">
        <v>128</v>
      </c>
      <c r="I1678" s="785">
        <v>460.5</v>
      </c>
      <c r="J1678" s="785">
        <v>259.42</v>
      </c>
      <c r="K1678" s="3" t="s">
        <v>2716</v>
      </c>
      <c r="L1678" s="761">
        <v>44846</v>
      </c>
      <c r="M1678" s="761" t="s">
        <v>2716</v>
      </c>
      <c r="N1678" s="761">
        <v>44846</v>
      </c>
      <c r="O1678" s="761" t="s">
        <v>62</v>
      </c>
      <c r="P1678" s="3" t="s">
        <v>4807</v>
      </c>
      <c r="Q1678" s="3" t="s">
        <v>4808</v>
      </c>
      <c r="R1678" s="3"/>
      <c r="S1678" s="3" t="s">
        <v>130</v>
      </c>
      <c r="T1678" s="785"/>
      <c r="U1678" s="785">
        <v>281.8</v>
      </c>
      <c r="V1678" s="3"/>
      <c r="W1678" s="761"/>
      <c r="X1678" s="3" t="s">
        <v>2698</v>
      </c>
      <c r="Y1678" s="761">
        <v>44846</v>
      </c>
      <c r="Z1678" s="761" t="s">
        <v>62</v>
      </c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</row>
    <row r="1679" spans="2:39">
      <c r="B1679" s="747">
        <v>10</v>
      </c>
      <c r="C1679" s="938" t="s">
        <v>4303</v>
      </c>
      <c r="D1679" s="787" t="s">
        <v>4809</v>
      </c>
      <c r="E1679" s="12" t="s">
        <v>4810</v>
      </c>
      <c r="F1679" s="749">
        <v>20</v>
      </c>
      <c r="G1679" s="3" t="s">
        <v>60</v>
      </c>
      <c r="H1679" s="3" t="s">
        <v>128</v>
      </c>
      <c r="I1679" s="785">
        <v>463.8</v>
      </c>
      <c r="J1679" s="785">
        <v>257.64</v>
      </c>
      <c r="K1679" s="3" t="s">
        <v>2716</v>
      </c>
      <c r="L1679" s="761">
        <v>44847</v>
      </c>
      <c r="M1679" s="761" t="s">
        <v>2716</v>
      </c>
      <c r="N1679" s="761">
        <v>44847</v>
      </c>
      <c r="O1679" s="761" t="s">
        <v>62</v>
      </c>
      <c r="P1679" s="3" t="s">
        <v>4811</v>
      </c>
      <c r="Q1679" s="3" t="s">
        <v>4812</v>
      </c>
      <c r="R1679" s="3"/>
      <c r="S1679" s="3" t="s">
        <v>130</v>
      </c>
      <c r="T1679" s="785"/>
      <c r="U1679" s="785">
        <v>280.2</v>
      </c>
      <c r="V1679" s="3"/>
      <c r="W1679" s="761"/>
      <c r="X1679" s="3" t="s">
        <v>2698</v>
      </c>
      <c r="Y1679" s="761">
        <v>44847</v>
      </c>
      <c r="Z1679" s="761" t="s">
        <v>62</v>
      </c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</row>
    <row r="1680" spans="2:39">
      <c r="B1680" s="747">
        <v>10</v>
      </c>
      <c r="C1680" s="938" t="s">
        <v>4303</v>
      </c>
      <c r="D1680" s="787" t="s">
        <v>4813</v>
      </c>
      <c r="E1680" s="12" t="s">
        <v>4814</v>
      </c>
      <c r="F1680" s="749">
        <v>21</v>
      </c>
      <c r="G1680" s="3" t="s">
        <v>60</v>
      </c>
      <c r="H1680" s="3" t="s">
        <v>128</v>
      </c>
      <c r="I1680" s="785">
        <v>468.4</v>
      </c>
      <c r="J1680" s="785">
        <v>259.73</v>
      </c>
      <c r="K1680" s="3" t="s">
        <v>2716</v>
      </c>
      <c r="L1680" s="761">
        <v>44847</v>
      </c>
      <c r="M1680" s="761" t="s">
        <v>2716</v>
      </c>
      <c r="N1680" s="761">
        <v>44847</v>
      </c>
      <c r="O1680" s="761" t="s">
        <v>62</v>
      </c>
      <c r="P1680" s="3" t="s">
        <v>4815</v>
      </c>
      <c r="Q1680" s="3" t="s">
        <v>4816</v>
      </c>
      <c r="R1680" s="3"/>
      <c r="S1680" s="3" t="s">
        <v>130</v>
      </c>
      <c r="T1680" s="786"/>
      <c r="U1680" s="786">
        <v>282.3</v>
      </c>
      <c r="V1680" s="3"/>
      <c r="W1680" s="761"/>
      <c r="X1680" s="3" t="s">
        <v>2698</v>
      </c>
      <c r="Y1680" s="761">
        <v>44848</v>
      </c>
      <c r="Z1680" s="761" t="s">
        <v>62</v>
      </c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</row>
    <row r="1681" spans="1:39">
      <c r="B1681" s="747">
        <v>10</v>
      </c>
      <c r="C1681" s="938" t="s">
        <v>4303</v>
      </c>
      <c r="D1681" s="787" t="s">
        <v>4817</v>
      </c>
      <c r="E1681" s="12" t="s">
        <v>4818</v>
      </c>
      <c r="F1681" s="749">
        <v>22</v>
      </c>
      <c r="G1681" s="3" t="s">
        <v>60</v>
      </c>
      <c r="H1681" s="3" t="s">
        <v>128</v>
      </c>
      <c r="I1681" s="786">
        <v>463.2</v>
      </c>
      <c r="J1681" s="786">
        <v>251.83</v>
      </c>
      <c r="K1681" s="3" t="s">
        <v>2716</v>
      </c>
      <c r="L1681" s="761">
        <v>44848</v>
      </c>
      <c r="M1681" s="761" t="s">
        <v>2716</v>
      </c>
      <c r="N1681" s="761">
        <v>44848</v>
      </c>
      <c r="O1681" s="761" t="s">
        <v>62</v>
      </c>
      <c r="P1681" s="3" t="s">
        <v>4819</v>
      </c>
      <c r="Q1681" s="3" t="s">
        <v>4714</v>
      </c>
      <c r="R1681" s="3"/>
      <c r="S1681" s="3" t="s">
        <v>130</v>
      </c>
      <c r="T1681" s="786"/>
      <c r="U1681" s="786">
        <v>274.5</v>
      </c>
      <c r="V1681" s="3"/>
      <c r="W1681" s="761"/>
      <c r="X1681" s="3" t="s">
        <v>2698</v>
      </c>
      <c r="Y1681" s="761">
        <v>44848</v>
      </c>
      <c r="Z1681" s="761" t="s">
        <v>62</v>
      </c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</row>
    <row r="1682" spans="1:39">
      <c r="B1682" s="747">
        <v>10</v>
      </c>
      <c r="C1682" s="938" t="s">
        <v>4303</v>
      </c>
      <c r="D1682" s="787" t="s">
        <v>4820</v>
      </c>
      <c r="E1682" s="12" t="s">
        <v>4821</v>
      </c>
      <c r="F1682" s="749">
        <v>23</v>
      </c>
      <c r="G1682" s="3" t="s">
        <v>60</v>
      </c>
      <c r="H1682" s="3" t="s">
        <v>128</v>
      </c>
      <c r="I1682" s="786">
        <v>468.3</v>
      </c>
      <c r="J1682" s="786">
        <v>260</v>
      </c>
      <c r="K1682" s="3" t="s">
        <v>2716</v>
      </c>
      <c r="L1682" s="761">
        <v>44848</v>
      </c>
      <c r="M1682" s="761" t="s">
        <v>2716</v>
      </c>
      <c r="N1682" s="761">
        <v>44848</v>
      </c>
      <c r="O1682" s="761" t="s">
        <v>62</v>
      </c>
      <c r="P1682" s="3" t="s">
        <v>4822</v>
      </c>
      <c r="Q1682" s="3" t="s">
        <v>4823</v>
      </c>
      <c r="R1682" s="3"/>
      <c r="S1682" s="3" t="s">
        <v>130</v>
      </c>
      <c r="T1682" s="785"/>
      <c r="U1682" s="785">
        <v>282.60000000000002</v>
      </c>
      <c r="V1682" s="3"/>
      <c r="W1682" s="761"/>
      <c r="X1682" s="3" t="s">
        <v>2698</v>
      </c>
      <c r="Y1682" s="761">
        <v>44848</v>
      </c>
      <c r="Z1682" s="761" t="s">
        <v>62</v>
      </c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</row>
    <row r="1683" spans="1:39" s="707" customFormat="1">
      <c r="A1683"/>
      <c r="B1683" s="805" t="s">
        <v>13</v>
      </c>
      <c r="C1683" s="807" t="s">
        <v>1756</v>
      </c>
      <c r="D1683" s="876"/>
      <c r="E1683" s="875"/>
      <c r="F1683" s="808"/>
      <c r="G1683" s="807"/>
      <c r="H1683" s="807"/>
      <c r="I1683" s="820"/>
      <c r="J1683" s="820"/>
      <c r="K1683" s="807"/>
      <c r="L1683" s="819"/>
      <c r="M1683" s="819"/>
      <c r="N1683" s="819"/>
      <c r="O1683" s="819"/>
      <c r="P1683" s="807"/>
      <c r="Q1683" s="807"/>
      <c r="R1683" s="807"/>
      <c r="S1683" s="807"/>
      <c r="T1683" s="807"/>
      <c r="U1683" s="807"/>
      <c r="V1683" s="807"/>
      <c r="W1683" s="819"/>
      <c r="X1683" s="807"/>
      <c r="Y1683" s="819"/>
      <c r="Z1683" s="819"/>
      <c r="AA1683" s="710"/>
      <c r="AB1683" s="710"/>
      <c r="AC1683" s="710"/>
      <c r="AD1683" s="710"/>
      <c r="AE1683" s="710"/>
      <c r="AF1683" s="710"/>
      <c r="AG1683" s="710"/>
      <c r="AH1683" s="710"/>
      <c r="AI1683" s="710"/>
      <c r="AJ1683" s="710"/>
      <c r="AK1683" s="710"/>
      <c r="AL1683" s="710"/>
      <c r="AM1683" s="710"/>
    </row>
    <row r="1684" spans="1:39">
      <c r="B1684" s="747">
        <v>11</v>
      </c>
      <c r="C1684" s="938" t="s">
        <v>4303</v>
      </c>
      <c r="D1684" s="787" t="s">
        <v>4824</v>
      </c>
      <c r="E1684" s="12" t="s">
        <v>4825</v>
      </c>
      <c r="F1684" s="749">
        <v>1</v>
      </c>
      <c r="G1684" s="3" t="s">
        <v>128</v>
      </c>
      <c r="H1684" s="3" t="s">
        <v>128</v>
      </c>
      <c r="I1684" s="3">
        <v>461.8</v>
      </c>
      <c r="J1684" s="3">
        <v>254.5</v>
      </c>
      <c r="K1684" s="3" t="s">
        <v>2747</v>
      </c>
      <c r="L1684" s="761">
        <v>44876</v>
      </c>
      <c r="M1684" s="761" t="s">
        <v>1756</v>
      </c>
      <c r="N1684" s="761">
        <v>44876</v>
      </c>
      <c r="O1684" s="761" t="s">
        <v>62</v>
      </c>
      <c r="P1684" s="3" t="s">
        <v>4826</v>
      </c>
      <c r="Q1684" s="3" t="s">
        <v>4827</v>
      </c>
      <c r="R1684" s="3"/>
      <c r="S1684" s="3" t="s">
        <v>130</v>
      </c>
      <c r="T1684" s="3"/>
      <c r="U1684" s="3">
        <v>277.7</v>
      </c>
      <c r="V1684" s="3"/>
      <c r="W1684" s="761"/>
      <c r="X1684" s="3" t="s">
        <v>1756</v>
      </c>
      <c r="Y1684" s="761">
        <v>44876</v>
      </c>
      <c r="Z1684" s="761" t="s">
        <v>62</v>
      </c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</row>
    <row r="1685" spans="1:39">
      <c r="B1685" s="747">
        <v>11</v>
      </c>
      <c r="C1685" s="938" t="s">
        <v>4303</v>
      </c>
      <c r="D1685" s="787" t="s">
        <v>4828</v>
      </c>
      <c r="E1685" s="12" t="s">
        <v>4829</v>
      </c>
      <c r="F1685" s="749">
        <v>2</v>
      </c>
      <c r="G1685" s="3" t="s">
        <v>60</v>
      </c>
      <c r="H1685" s="3" t="s">
        <v>128</v>
      </c>
      <c r="I1685" s="786">
        <v>459.1</v>
      </c>
      <c r="J1685" s="13">
        <v>258.72000000000003</v>
      </c>
      <c r="K1685" s="3" t="s">
        <v>2747</v>
      </c>
      <c r="L1685" s="761">
        <v>44879</v>
      </c>
      <c r="M1685" s="761" t="s">
        <v>1756</v>
      </c>
      <c r="N1685" s="761">
        <v>44876</v>
      </c>
      <c r="O1685" s="761" t="s">
        <v>62</v>
      </c>
      <c r="P1685" s="3" t="s">
        <v>4830</v>
      </c>
      <c r="Q1685" s="13" t="s">
        <v>4831</v>
      </c>
      <c r="R1685" s="3"/>
      <c r="S1685" s="3" t="s">
        <v>130</v>
      </c>
      <c r="T1685" s="760"/>
      <c r="U1685" s="760">
        <v>282</v>
      </c>
      <c r="V1685" s="3"/>
      <c r="W1685" s="761"/>
      <c r="X1685" s="3" t="s">
        <v>1756</v>
      </c>
      <c r="Y1685" s="761">
        <v>44879</v>
      </c>
      <c r="Z1685" s="761" t="s">
        <v>62</v>
      </c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</row>
    <row r="1686" spans="1:39">
      <c r="B1686" s="747">
        <v>11</v>
      </c>
      <c r="C1686" s="938" t="s">
        <v>4303</v>
      </c>
      <c r="D1686" s="787" t="s">
        <v>4832</v>
      </c>
      <c r="E1686" s="12" t="s">
        <v>4833</v>
      </c>
      <c r="F1686" s="749">
        <v>3</v>
      </c>
      <c r="G1686" s="3" t="s">
        <v>60</v>
      </c>
      <c r="H1686" s="3" t="s">
        <v>128</v>
      </c>
      <c r="I1686" s="762">
        <v>467.4</v>
      </c>
      <c r="J1686" s="762">
        <v>255.39</v>
      </c>
      <c r="K1686" s="3" t="s">
        <v>2747</v>
      </c>
      <c r="L1686" s="761">
        <v>44879</v>
      </c>
      <c r="M1686" s="761" t="s">
        <v>1756</v>
      </c>
      <c r="N1686" s="761">
        <v>44879</v>
      </c>
      <c r="O1686" s="761" t="s">
        <v>62</v>
      </c>
      <c r="P1686" s="8" t="s">
        <v>4834</v>
      </c>
      <c r="Q1686" s="3" t="s">
        <v>4835</v>
      </c>
      <c r="R1686" s="3"/>
      <c r="S1686" s="3" t="s">
        <v>130</v>
      </c>
      <c r="T1686" s="762"/>
      <c r="U1686" s="762">
        <v>278.2</v>
      </c>
      <c r="V1686" s="3"/>
      <c r="W1686" s="761"/>
      <c r="X1686" s="3" t="s">
        <v>1756</v>
      </c>
      <c r="Y1686" s="761">
        <v>44880</v>
      </c>
      <c r="Z1686" s="761" t="s">
        <v>62</v>
      </c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</row>
    <row r="1687" spans="1:39">
      <c r="B1687" s="747">
        <v>11</v>
      </c>
      <c r="C1687" s="938" t="s">
        <v>4303</v>
      </c>
      <c r="D1687" s="787" t="s">
        <v>4836</v>
      </c>
      <c r="E1687" s="12" t="s">
        <v>4837</v>
      </c>
      <c r="F1687" s="749">
        <v>4</v>
      </c>
      <c r="G1687" s="3" t="s">
        <v>60</v>
      </c>
      <c r="H1687" s="3" t="s">
        <v>60</v>
      </c>
      <c r="I1687" s="887">
        <v>467.3</v>
      </c>
      <c r="J1687" s="887">
        <v>254.29</v>
      </c>
      <c r="K1687" s="3" t="s">
        <v>2747</v>
      </c>
      <c r="L1687" s="761">
        <v>44879</v>
      </c>
      <c r="M1687" s="761" t="s">
        <v>1756</v>
      </c>
      <c r="N1687" s="761">
        <v>44880</v>
      </c>
      <c r="O1687" s="761" t="s">
        <v>62</v>
      </c>
      <c r="P1687" s="13" t="s">
        <v>4838</v>
      </c>
      <c r="Q1687" s="13" t="s">
        <v>4839</v>
      </c>
      <c r="R1687" s="3"/>
      <c r="S1687" s="3" t="s">
        <v>130</v>
      </c>
      <c r="T1687" s="762"/>
      <c r="U1687" s="762">
        <v>278.2</v>
      </c>
      <c r="V1687" s="3"/>
      <c r="W1687" s="761"/>
      <c r="X1687" s="3" t="s">
        <v>1756</v>
      </c>
      <c r="Y1687" s="761">
        <v>44880</v>
      </c>
      <c r="Z1687" s="761" t="s">
        <v>62</v>
      </c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</row>
    <row r="1688" spans="1:39">
      <c r="B1688" s="747">
        <v>11</v>
      </c>
      <c r="C1688" s="938" t="s">
        <v>4303</v>
      </c>
      <c r="D1688" s="787" t="s">
        <v>4840</v>
      </c>
      <c r="E1688" s="12" t="s">
        <v>4841</v>
      </c>
      <c r="F1688" s="749">
        <v>5</v>
      </c>
      <c r="G1688" s="3" t="s">
        <v>60</v>
      </c>
      <c r="H1688" s="3" t="s">
        <v>60</v>
      </c>
      <c r="I1688" s="762">
        <v>467.2</v>
      </c>
      <c r="J1688" s="887">
        <v>258.49</v>
      </c>
      <c r="K1688" s="3" t="s">
        <v>2747</v>
      </c>
      <c r="L1688" s="761">
        <v>44880</v>
      </c>
      <c r="M1688" s="761" t="s">
        <v>1756</v>
      </c>
      <c r="N1688" s="761">
        <v>44880</v>
      </c>
      <c r="O1688" s="761" t="s">
        <v>62</v>
      </c>
      <c r="P1688" s="3" t="s">
        <v>4842</v>
      </c>
      <c r="Q1688" s="3" t="s">
        <v>4843</v>
      </c>
      <c r="R1688" s="3"/>
      <c r="S1688" s="3" t="s">
        <v>130</v>
      </c>
      <c r="T1688" s="762"/>
      <c r="U1688" s="762">
        <v>280.8</v>
      </c>
      <c r="V1688" s="3"/>
      <c r="W1688" s="761"/>
      <c r="X1688" s="3" t="s">
        <v>1756</v>
      </c>
      <c r="Y1688" s="761">
        <v>44880</v>
      </c>
      <c r="Z1688" s="761" t="s">
        <v>62</v>
      </c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</row>
    <row r="1689" spans="1:39">
      <c r="B1689" s="747">
        <v>11</v>
      </c>
      <c r="C1689" s="938" t="s">
        <v>4303</v>
      </c>
      <c r="D1689" s="787" t="s">
        <v>4844</v>
      </c>
      <c r="E1689" s="12" t="s">
        <v>4845</v>
      </c>
      <c r="F1689" s="749">
        <v>6</v>
      </c>
      <c r="G1689" s="3" t="s">
        <v>60</v>
      </c>
      <c r="H1689" s="3" t="s">
        <v>60</v>
      </c>
      <c r="I1689" s="762">
        <v>462.7</v>
      </c>
      <c r="J1689" s="762">
        <v>255.36</v>
      </c>
      <c r="K1689" s="3" t="s">
        <v>2747</v>
      </c>
      <c r="L1689" s="761">
        <v>44881</v>
      </c>
      <c r="M1689" s="761" t="s">
        <v>1756</v>
      </c>
      <c r="N1689" s="761">
        <v>44881</v>
      </c>
      <c r="O1689" s="761" t="s">
        <v>62</v>
      </c>
      <c r="P1689" s="3" t="s">
        <v>4846</v>
      </c>
      <c r="Q1689" s="3" t="s">
        <v>4847</v>
      </c>
      <c r="R1689" s="3"/>
      <c r="S1689" s="3" t="s">
        <v>130</v>
      </c>
      <c r="T1689" s="762"/>
      <c r="U1689" s="762">
        <v>278.2</v>
      </c>
      <c r="V1689" s="3"/>
      <c r="W1689" s="761"/>
      <c r="X1689" s="3" t="s">
        <v>1756</v>
      </c>
      <c r="Y1689" s="761">
        <v>44882</v>
      </c>
      <c r="Z1689" s="761" t="s">
        <v>62</v>
      </c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</row>
    <row r="1690" spans="1:39">
      <c r="B1690" s="747">
        <v>11</v>
      </c>
      <c r="C1690" s="938" t="s">
        <v>4303</v>
      </c>
      <c r="D1690" s="787" t="s">
        <v>4848</v>
      </c>
      <c r="E1690" s="12" t="s">
        <v>4849</v>
      </c>
      <c r="F1690" s="749">
        <v>7</v>
      </c>
      <c r="G1690" s="3" t="s">
        <v>60</v>
      </c>
      <c r="H1690" s="3" t="s">
        <v>60</v>
      </c>
      <c r="I1690" s="762">
        <v>469.9</v>
      </c>
      <c r="J1690" s="762">
        <v>258.54000000000002</v>
      </c>
      <c r="K1690" s="3" t="s">
        <v>2747</v>
      </c>
      <c r="L1690" s="761">
        <v>44881</v>
      </c>
      <c r="M1690" s="761" t="s">
        <v>1756</v>
      </c>
      <c r="N1690" s="761">
        <v>44881</v>
      </c>
      <c r="O1690" s="761" t="s">
        <v>62</v>
      </c>
      <c r="P1690" s="784" t="s">
        <v>4850</v>
      </c>
      <c r="Q1690" s="3" t="s">
        <v>4851</v>
      </c>
      <c r="R1690" s="3"/>
      <c r="S1690" s="3" t="s">
        <v>130</v>
      </c>
      <c r="T1690" s="762"/>
      <c r="U1690" s="762">
        <v>281.2</v>
      </c>
      <c r="V1690" s="3"/>
      <c r="W1690" s="761"/>
      <c r="X1690" s="3" t="s">
        <v>1756</v>
      </c>
      <c r="Y1690" s="761">
        <v>44882</v>
      </c>
      <c r="Z1690" s="761" t="s">
        <v>62</v>
      </c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</row>
    <row r="1691" spans="1:39">
      <c r="B1691" s="747">
        <v>11</v>
      </c>
      <c r="C1691" s="938" t="s">
        <v>4303</v>
      </c>
      <c r="D1691" s="787" t="s">
        <v>4852</v>
      </c>
      <c r="E1691" s="12" t="s">
        <v>4853</v>
      </c>
      <c r="F1691" s="749">
        <v>8</v>
      </c>
      <c r="G1691" s="3" t="s">
        <v>60</v>
      </c>
      <c r="H1691" s="3" t="s">
        <v>60</v>
      </c>
      <c r="I1691" s="3">
        <v>462.4</v>
      </c>
      <c r="J1691" s="762">
        <v>252.4</v>
      </c>
      <c r="K1691" s="3" t="s">
        <v>2747</v>
      </c>
      <c r="L1691" s="761">
        <v>44882</v>
      </c>
      <c r="M1691" s="761" t="s">
        <v>1756</v>
      </c>
      <c r="N1691" s="761">
        <v>44882</v>
      </c>
      <c r="O1691" s="761" t="s">
        <v>62</v>
      </c>
      <c r="P1691" s="762" t="s">
        <v>4854</v>
      </c>
      <c r="Q1691" s="3" t="s">
        <v>4855</v>
      </c>
      <c r="R1691" s="3"/>
      <c r="S1691" s="3" t="s">
        <v>130</v>
      </c>
      <c r="T1691" s="762"/>
      <c r="U1691" s="762">
        <v>275.39999999999998</v>
      </c>
      <c r="V1691" s="3"/>
      <c r="W1691" s="761"/>
      <c r="X1691" s="3" t="s">
        <v>1756</v>
      </c>
      <c r="Y1691" s="761">
        <v>44883</v>
      </c>
      <c r="Z1691" s="761" t="s">
        <v>62</v>
      </c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</row>
    <row r="1692" spans="1:39" s="707" customFormat="1">
      <c r="A1692"/>
      <c r="B1692" s="805" t="s">
        <v>13</v>
      </c>
      <c r="C1692" s="807" t="s">
        <v>1710</v>
      </c>
      <c r="D1692" s="876"/>
      <c r="E1692" s="875"/>
      <c r="F1692" s="808"/>
      <c r="G1692" s="807"/>
      <c r="H1692" s="807"/>
      <c r="I1692" s="807"/>
      <c r="J1692" s="820"/>
      <c r="K1692" s="807"/>
      <c r="L1692" s="819"/>
      <c r="M1692" s="819"/>
      <c r="N1692" s="819"/>
      <c r="O1692" s="819"/>
      <c r="P1692" s="820"/>
      <c r="Q1692" s="807"/>
      <c r="R1692" s="807"/>
      <c r="S1692" s="807"/>
      <c r="T1692" s="820"/>
      <c r="U1692" s="820"/>
      <c r="V1692" s="807"/>
      <c r="W1692" s="819"/>
      <c r="X1692" s="807"/>
      <c r="Y1692" s="819"/>
      <c r="Z1692" s="819"/>
      <c r="AA1692" s="710"/>
      <c r="AB1692" s="710"/>
      <c r="AC1692" s="710"/>
      <c r="AD1692" s="710"/>
      <c r="AE1692" s="710"/>
      <c r="AF1692" s="710"/>
      <c r="AG1692" s="710"/>
      <c r="AH1692" s="710"/>
      <c r="AI1692" s="710"/>
      <c r="AJ1692" s="710"/>
      <c r="AK1692" s="710"/>
      <c r="AL1692" s="710"/>
      <c r="AM1692" s="710"/>
    </row>
    <row r="1693" spans="1:39">
      <c r="B1693" s="747">
        <v>12</v>
      </c>
      <c r="C1693" s="938" t="s">
        <v>4303</v>
      </c>
      <c r="D1693" s="787" t="s">
        <v>4856</v>
      </c>
      <c r="E1693" s="12" t="s">
        <v>4857</v>
      </c>
      <c r="F1693" s="749">
        <v>1</v>
      </c>
      <c r="G1693" s="3" t="s">
        <v>60</v>
      </c>
      <c r="H1693" s="3" t="s">
        <v>60</v>
      </c>
      <c r="I1693" s="3">
        <v>465.8</v>
      </c>
      <c r="J1693" s="762">
        <v>260.66000000000003</v>
      </c>
      <c r="K1693" s="3" t="s">
        <v>2747</v>
      </c>
      <c r="L1693" s="761">
        <v>44882</v>
      </c>
      <c r="M1693" s="761" t="s">
        <v>1756</v>
      </c>
      <c r="N1693" s="761">
        <v>44882</v>
      </c>
      <c r="O1693" s="761" t="s">
        <v>62</v>
      </c>
      <c r="P1693" s="762" t="s">
        <v>4858</v>
      </c>
      <c r="Q1693" s="3" t="s">
        <v>1003</v>
      </c>
      <c r="R1693" s="3"/>
      <c r="S1693" s="3" t="s">
        <v>130</v>
      </c>
      <c r="T1693" s="762"/>
      <c r="U1693" s="762">
        <v>283.10000000000002</v>
      </c>
      <c r="V1693" s="3"/>
      <c r="W1693" s="761"/>
      <c r="X1693" s="3" t="s">
        <v>1756</v>
      </c>
      <c r="Y1693" s="761">
        <v>44883</v>
      </c>
      <c r="Z1693" s="761" t="s">
        <v>62</v>
      </c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</row>
    <row r="1694" spans="1:39">
      <c r="B1694" s="747">
        <v>12</v>
      </c>
      <c r="C1694" s="938" t="s">
        <v>4303</v>
      </c>
      <c r="D1694" s="787" t="s">
        <v>4859</v>
      </c>
      <c r="E1694" s="12" t="s">
        <v>4860</v>
      </c>
      <c r="F1694" s="749">
        <v>2</v>
      </c>
      <c r="G1694" s="3" t="s">
        <v>60</v>
      </c>
      <c r="H1694" s="3" t="s">
        <v>60</v>
      </c>
      <c r="I1694" s="762">
        <v>461.2</v>
      </c>
      <c r="J1694" s="762">
        <v>254.66</v>
      </c>
      <c r="K1694" s="3" t="s">
        <v>2747</v>
      </c>
      <c r="L1694" s="761">
        <v>44883</v>
      </c>
      <c r="M1694" s="761" t="s">
        <v>1756</v>
      </c>
      <c r="N1694" s="761">
        <v>44883</v>
      </c>
      <c r="O1694" s="761" t="s">
        <v>62</v>
      </c>
      <c r="P1694" s="3" t="s">
        <v>4861</v>
      </c>
      <c r="Q1694" s="3" t="s">
        <v>4862</v>
      </c>
      <c r="R1694" s="3"/>
      <c r="S1694" s="3" t="s">
        <v>130</v>
      </c>
      <c r="T1694" s="762"/>
      <c r="U1694" s="762">
        <v>277.60000000000002</v>
      </c>
      <c r="V1694" s="3"/>
      <c r="W1694" s="761"/>
      <c r="X1694" s="3" t="s">
        <v>1756</v>
      </c>
      <c r="Y1694" s="761">
        <v>44883</v>
      </c>
      <c r="Z1694" s="761" t="s">
        <v>62</v>
      </c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</row>
    <row r="1695" spans="1:39">
      <c r="B1695" s="747">
        <v>12</v>
      </c>
      <c r="C1695" s="938" t="s">
        <v>4303</v>
      </c>
      <c r="D1695" s="787" t="s">
        <v>4863</v>
      </c>
      <c r="E1695" s="12" t="s">
        <v>4864</v>
      </c>
      <c r="F1695" s="749">
        <v>3</v>
      </c>
      <c r="G1695" s="3" t="s">
        <v>60</v>
      </c>
      <c r="H1695" s="3" t="s">
        <v>60</v>
      </c>
      <c r="I1695" s="762">
        <v>465.2</v>
      </c>
      <c r="J1695" s="762">
        <v>260.55</v>
      </c>
      <c r="K1695" s="3" t="s">
        <v>2747</v>
      </c>
      <c r="L1695" s="761">
        <v>44883</v>
      </c>
      <c r="M1695" s="761" t="s">
        <v>1756</v>
      </c>
      <c r="N1695" s="761">
        <v>44883</v>
      </c>
      <c r="O1695" s="761" t="s">
        <v>62</v>
      </c>
      <c r="P1695" s="762" t="s">
        <v>4865</v>
      </c>
      <c r="Q1695" s="3" t="s">
        <v>4866</v>
      </c>
      <c r="R1695" s="3"/>
      <c r="S1695" s="3" t="s">
        <v>130</v>
      </c>
      <c r="T1695" s="762"/>
      <c r="U1695" s="762">
        <v>283.2</v>
      </c>
      <c r="V1695" s="3"/>
      <c r="W1695" s="761"/>
      <c r="X1695" s="3" t="s">
        <v>1756</v>
      </c>
      <c r="Y1695" s="761">
        <v>44887</v>
      </c>
      <c r="Z1695" s="761" t="s">
        <v>62</v>
      </c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</row>
    <row r="1696" spans="1:39">
      <c r="B1696" s="747">
        <v>12</v>
      </c>
      <c r="C1696" s="938" t="s">
        <v>4303</v>
      </c>
      <c r="D1696" s="787" t="s">
        <v>4867</v>
      </c>
      <c r="E1696" s="12" t="s">
        <v>4868</v>
      </c>
      <c r="F1696" s="749">
        <v>4</v>
      </c>
      <c r="G1696" s="3" t="s">
        <v>60</v>
      </c>
      <c r="H1696" s="3" t="s">
        <v>60</v>
      </c>
      <c r="I1696" s="762">
        <v>462.7</v>
      </c>
      <c r="J1696" s="762">
        <v>254.42</v>
      </c>
      <c r="K1696" s="3" t="s">
        <v>2747</v>
      </c>
      <c r="L1696" s="761">
        <v>44886</v>
      </c>
      <c r="M1696" s="761" t="s">
        <v>1756</v>
      </c>
      <c r="N1696" s="761">
        <v>44887</v>
      </c>
      <c r="O1696" s="761" t="s">
        <v>62</v>
      </c>
      <c r="P1696" s="3" t="s">
        <v>4869</v>
      </c>
      <c r="Q1696" s="3" t="s">
        <v>4870</v>
      </c>
      <c r="R1696" s="3"/>
      <c r="S1696" s="3" t="s">
        <v>130</v>
      </c>
      <c r="T1696" s="762"/>
      <c r="U1696" s="762">
        <v>277</v>
      </c>
      <c r="V1696" s="3"/>
      <c r="W1696" s="761"/>
      <c r="X1696" s="3" t="s">
        <v>1756</v>
      </c>
      <c r="Y1696" s="761">
        <v>44888</v>
      </c>
      <c r="Z1696" s="761" t="s">
        <v>62</v>
      </c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</row>
    <row r="1697" spans="1:39">
      <c r="B1697" s="747">
        <v>12</v>
      </c>
      <c r="C1697" s="938" t="s">
        <v>4303</v>
      </c>
      <c r="D1697" s="787" t="s">
        <v>4871</v>
      </c>
      <c r="E1697" s="12" t="s">
        <v>4872</v>
      </c>
      <c r="F1697" s="749">
        <v>5</v>
      </c>
      <c r="G1697" s="3" t="s">
        <v>60</v>
      </c>
      <c r="H1697" s="3" t="s">
        <v>60</v>
      </c>
      <c r="I1697" s="762">
        <v>464.1</v>
      </c>
      <c r="J1697" s="762">
        <v>260.25</v>
      </c>
      <c r="K1697" s="3" t="s">
        <v>2747</v>
      </c>
      <c r="L1697" s="761">
        <v>44887</v>
      </c>
      <c r="M1697" s="761" t="s">
        <v>1756</v>
      </c>
      <c r="N1697" s="761">
        <v>44887</v>
      </c>
      <c r="O1697" s="761" t="s">
        <v>62</v>
      </c>
      <c r="P1697" s="3" t="s">
        <v>4873</v>
      </c>
      <c r="Q1697" s="762" t="s">
        <v>4874</v>
      </c>
      <c r="R1697" s="3"/>
      <c r="S1697" s="3" t="s">
        <v>130</v>
      </c>
      <c r="T1697" s="762"/>
      <c r="U1697" s="762">
        <v>282.8</v>
      </c>
      <c r="V1697" s="3"/>
      <c r="W1697" s="761"/>
      <c r="X1697" s="3" t="s">
        <v>1756</v>
      </c>
      <c r="Y1697" s="761">
        <v>44888</v>
      </c>
      <c r="Z1697" s="761" t="s">
        <v>62</v>
      </c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</row>
    <row r="1698" spans="1:39">
      <c r="B1698" s="747">
        <v>12</v>
      </c>
      <c r="C1698" s="938" t="s">
        <v>4303</v>
      </c>
      <c r="D1698" s="787" t="s">
        <v>4875</v>
      </c>
      <c r="E1698" s="12" t="s">
        <v>4876</v>
      </c>
      <c r="F1698" s="749">
        <v>6</v>
      </c>
      <c r="G1698" s="3" t="s">
        <v>60</v>
      </c>
      <c r="H1698" s="3" t="s">
        <v>60</v>
      </c>
      <c r="I1698" s="762">
        <v>468.7</v>
      </c>
      <c r="J1698" s="762">
        <v>255.5</v>
      </c>
      <c r="K1698" s="3" t="s">
        <v>2747</v>
      </c>
      <c r="L1698" s="761">
        <v>44887</v>
      </c>
      <c r="M1698" s="761" t="s">
        <v>1756</v>
      </c>
      <c r="N1698" s="761">
        <v>44888</v>
      </c>
      <c r="O1698" s="761" t="s">
        <v>62</v>
      </c>
      <c r="P1698" s="3" t="s">
        <v>4877</v>
      </c>
      <c r="Q1698" s="3" t="s">
        <v>4878</v>
      </c>
      <c r="R1698" s="3"/>
      <c r="S1698" s="3" t="s">
        <v>130</v>
      </c>
      <c r="T1698" s="762"/>
      <c r="U1698" s="762">
        <v>278.39999999999998</v>
      </c>
      <c r="V1698" s="3"/>
      <c r="W1698" s="761"/>
      <c r="X1698" s="3" t="s">
        <v>1756</v>
      </c>
      <c r="Y1698" s="761">
        <v>44889</v>
      </c>
      <c r="Z1698" s="761" t="s">
        <v>62</v>
      </c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</row>
    <row r="1699" spans="1:39">
      <c r="B1699" s="747">
        <v>12</v>
      </c>
      <c r="C1699" s="938" t="s">
        <v>4303</v>
      </c>
      <c r="D1699" s="787" t="s">
        <v>4879</v>
      </c>
      <c r="E1699" s="12" t="s">
        <v>4880</v>
      </c>
      <c r="F1699" s="749">
        <v>7</v>
      </c>
      <c r="G1699" s="3" t="s">
        <v>60</v>
      </c>
      <c r="H1699" s="3" t="s">
        <v>60</v>
      </c>
      <c r="I1699" s="762">
        <v>463.1</v>
      </c>
      <c r="J1699" s="762">
        <v>258.75</v>
      </c>
      <c r="K1699" s="3" t="s">
        <v>2747</v>
      </c>
      <c r="L1699" s="761">
        <v>44888</v>
      </c>
      <c r="M1699" s="761" t="s">
        <v>1756</v>
      </c>
      <c r="N1699" s="761">
        <v>44888</v>
      </c>
      <c r="O1699" s="761" t="s">
        <v>62</v>
      </c>
      <c r="P1699" s="762" t="s">
        <v>4881</v>
      </c>
      <c r="Q1699" s="762" t="s">
        <v>4882</v>
      </c>
      <c r="R1699" s="3"/>
      <c r="S1699" s="3" t="s">
        <v>130</v>
      </c>
      <c r="T1699" s="762"/>
      <c r="U1699" s="762">
        <v>281.60000000000002</v>
      </c>
      <c r="V1699" s="3"/>
      <c r="W1699" s="761"/>
      <c r="X1699" s="3" t="s">
        <v>1756</v>
      </c>
      <c r="Y1699" s="761">
        <v>44889</v>
      </c>
      <c r="Z1699" s="761" t="s">
        <v>62</v>
      </c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</row>
    <row r="1700" spans="1:39">
      <c r="B1700" s="747">
        <v>12</v>
      </c>
      <c r="C1700" s="938" t="s">
        <v>4303</v>
      </c>
      <c r="D1700" s="787" t="s">
        <v>4883</v>
      </c>
      <c r="E1700" s="12" t="s">
        <v>4884</v>
      </c>
      <c r="F1700" s="749">
        <v>8</v>
      </c>
      <c r="G1700" s="3" t="s">
        <v>128</v>
      </c>
      <c r="H1700" s="3" t="s">
        <v>60</v>
      </c>
      <c r="I1700" s="762">
        <v>466.9</v>
      </c>
      <c r="J1700" s="762">
        <v>250.22</v>
      </c>
      <c r="K1700" s="3" t="s">
        <v>2747</v>
      </c>
      <c r="L1700" s="761">
        <v>44893</v>
      </c>
      <c r="M1700" s="761" t="s">
        <v>1756</v>
      </c>
      <c r="N1700" s="761">
        <v>44893</v>
      </c>
      <c r="O1700" s="761" t="s">
        <v>62</v>
      </c>
      <c r="P1700" s="3" t="s">
        <v>4885</v>
      </c>
      <c r="Q1700" s="3" t="s">
        <v>4886</v>
      </c>
      <c r="R1700" s="3"/>
      <c r="S1700" s="3" t="s">
        <v>130</v>
      </c>
      <c r="T1700" s="762"/>
      <c r="U1700" s="762">
        <v>273.39999999999998</v>
      </c>
      <c r="V1700" s="3"/>
      <c r="W1700" s="761"/>
      <c r="X1700" s="3" t="s">
        <v>1756</v>
      </c>
      <c r="Y1700" s="761">
        <v>44893</v>
      </c>
      <c r="Z1700" s="761" t="s">
        <v>62</v>
      </c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</row>
    <row r="1701" spans="1:39">
      <c r="B1701" s="747">
        <v>12</v>
      </c>
      <c r="C1701" s="938" t="s">
        <v>4303</v>
      </c>
      <c r="D1701" s="787" t="s">
        <v>4887</v>
      </c>
      <c r="E1701" s="12" t="s">
        <v>4888</v>
      </c>
      <c r="F1701" s="749">
        <v>9</v>
      </c>
      <c r="G1701" s="3" t="s">
        <v>128</v>
      </c>
      <c r="H1701" s="3" t="s">
        <v>128</v>
      </c>
      <c r="I1701" s="762">
        <v>462.5</v>
      </c>
      <c r="J1701" s="762">
        <v>259.66000000000003</v>
      </c>
      <c r="K1701" s="3" t="s">
        <v>2747</v>
      </c>
      <c r="L1701" s="761">
        <v>44894</v>
      </c>
      <c r="M1701" s="761" t="s">
        <v>1756</v>
      </c>
      <c r="N1701" s="761">
        <v>44894</v>
      </c>
      <c r="O1701" s="761" t="s">
        <v>62</v>
      </c>
      <c r="P1701" s="3" t="s">
        <v>4889</v>
      </c>
      <c r="Q1701" s="3" t="s">
        <v>4890</v>
      </c>
      <c r="R1701" s="3"/>
      <c r="S1701" s="3" t="s">
        <v>130</v>
      </c>
      <c r="T1701" s="762"/>
      <c r="U1701" s="762">
        <v>282.2</v>
      </c>
      <c r="V1701" s="3"/>
      <c r="W1701" s="761"/>
      <c r="X1701" s="3" t="s">
        <v>1756</v>
      </c>
      <c r="Y1701" s="761">
        <v>44894</v>
      </c>
      <c r="Z1701" s="761" t="s">
        <v>62</v>
      </c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</row>
    <row r="1702" spans="1:39">
      <c r="B1702" s="747">
        <v>12</v>
      </c>
      <c r="C1702" s="938" t="s">
        <v>4303</v>
      </c>
      <c r="D1702" s="787" t="s">
        <v>4891</v>
      </c>
      <c r="E1702" s="12" t="s">
        <v>4892</v>
      </c>
      <c r="F1702" s="749">
        <v>10</v>
      </c>
      <c r="G1702" s="3" t="s">
        <v>128</v>
      </c>
      <c r="H1702" s="3" t="s">
        <v>128</v>
      </c>
      <c r="I1702" s="762">
        <v>465</v>
      </c>
      <c r="J1702" s="762">
        <v>257.55</v>
      </c>
      <c r="K1702" s="3" t="s">
        <v>2747</v>
      </c>
      <c r="L1702" s="761">
        <v>44895</v>
      </c>
      <c r="M1702" s="761" t="s">
        <v>1756</v>
      </c>
      <c r="N1702" s="761">
        <v>44894</v>
      </c>
      <c r="O1702" s="761" t="s">
        <v>62</v>
      </c>
      <c r="P1702" s="3" t="s">
        <v>4893</v>
      </c>
      <c r="Q1702" s="3" t="s">
        <v>4894</v>
      </c>
      <c r="R1702" s="3"/>
      <c r="S1702" s="3" t="s">
        <v>130</v>
      </c>
      <c r="T1702" s="762"/>
      <c r="U1702" s="762">
        <v>280.10000000000002</v>
      </c>
      <c r="V1702" s="3"/>
      <c r="W1702" s="761"/>
      <c r="X1702" s="3" t="s">
        <v>1756</v>
      </c>
      <c r="Y1702" s="761">
        <v>44895</v>
      </c>
      <c r="Z1702" s="761" t="s">
        <v>62</v>
      </c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</row>
    <row r="1703" spans="1:39">
      <c r="B1703" s="747">
        <v>12</v>
      </c>
      <c r="C1703" s="938" t="s">
        <v>4303</v>
      </c>
      <c r="D1703" s="787" t="s">
        <v>4895</v>
      </c>
      <c r="E1703" s="12" t="s">
        <v>4896</v>
      </c>
      <c r="F1703" s="749">
        <v>11</v>
      </c>
      <c r="G1703" s="3" t="s">
        <v>128</v>
      </c>
      <c r="H1703" s="3" t="s">
        <v>128</v>
      </c>
      <c r="I1703" s="762">
        <v>467.4</v>
      </c>
      <c r="J1703" s="762">
        <v>255.54</v>
      </c>
      <c r="K1703" s="3" t="s">
        <v>2747</v>
      </c>
      <c r="L1703" s="761">
        <v>44895</v>
      </c>
      <c r="M1703" s="761" t="s">
        <v>1756</v>
      </c>
      <c r="N1703" s="761">
        <v>44895</v>
      </c>
      <c r="O1703" s="761" t="s">
        <v>62</v>
      </c>
      <c r="P1703" s="3" t="s">
        <v>4897</v>
      </c>
      <c r="Q1703" s="3" t="s">
        <v>4898</v>
      </c>
      <c r="R1703" s="3"/>
      <c r="S1703" s="3" t="s">
        <v>130</v>
      </c>
      <c r="T1703" s="762"/>
      <c r="U1703" s="762">
        <v>278.10000000000002</v>
      </c>
      <c r="V1703" s="3"/>
      <c r="W1703" s="761"/>
      <c r="X1703" s="3" t="s">
        <v>1756</v>
      </c>
      <c r="Y1703" s="761">
        <v>44895</v>
      </c>
      <c r="Z1703" s="761" t="s">
        <v>62</v>
      </c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</row>
    <row r="1704" spans="1:39">
      <c r="B1704" s="747">
        <v>12</v>
      </c>
      <c r="C1704" s="938" t="s">
        <v>4303</v>
      </c>
      <c r="D1704" s="787" t="s">
        <v>4899</v>
      </c>
      <c r="E1704" s="12" t="s">
        <v>4900</v>
      </c>
      <c r="F1704" s="749">
        <v>12</v>
      </c>
      <c r="G1704" s="3" t="s">
        <v>60</v>
      </c>
      <c r="H1704" s="3" t="s">
        <v>128</v>
      </c>
      <c r="I1704" s="786">
        <v>463.1</v>
      </c>
      <c r="J1704" s="786">
        <v>253.82</v>
      </c>
      <c r="K1704" s="3" t="s">
        <v>2067</v>
      </c>
      <c r="L1704" s="761">
        <v>44904</v>
      </c>
      <c r="M1704" s="761" t="s">
        <v>2067</v>
      </c>
      <c r="N1704" s="761">
        <v>44903</v>
      </c>
      <c r="O1704" s="761" t="s">
        <v>62</v>
      </c>
      <c r="P1704" s="3" t="s">
        <v>4901</v>
      </c>
      <c r="Q1704" s="3" t="s">
        <v>4902</v>
      </c>
      <c r="R1704" s="3"/>
      <c r="S1704" s="3" t="s">
        <v>130</v>
      </c>
      <c r="T1704" s="786"/>
      <c r="U1704" s="786">
        <v>276.7</v>
      </c>
      <c r="V1704" s="3"/>
      <c r="W1704" s="761"/>
      <c r="X1704" s="3" t="s">
        <v>2067</v>
      </c>
      <c r="Y1704" s="761">
        <v>44904</v>
      </c>
      <c r="Z1704" s="761" t="s">
        <v>62</v>
      </c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</row>
    <row r="1705" spans="1:39">
      <c r="B1705" s="747">
        <v>12</v>
      </c>
      <c r="C1705" s="938" t="s">
        <v>4303</v>
      </c>
      <c r="D1705" s="787" t="s">
        <v>4903</v>
      </c>
      <c r="E1705" s="12" t="s">
        <v>4904</v>
      </c>
      <c r="F1705" s="749">
        <v>13</v>
      </c>
      <c r="G1705" s="3" t="s">
        <v>128</v>
      </c>
      <c r="H1705" s="3" t="s">
        <v>128</v>
      </c>
      <c r="I1705" s="786">
        <v>468.1</v>
      </c>
      <c r="J1705" s="786">
        <v>256.39999999999998</v>
      </c>
      <c r="K1705" s="3" t="s">
        <v>2067</v>
      </c>
      <c r="L1705" s="761">
        <v>44907</v>
      </c>
      <c r="M1705" s="761" t="s">
        <v>2067</v>
      </c>
      <c r="N1705" s="761">
        <v>44907</v>
      </c>
      <c r="O1705" s="761" t="s">
        <v>62</v>
      </c>
      <c r="P1705" s="828" t="s">
        <v>4905</v>
      </c>
      <c r="Q1705" s="13" t="s">
        <v>4906</v>
      </c>
      <c r="R1705" s="3"/>
      <c r="S1705" s="3" t="s">
        <v>130</v>
      </c>
      <c r="T1705" s="786"/>
      <c r="U1705" s="786">
        <v>279.10000000000002</v>
      </c>
      <c r="V1705" s="3"/>
      <c r="W1705" s="761"/>
      <c r="X1705" s="3" t="s">
        <v>2067</v>
      </c>
      <c r="Y1705" s="761">
        <v>44907</v>
      </c>
      <c r="Z1705" s="761" t="s">
        <v>62</v>
      </c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</row>
    <row r="1706" spans="1:39">
      <c r="B1706" s="747">
        <v>12</v>
      </c>
      <c r="C1706" s="938" t="s">
        <v>4303</v>
      </c>
      <c r="D1706" s="787" t="s">
        <v>4907</v>
      </c>
      <c r="E1706" s="12" t="s">
        <v>4908</v>
      </c>
      <c r="F1706" s="749">
        <v>14</v>
      </c>
      <c r="G1706" s="3" t="s">
        <v>4909</v>
      </c>
      <c r="H1706" s="3" t="s">
        <v>4909</v>
      </c>
      <c r="I1706" s="786">
        <v>455.98</v>
      </c>
      <c r="J1706" s="786">
        <v>252.8</v>
      </c>
      <c r="K1706" s="3" t="s">
        <v>2067</v>
      </c>
      <c r="L1706" s="761">
        <v>44908</v>
      </c>
      <c r="M1706" s="761" t="s">
        <v>2067</v>
      </c>
      <c r="N1706" s="761">
        <v>44907</v>
      </c>
      <c r="O1706" s="761" t="s">
        <v>62</v>
      </c>
      <c r="P1706" s="784" t="s">
        <v>4910</v>
      </c>
      <c r="Q1706" s="784" t="s">
        <v>4911</v>
      </c>
      <c r="R1706" s="3"/>
      <c r="S1706" s="3" t="s">
        <v>4912</v>
      </c>
      <c r="T1706" s="786"/>
      <c r="U1706" s="786">
        <v>275.48</v>
      </c>
      <c r="V1706" s="3"/>
      <c r="W1706" s="761"/>
      <c r="X1706" s="3" t="s">
        <v>2067</v>
      </c>
      <c r="Y1706" s="761">
        <v>44908</v>
      </c>
      <c r="Z1706" s="761" t="s">
        <v>62</v>
      </c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</row>
    <row r="1707" spans="1:39">
      <c r="B1707" s="747">
        <v>12</v>
      </c>
      <c r="C1707" s="938" t="s">
        <v>4303</v>
      </c>
      <c r="D1707" s="787" t="s">
        <v>4913</v>
      </c>
      <c r="E1707" s="12" t="s">
        <v>4914</v>
      </c>
      <c r="F1707" s="749">
        <v>15</v>
      </c>
      <c r="G1707" s="3" t="s">
        <v>4909</v>
      </c>
      <c r="H1707" s="3" t="s">
        <v>4909</v>
      </c>
      <c r="I1707" s="786">
        <v>466.04</v>
      </c>
      <c r="J1707" s="786">
        <v>254.74</v>
      </c>
      <c r="K1707" s="3" t="s">
        <v>2067</v>
      </c>
      <c r="L1707" s="761">
        <v>44908</v>
      </c>
      <c r="M1707" s="761" t="s">
        <v>2067</v>
      </c>
      <c r="N1707" s="761">
        <v>44907</v>
      </c>
      <c r="O1707" s="761" t="s">
        <v>62</v>
      </c>
      <c r="P1707" s="784" t="s">
        <v>4915</v>
      </c>
      <c r="Q1707" s="784" t="s">
        <v>4916</v>
      </c>
      <c r="R1707" s="3"/>
      <c r="S1707" s="3" t="s">
        <v>4912</v>
      </c>
      <c r="T1707" s="786"/>
      <c r="U1707" s="786">
        <v>277.7</v>
      </c>
      <c r="V1707" s="3"/>
      <c r="W1707" s="761"/>
      <c r="X1707" s="3" t="s">
        <v>2067</v>
      </c>
      <c r="Y1707" s="761">
        <v>44909</v>
      </c>
      <c r="Z1707" s="761" t="s">
        <v>62</v>
      </c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</row>
    <row r="1708" spans="1:39">
      <c r="B1708" s="792">
        <v>12</v>
      </c>
      <c r="C1708" s="949" t="s">
        <v>4303</v>
      </c>
      <c r="D1708" s="950" t="s">
        <v>4917</v>
      </c>
      <c r="E1708" s="870" t="s">
        <v>4918</v>
      </c>
      <c r="F1708" s="795">
        <v>16</v>
      </c>
      <c r="G1708" s="13" t="s">
        <v>4909</v>
      </c>
      <c r="H1708" s="13" t="s">
        <v>4909</v>
      </c>
      <c r="I1708" s="810">
        <v>459.72</v>
      </c>
      <c r="J1708" s="810">
        <v>250.7</v>
      </c>
      <c r="K1708" s="13" t="s">
        <v>2067</v>
      </c>
      <c r="L1708" s="813">
        <v>44909</v>
      </c>
      <c r="M1708" s="813" t="s">
        <v>2067</v>
      </c>
      <c r="N1708" s="813">
        <v>44909</v>
      </c>
      <c r="O1708" s="813" t="s">
        <v>62</v>
      </c>
      <c r="P1708" s="13" t="s">
        <v>4919</v>
      </c>
      <c r="Q1708" s="13" t="s">
        <v>4920</v>
      </c>
      <c r="R1708" s="1573" t="s">
        <v>4921</v>
      </c>
      <c r="S1708" s="1574"/>
      <c r="T1708" s="1574"/>
      <c r="U1708" s="1574"/>
      <c r="V1708" s="1574"/>
      <c r="W1708" s="1575"/>
      <c r="X1708" s="813"/>
      <c r="Y1708" s="813"/>
      <c r="Z1708" s="813"/>
      <c r="AA1708" s="826"/>
      <c r="AB1708" s="826"/>
      <c r="AC1708" s="826"/>
      <c r="AD1708" s="826"/>
      <c r="AE1708" s="826"/>
      <c r="AF1708" s="826"/>
      <c r="AG1708" s="826"/>
      <c r="AH1708" s="826"/>
      <c r="AI1708" s="826"/>
      <c r="AJ1708" s="826"/>
      <c r="AK1708" s="826"/>
      <c r="AL1708" s="826"/>
      <c r="AM1708" s="826"/>
    </row>
    <row r="1709" spans="1:39" s="710" customFormat="1" ht="22.95" customHeight="1">
      <c r="A1709" s="4"/>
      <c r="B1709" s="807" t="s">
        <v>13</v>
      </c>
      <c r="C1709" s="807">
        <v>2023</v>
      </c>
      <c r="D1709" s="807"/>
      <c r="E1709" s="807"/>
      <c r="G1709" s="880" t="s">
        <v>3391</v>
      </c>
      <c r="H1709" s="880" t="s">
        <v>4922</v>
      </c>
      <c r="I1709" s="880" t="s">
        <v>3391</v>
      </c>
      <c r="J1709" s="880" t="s">
        <v>4922</v>
      </c>
      <c r="P1709" s="807"/>
      <c r="Q1709" s="807"/>
    </row>
    <row r="1710" spans="1:39">
      <c r="B1710" s="799">
        <v>1</v>
      </c>
      <c r="C1710" s="949" t="s">
        <v>4303</v>
      </c>
      <c r="D1710" s="781" t="s">
        <v>4923</v>
      </c>
      <c r="E1710" s="780" t="s">
        <v>4924</v>
      </c>
      <c r="F1710" s="802">
        <v>1</v>
      </c>
      <c r="G1710" s="8" t="s">
        <v>128</v>
      </c>
      <c r="H1710" s="8" t="s">
        <v>128</v>
      </c>
      <c r="I1710" s="786">
        <v>463.1</v>
      </c>
      <c r="J1710" s="786">
        <v>250.73</v>
      </c>
      <c r="K1710" s="8" t="s">
        <v>2067</v>
      </c>
      <c r="L1710" s="759">
        <v>44917</v>
      </c>
      <c r="M1710" s="759" t="s">
        <v>2067</v>
      </c>
      <c r="N1710" s="759">
        <v>44918</v>
      </c>
      <c r="O1710" s="759" t="s">
        <v>62</v>
      </c>
      <c r="P1710" s="3" t="s">
        <v>4925</v>
      </c>
      <c r="Q1710" s="3" t="s">
        <v>4926</v>
      </c>
      <c r="R1710" s="953"/>
      <c r="S1710" s="8" t="s">
        <v>130</v>
      </c>
      <c r="T1710" s="953"/>
      <c r="U1710" s="786">
        <v>273.39999999999998</v>
      </c>
      <c r="V1710" s="953"/>
      <c r="W1710" s="953"/>
      <c r="X1710" s="8" t="s">
        <v>2067</v>
      </c>
      <c r="Y1710" s="759">
        <v>44918</v>
      </c>
      <c r="Z1710" s="759" t="s">
        <v>62</v>
      </c>
      <c r="AA1710" s="35"/>
      <c r="AB1710" s="35"/>
      <c r="AC1710" s="35"/>
      <c r="AD1710" s="35"/>
      <c r="AE1710" s="35"/>
      <c r="AF1710" s="35"/>
      <c r="AG1710" s="35"/>
      <c r="AH1710" s="35"/>
      <c r="AI1710" s="35"/>
      <c r="AJ1710" s="35"/>
      <c r="AK1710" s="35"/>
      <c r="AL1710" s="35"/>
      <c r="AM1710" s="35"/>
    </row>
    <row r="1711" spans="1:39">
      <c r="B1711" s="799">
        <v>1</v>
      </c>
      <c r="C1711" s="949" t="s">
        <v>4303</v>
      </c>
      <c r="D1711" s="787" t="s">
        <v>4927</v>
      </c>
      <c r="E1711" s="12" t="s">
        <v>4928</v>
      </c>
      <c r="F1711" s="749">
        <v>2</v>
      </c>
      <c r="G1711" s="3" t="s">
        <v>128</v>
      </c>
      <c r="H1711" s="3" t="s">
        <v>128</v>
      </c>
      <c r="I1711" s="786">
        <v>461.2</v>
      </c>
      <c r="J1711" s="786">
        <v>259.97000000000003</v>
      </c>
      <c r="K1711" s="3" t="s">
        <v>2067</v>
      </c>
      <c r="L1711" s="761">
        <v>44921</v>
      </c>
      <c r="M1711" s="761" t="s">
        <v>2067</v>
      </c>
      <c r="N1711" s="761">
        <v>44918</v>
      </c>
      <c r="O1711" s="761" t="s">
        <v>62</v>
      </c>
      <c r="P1711" s="3" t="s">
        <v>4929</v>
      </c>
      <c r="Q1711" s="3" t="s">
        <v>4930</v>
      </c>
      <c r="R1711" s="825"/>
      <c r="S1711" s="3" t="s">
        <v>130</v>
      </c>
      <c r="T1711" s="825"/>
      <c r="U1711" s="786">
        <v>282.8</v>
      </c>
      <c r="V1711" s="825"/>
      <c r="W1711" s="825"/>
      <c r="X1711" s="3" t="s">
        <v>2067</v>
      </c>
      <c r="Y1711" s="761">
        <v>44918</v>
      </c>
      <c r="Z1711" s="761" t="s">
        <v>62</v>
      </c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</row>
    <row r="1712" spans="1:39">
      <c r="B1712" s="799">
        <v>1</v>
      </c>
      <c r="C1712" s="949" t="s">
        <v>4303</v>
      </c>
      <c r="D1712" s="787" t="s">
        <v>4931</v>
      </c>
      <c r="E1712" s="12" t="s">
        <v>4932</v>
      </c>
      <c r="F1712" s="749">
        <v>3</v>
      </c>
      <c r="G1712" s="3" t="s">
        <v>128</v>
      </c>
      <c r="H1712" s="3" t="s">
        <v>128</v>
      </c>
      <c r="I1712" s="786">
        <v>463.9</v>
      </c>
      <c r="J1712" s="786">
        <v>256.3</v>
      </c>
      <c r="K1712" s="3" t="s">
        <v>2067</v>
      </c>
      <c r="L1712" s="761">
        <v>44922</v>
      </c>
      <c r="M1712" s="761" t="s">
        <v>2067</v>
      </c>
      <c r="N1712" s="761">
        <v>44921</v>
      </c>
      <c r="O1712" s="761" t="s">
        <v>62</v>
      </c>
      <c r="P1712" s="3" t="s">
        <v>4933</v>
      </c>
      <c r="Q1712" s="3" t="s">
        <v>4934</v>
      </c>
      <c r="R1712" s="825"/>
      <c r="S1712" s="3" t="s">
        <v>130</v>
      </c>
      <c r="T1712" s="825"/>
      <c r="U1712" s="786">
        <v>278</v>
      </c>
      <c r="V1712" s="825"/>
      <c r="W1712" s="825"/>
      <c r="X1712" s="3" t="s">
        <v>2067</v>
      </c>
      <c r="Y1712" s="761">
        <v>44922</v>
      </c>
      <c r="Z1712" s="761" t="s">
        <v>62</v>
      </c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</row>
    <row r="1713" spans="1:39">
      <c r="B1713" s="799">
        <v>1</v>
      </c>
      <c r="C1713" s="949" t="s">
        <v>4303</v>
      </c>
      <c r="D1713" s="787" t="s">
        <v>4935</v>
      </c>
      <c r="E1713" s="12" t="s">
        <v>4936</v>
      </c>
      <c r="F1713" s="749">
        <v>4</v>
      </c>
      <c r="G1713" s="3" t="s">
        <v>128</v>
      </c>
      <c r="H1713" s="3" t="s">
        <v>128</v>
      </c>
      <c r="I1713" s="786">
        <v>460.9</v>
      </c>
      <c r="J1713" s="786">
        <v>255.57</v>
      </c>
      <c r="K1713" s="3" t="s">
        <v>2067</v>
      </c>
      <c r="L1713" s="761">
        <v>44922</v>
      </c>
      <c r="M1713" s="761" t="s">
        <v>2067</v>
      </c>
      <c r="N1713" s="761">
        <v>44922</v>
      </c>
      <c r="O1713" s="761" t="s">
        <v>62</v>
      </c>
      <c r="P1713" s="3" t="s">
        <v>4937</v>
      </c>
      <c r="Q1713" s="3" t="s">
        <v>4938</v>
      </c>
      <c r="R1713" s="825"/>
      <c r="S1713" s="3" t="s">
        <v>130</v>
      </c>
      <c r="T1713" s="825"/>
      <c r="U1713" s="786">
        <v>278.10000000000002</v>
      </c>
      <c r="V1713" s="825"/>
      <c r="W1713" s="825"/>
      <c r="X1713" s="3" t="s">
        <v>2067</v>
      </c>
      <c r="Y1713" s="761">
        <v>44923</v>
      </c>
      <c r="Z1713" s="761" t="s">
        <v>62</v>
      </c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</row>
    <row r="1714" spans="1:39">
      <c r="B1714" s="799">
        <v>1</v>
      </c>
      <c r="C1714" s="949" t="s">
        <v>4303</v>
      </c>
      <c r="D1714" s="787" t="s">
        <v>4939</v>
      </c>
      <c r="E1714" s="12" t="s">
        <v>4940</v>
      </c>
      <c r="F1714" s="749">
        <v>5</v>
      </c>
      <c r="G1714" s="3" t="s">
        <v>128</v>
      </c>
      <c r="H1714" s="3" t="s">
        <v>128</v>
      </c>
      <c r="I1714" s="786">
        <v>461.5</v>
      </c>
      <c r="J1714" s="786">
        <v>255.64</v>
      </c>
      <c r="K1714" s="3" t="s">
        <v>2067</v>
      </c>
      <c r="L1714" s="761">
        <v>44922</v>
      </c>
      <c r="M1714" s="761" t="s">
        <v>2067</v>
      </c>
      <c r="N1714" s="761">
        <v>44923</v>
      </c>
      <c r="O1714" s="761" t="s">
        <v>62</v>
      </c>
      <c r="P1714" s="3" t="s">
        <v>4941</v>
      </c>
      <c r="Q1714" s="3" t="s">
        <v>4942</v>
      </c>
      <c r="R1714" s="825"/>
      <c r="S1714" s="3" t="s">
        <v>130</v>
      </c>
      <c r="T1714" s="825"/>
      <c r="U1714" s="786">
        <v>277.8</v>
      </c>
      <c r="V1714" s="825"/>
      <c r="W1714" s="825"/>
      <c r="X1714" s="3" t="s">
        <v>2067</v>
      </c>
      <c r="Y1714" s="761">
        <v>44923</v>
      </c>
      <c r="Z1714" s="761" t="s">
        <v>62</v>
      </c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</row>
    <row r="1715" spans="1:39">
      <c r="B1715" s="799">
        <v>1</v>
      </c>
      <c r="C1715" s="949" t="s">
        <v>4303</v>
      </c>
      <c r="D1715" s="787" t="s">
        <v>4943</v>
      </c>
      <c r="E1715" s="12" t="s">
        <v>4944</v>
      </c>
      <c r="F1715" s="749">
        <v>6</v>
      </c>
      <c r="G1715" s="3" t="s">
        <v>128</v>
      </c>
      <c r="H1715" s="3" t="s">
        <v>128</v>
      </c>
      <c r="I1715" s="3">
        <v>456.9</v>
      </c>
      <c r="J1715" s="786">
        <v>258.72000000000003</v>
      </c>
      <c r="K1715" s="3" t="s">
        <v>2067</v>
      </c>
      <c r="L1715" s="761">
        <v>44923</v>
      </c>
      <c r="M1715" s="761" t="s">
        <v>2067</v>
      </c>
      <c r="N1715" s="761">
        <v>44923</v>
      </c>
      <c r="O1715" s="761" t="s">
        <v>62</v>
      </c>
      <c r="P1715" s="3" t="s">
        <v>4945</v>
      </c>
      <c r="Q1715" s="3" t="s">
        <v>4946</v>
      </c>
      <c r="R1715" s="825"/>
      <c r="S1715" s="3" t="s">
        <v>130</v>
      </c>
      <c r="T1715" s="825"/>
      <c r="U1715" s="786">
        <v>280.8</v>
      </c>
      <c r="V1715" s="825"/>
      <c r="W1715" s="825"/>
      <c r="X1715" s="3" t="s">
        <v>2067</v>
      </c>
      <c r="Y1715" s="761">
        <v>44923</v>
      </c>
      <c r="Z1715" s="761" t="s">
        <v>62</v>
      </c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</row>
    <row r="1716" spans="1:39">
      <c r="B1716" s="799">
        <v>1</v>
      </c>
      <c r="C1716" s="949" t="s">
        <v>4303</v>
      </c>
      <c r="D1716" s="787" t="s">
        <v>4947</v>
      </c>
      <c r="E1716" s="12" t="s">
        <v>4948</v>
      </c>
      <c r="F1716" s="749">
        <v>7</v>
      </c>
      <c r="G1716" s="3" t="s">
        <v>128</v>
      </c>
      <c r="H1716" s="3" t="s">
        <v>60</v>
      </c>
      <c r="I1716" s="786">
        <v>467.2</v>
      </c>
      <c r="J1716" s="786">
        <v>255.37</v>
      </c>
      <c r="K1716" s="791" t="s">
        <v>2067</v>
      </c>
      <c r="L1716" s="761">
        <v>44924</v>
      </c>
      <c r="M1716" s="761" t="s">
        <v>2067</v>
      </c>
      <c r="N1716" s="761">
        <v>44924</v>
      </c>
      <c r="O1716" s="761" t="s">
        <v>62</v>
      </c>
      <c r="P1716" s="3" t="s">
        <v>4949</v>
      </c>
      <c r="Q1716" s="3" t="s">
        <v>4950</v>
      </c>
      <c r="R1716" s="825"/>
      <c r="S1716" s="3" t="s">
        <v>130</v>
      </c>
      <c r="T1716" s="825"/>
      <c r="U1716" s="786">
        <v>278.2</v>
      </c>
      <c r="V1716" s="825"/>
      <c r="W1716" s="825"/>
      <c r="X1716" s="3" t="s">
        <v>2067</v>
      </c>
      <c r="Y1716" s="761">
        <v>44924</v>
      </c>
      <c r="Z1716" s="761" t="s">
        <v>62</v>
      </c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</row>
    <row r="1717" spans="1:39">
      <c r="B1717" s="799">
        <v>1</v>
      </c>
      <c r="C1717" s="949" t="s">
        <v>4303</v>
      </c>
      <c r="D1717" s="787" t="s">
        <v>4951</v>
      </c>
      <c r="E1717" s="12" t="s">
        <v>4952</v>
      </c>
      <c r="F1717" s="749">
        <v>8</v>
      </c>
      <c r="G1717" s="3" t="s">
        <v>128</v>
      </c>
      <c r="H1717" s="3" t="s">
        <v>60</v>
      </c>
      <c r="I1717" s="786">
        <v>465.1</v>
      </c>
      <c r="J1717" s="786">
        <v>253.31</v>
      </c>
      <c r="K1717" s="791" t="s">
        <v>2067</v>
      </c>
      <c r="L1717" s="761">
        <v>44924</v>
      </c>
      <c r="M1717" s="761" t="s">
        <v>2067</v>
      </c>
      <c r="N1717" s="761">
        <v>44924</v>
      </c>
      <c r="O1717" s="761" t="s">
        <v>62</v>
      </c>
      <c r="P1717" s="3" t="s">
        <v>4953</v>
      </c>
      <c r="Q1717" s="3" t="s">
        <v>4954</v>
      </c>
      <c r="R1717" s="825"/>
      <c r="S1717" s="3" t="s">
        <v>130</v>
      </c>
      <c r="T1717" s="825"/>
      <c r="U1717" s="786">
        <v>276.10000000000002</v>
      </c>
      <c r="V1717" s="825"/>
      <c r="W1717" s="825"/>
      <c r="X1717" s="3" t="s">
        <v>2067</v>
      </c>
      <c r="Y1717" s="761">
        <v>44924</v>
      </c>
      <c r="Z1717" s="761" t="s">
        <v>62</v>
      </c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</row>
    <row r="1718" spans="1:39">
      <c r="B1718" s="799">
        <v>1</v>
      </c>
      <c r="C1718" s="949" t="s">
        <v>4303</v>
      </c>
      <c r="D1718" s="787" t="s">
        <v>4955</v>
      </c>
      <c r="E1718" s="12" t="s">
        <v>4956</v>
      </c>
      <c r="F1718" s="749">
        <v>9</v>
      </c>
      <c r="G1718" s="3" t="s">
        <v>128</v>
      </c>
      <c r="H1718" s="3" t="s">
        <v>60</v>
      </c>
      <c r="I1718" s="786">
        <f>154.4+152.3+156.1</f>
        <v>462.80000000000007</v>
      </c>
      <c r="J1718" s="786">
        <v>260.08999999999997</v>
      </c>
      <c r="K1718" s="3" t="s">
        <v>2067</v>
      </c>
      <c r="L1718" s="761">
        <v>44925</v>
      </c>
      <c r="M1718" s="761" t="s">
        <v>2067</v>
      </c>
      <c r="N1718" s="761">
        <v>44925</v>
      </c>
      <c r="O1718" s="761" t="s">
        <v>62</v>
      </c>
      <c r="P1718" s="3" t="s">
        <v>4957</v>
      </c>
      <c r="Q1718" s="3" t="s">
        <v>4958</v>
      </c>
      <c r="R1718" s="825"/>
      <c r="S1718" s="3" t="s">
        <v>130</v>
      </c>
      <c r="T1718" s="825"/>
      <c r="U1718" s="786">
        <v>282.10000000000002</v>
      </c>
      <c r="V1718" s="825"/>
      <c r="W1718" s="825"/>
      <c r="X1718" s="3" t="s">
        <v>2067</v>
      </c>
      <c r="Y1718" s="761">
        <v>44925</v>
      </c>
      <c r="Z1718" s="761" t="s">
        <v>62</v>
      </c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</row>
    <row r="1719" spans="1:39" s="707" customFormat="1">
      <c r="A1719"/>
      <c r="B1719" s="951" t="s">
        <v>13</v>
      </c>
      <c r="C1719" s="952" t="s">
        <v>1723</v>
      </c>
      <c r="D1719" s="876"/>
      <c r="E1719" s="875"/>
      <c r="F1719" s="808"/>
      <c r="G1719" s="880" t="s">
        <v>3391</v>
      </c>
      <c r="H1719" s="880" t="s">
        <v>4922</v>
      </c>
      <c r="I1719" s="880" t="s">
        <v>3391</v>
      </c>
      <c r="J1719" s="880" t="s">
        <v>4922</v>
      </c>
      <c r="K1719" s="807"/>
      <c r="L1719" s="819"/>
      <c r="M1719" s="819"/>
      <c r="N1719" s="819"/>
      <c r="O1719" s="819"/>
      <c r="P1719" s="807"/>
      <c r="Q1719" s="807"/>
      <c r="R1719" s="807"/>
      <c r="S1719" s="807"/>
      <c r="T1719" s="807"/>
      <c r="U1719" s="820"/>
      <c r="V1719" s="807"/>
      <c r="W1719" s="807"/>
      <c r="X1719" s="807"/>
      <c r="Y1719" s="819"/>
      <c r="Z1719" s="819"/>
      <c r="AA1719" s="710"/>
      <c r="AB1719" s="710"/>
      <c r="AC1719" s="710"/>
      <c r="AD1719" s="710"/>
      <c r="AE1719" s="710"/>
      <c r="AF1719" s="710"/>
      <c r="AG1719" s="710"/>
      <c r="AH1719" s="710"/>
      <c r="AI1719" s="710"/>
      <c r="AJ1719" s="710"/>
      <c r="AK1719" s="710"/>
      <c r="AL1719" s="710"/>
      <c r="AM1719" s="710"/>
    </row>
    <row r="1720" spans="1:39">
      <c r="B1720" s="799">
        <v>2</v>
      </c>
      <c r="C1720" s="949" t="s">
        <v>4303</v>
      </c>
      <c r="D1720" s="3">
        <v>200100816</v>
      </c>
      <c r="E1720" s="1469" t="s">
        <v>4959</v>
      </c>
      <c r="F1720" s="749">
        <v>1</v>
      </c>
      <c r="G1720" s="3" t="s">
        <v>128</v>
      </c>
      <c r="H1720" s="3" t="s">
        <v>128</v>
      </c>
      <c r="I1720" s="786">
        <v>460.8</v>
      </c>
      <c r="J1720" s="786">
        <v>253.78</v>
      </c>
      <c r="K1720" s="3" t="s">
        <v>2094</v>
      </c>
      <c r="L1720" s="761">
        <v>44944</v>
      </c>
      <c r="M1720" s="3" t="s">
        <v>2094</v>
      </c>
      <c r="N1720" s="761">
        <v>44944</v>
      </c>
      <c r="O1720" s="761" t="s">
        <v>62</v>
      </c>
      <c r="P1720" s="3" t="s">
        <v>4960</v>
      </c>
      <c r="Q1720" s="3" t="s">
        <v>4961</v>
      </c>
      <c r="R1720" s="825"/>
      <c r="S1720" s="3" t="s">
        <v>130</v>
      </c>
      <c r="T1720" s="825"/>
      <c r="U1720" s="859">
        <v>276.2</v>
      </c>
      <c r="V1720" s="825"/>
      <c r="W1720" s="825"/>
      <c r="X1720" s="3" t="s">
        <v>2094</v>
      </c>
      <c r="Y1720" s="761">
        <v>44946</v>
      </c>
      <c r="Z1720" s="761" t="s">
        <v>62</v>
      </c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</row>
    <row r="1721" spans="1:39">
      <c r="B1721" s="799">
        <v>2</v>
      </c>
      <c r="C1721" s="949" t="s">
        <v>4303</v>
      </c>
      <c r="D1721" s="3">
        <v>200100817</v>
      </c>
      <c r="E1721" s="1469" t="s">
        <v>4962</v>
      </c>
      <c r="F1721" s="749">
        <v>2</v>
      </c>
      <c r="G1721" s="3" t="s">
        <v>128</v>
      </c>
      <c r="H1721" s="3" t="s">
        <v>128</v>
      </c>
      <c r="I1721" s="786">
        <v>463.8</v>
      </c>
      <c r="J1721" s="786">
        <v>258.05</v>
      </c>
      <c r="K1721" s="3" t="s">
        <v>2094</v>
      </c>
      <c r="L1721" s="761">
        <v>44944</v>
      </c>
      <c r="M1721" s="3" t="s">
        <v>2094</v>
      </c>
      <c r="N1721" s="761">
        <v>44944</v>
      </c>
      <c r="O1721" s="761" t="s">
        <v>62</v>
      </c>
      <c r="P1721" s="3" t="s">
        <v>4963</v>
      </c>
      <c r="Q1721" s="3" t="s">
        <v>4964</v>
      </c>
      <c r="R1721" s="825"/>
      <c r="S1721" s="3" t="s">
        <v>130</v>
      </c>
      <c r="T1721" s="825"/>
      <c r="U1721" s="859">
        <v>280.8</v>
      </c>
      <c r="V1721" s="825"/>
      <c r="W1721" s="825"/>
      <c r="X1721" s="3" t="s">
        <v>2094</v>
      </c>
      <c r="Y1721" s="761">
        <v>44946</v>
      </c>
      <c r="Z1721" s="761" t="s">
        <v>62</v>
      </c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</row>
    <row r="1722" spans="1:39">
      <c r="B1722" s="799">
        <v>2</v>
      </c>
      <c r="C1722" s="949" t="s">
        <v>4303</v>
      </c>
      <c r="D1722" s="3">
        <v>200100818</v>
      </c>
      <c r="E1722" s="1469" t="s">
        <v>4965</v>
      </c>
      <c r="F1722" s="749">
        <v>3</v>
      </c>
      <c r="G1722" s="3" t="s">
        <v>128</v>
      </c>
      <c r="H1722" s="3" t="s">
        <v>128</v>
      </c>
      <c r="I1722" s="786">
        <v>462.5</v>
      </c>
      <c r="J1722" s="859">
        <v>255.27</v>
      </c>
      <c r="K1722" s="3" t="s">
        <v>2094</v>
      </c>
      <c r="L1722" s="761">
        <v>44944</v>
      </c>
      <c r="M1722" s="761" t="s">
        <v>2094</v>
      </c>
      <c r="N1722" s="761">
        <v>44946</v>
      </c>
      <c r="O1722" s="761" t="s">
        <v>62</v>
      </c>
      <c r="P1722" s="3" t="s">
        <v>4966</v>
      </c>
      <c r="Q1722" s="3" t="s">
        <v>4967</v>
      </c>
      <c r="R1722" s="825"/>
      <c r="S1722" s="3" t="s">
        <v>130</v>
      </c>
      <c r="T1722" s="825"/>
      <c r="U1722" s="859">
        <v>277.89999999999998</v>
      </c>
      <c r="V1722" s="825"/>
      <c r="W1722" s="825"/>
      <c r="X1722" s="3" t="s">
        <v>2094</v>
      </c>
      <c r="Y1722" s="761">
        <v>44946</v>
      </c>
      <c r="Z1722" s="761" t="s">
        <v>62</v>
      </c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</row>
    <row r="1723" spans="1:39">
      <c r="B1723" s="799">
        <v>2</v>
      </c>
      <c r="C1723" s="949" t="s">
        <v>4303</v>
      </c>
      <c r="D1723" s="3">
        <v>200100819</v>
      </c>
      <c r="E1723" s="1469" t="s">
        <v>4968</v>
      </c>
      <c r="F1723" s="749">
        <v>4</v>
      </c>
      <c r="G1723" s="3" t="s">
        <v>128</v>
      </c>
      <c r="H1723" s="3" t="s">
        <v>128</v>
      </c>
      <c r="I1723" s="786">
        <v>459.3</v>
      </c>
      <c r="J1723" s="859">
        <v>255.98</v>
      </c>
      <c r="K1723" s="3" t="s">
        <v>2094</v>
      </c>
      <c r="L1723" s="761">
        <v>44946</v>
      </c>
      <c r="M1723" s="761" t="s">
        <v>2094</v>
      </c>
      <c r="N1723" s="761">
        <v>44946</v>
      </c>
      <c r="O1723" s="761" t="s">
        <v>62</v>
      </c>
      <c r="P1723" s="828" t="s">
        <v>4969</v>
      </c>
      <c r="Q1723" s="3" t="s">
        <v>4970</v>
      </c>
      <c r="R1723" s="825"/>
      <c r="S1723" s="3" t="s">
        <v>130</v>
      </c>
      <c r="T1723" s="825"/>
      <c r="U1723" s="859">
        <v>279</v>
      </c>
      <c r="V1723" s="825"/>
      <c r="W1723" s="825"/>
      <c r="X1723" s="3" t="s">
        <v>2094</v>
      </c>
      <c r="Y1723" s="761">
        <v>44946</v>
      </c>
      <c r="Z1723" s="761" t="s">
        <v>62</v>
      </c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</row>
    <row r="1724" spans="1:39">
      <c r="B1724" s="799">
        <v>2</v>
      </c>
      <c r="C1724" s="949" t="s">
        <v>4303</v>
      </c>
      <c r="D1724" s="3">
        <v>200100820</v>
      </c>
      <c r="E1724" s="1469" t="s">
        <v>4971</v>
      </c>
      <c r="F1724" s="749">
        <v>5</v>
      </c>
      <c r="G1724" s="3" t="s">
        <v>128</v>
      </c>
      <c r="H1724" s="3" t="s">
        <v>128</v>
      </c>
      <c r="I1724" s="762">
        <v>466.7</v>
      </c>
      <c r="J1724" s="786">
        <v>256.7</v>
      </c>
      <c r="K1724" s="3" t="s">
        <v>2094</v>
      </c>
      <c r="L1724" s="761">
        <v>44946</v>
      </c>
      <c r="M1724" s="761" t="s">
        <v>2094</v>
      </c>
      <c r="N1724" s="761">
        <v>44950</v>
      </c>
      <c r="O1724" s="761" t="s">
        <v>62</v>
      </c>
      <c r="P1724" s="3" t="s">
        <v>4972</v>
      </c>
      <c r="Q1724" s="3" t="s">
        <v>4973</v>
      </c>
      <c r="R1724" s="825"/>
      <c r="S1724" s="3" t="s">
        <v>130</v>
      </c>
      <c r="T1724" s="825"/>
      <c r="U1724" s="859">
        <v>279.2</v>
      </c>
      <c r="V1724" s="825"/>
      <c r="W1724" s="825"/>
      <c r="X1724" s="3" t="s">
        <v>2094</v>
      </c>
      <c r="Y1724" s="761">
        <v>44950</v>
      </c>
      <c r="Z1724" s="761" t="s">
        <v>62</v>
      </c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</row>
    <row r="1725" spans="1:39">
      <c r="B1725" s="799">
        <v>2</v>
      </c>
      <c r="C1725" s="949" t="s">
        <v>4303</v>
      </c>
      <c r="D1725" s="3">
        <v>200100794</v>
      </c>
      <c r="E1725" s="1469" t="s">
        <v>4974</v>
      </c>
      <c r="F1725" s="749">
        <v>6</v>
      </c>
      <c r="G1725" s="3" t="s">
        <v>128</v>
      </c>
      <c r="H1725" s="3" t="s">
        <v>128</v>
      </c>
      <c r="I1725" s="762">
        <v>460</v>
      </c>
      <c r="J1725" s="859">
        <f>125.3+132.4</f>
        <v>257.7</v>
      </c>
      <c r="K1725" s="3" t="s">
        <v>2094</v>
      </c>
      <c r="L1725" s="761">
        <v>44946</v>
      </c>
      <c r="M1725" s="761" t="s">
        <v>2094</v>
      </c>
      <c r="N1725" s="761">
        <v>44950</v>
      </c>
      <c r="O1725" s="761" t="s">
        <v>62</v>
      </c>
      <c r="P1725" s="3" t="s">
        <v>4975</v>
      </c>
      <c r="Q1725" s="3" t="s">
        <v>4720</v>
      </c>
      <c r="R1725" s="825"/>
      <c r="S1725" s="3" t="s">
        <v>130</v>
      </c>
      <c r="T1725" s="825"/>
      <c r="U1725" s="859">
        <v>280.36</v>
      </c>
      <c r="V1725" s="825"/>
      <c r="W1725" s="825"/>
      <c r="X1725" s="3" t="s">
        <v>2094</v>
      </c>
      <c r="Y1725" s="761">
        <v>44950</v>
      </c>
      <c r="Z1725" s="761" t="s">
        <v>62</v>
      </c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</row>
    <row r="1726" spans="1:39">
      <c r="B1726" s="799">
        <v>2</v>
      </c>
      <c r="C1726" s="949" t="s">
        <v>4303</v>
      </c>
      <c r="D1726" s="3">
        <v>200100795</v>
      </c>
      <c r="E1726" s="1469" t="s">
        <v>4976</v>
      </c>
      <c r="F1726" s="749">
        <v>7</v>
      </c>
      <c r="G1726" s="3" t="s">
        <v>128</v>
      </c>
      <c r="H1726" s="3" t="s">
        <v>128</v>
      </c>
      <c r="I1726" s="762">
        <v>465.9</v>
      </c>
      <c r="J1726" s="859">
        <v>253.45</v>
      </c>
      <c r="K1726" s="3" t="s">
        <v>2094</v>
      </c>
      <c r="L1726" s="761">
        <v>44946</v>
      </c>
      <c r="M1726" s="3" t="s">
        <v>2094</v>
      </c>
      <c r="N1726" s="761">
        <v>44951</v>
      </c>
      <c r="O1726" s="761" t="s">
        <v>62</v>
      </c>
      <c r="P1726" s="3" t="s">
        <v>4977</v>
      </c>
      <c r="Q1726" s="3" t="s">
        <v>4978</v>
      </c>
      <c r="R1726" s="825"/>
      <c r="S1726" s="3" t="s">
        <v>130</v>
      </c>
      <c r="T1726" s="825"/>
      <c r="U1726" s="859">
        <v>276.10000000000002</v>
      </c>
      <c r="V1726" s="825"/>
      <c r="W1726" s="825"/>
      <c r="X1726" s="3" t="s">
        <v>2094</v>
      </c>
      <c r="Y1726" s="761">
        <v>44952</v>
      </c>
      <c r="Z1726" s="761" t="s">
        <v>62</v>
      </c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</row>
    <row r="1727" spans="1:39">
      <c r="B1727" s="799">
        <v>2</v>
      </c>
      <c r="C1727" s="949" t="s">
        <v>4303</v>
      </c>
      <c r="D1727" s="3">
        <v>200100796</v>
      </c>
      <c r="E1727" s="1469" t="s">
        <v>4979</v>
      </c>
      <c r="F1727" s="749">
        <v>8</v>
      </c>
      <c r="G1727" s="3" t="s">
        <v>128</v>
      </c>
      <c r="H1727" s="3" t="s">
        <v>128</v>
      </c>
      <c r="I1727" s="762">
        <v>459.8</v>
      </c>
      <c r="J1727" s="859">
        <v>258.26</v>
      </c>
      <c r="K1727" s="3" t="s">
        <v>2094</v>
      </c>
      <c r="L1727" s="761">
        <v>44952</v>
      </c>
      <c r="M1727" s="3" t="s">
        <v>2094</v>
      </c>
      <c r="N1727" s="761">
        <v>44951</v>
      </c>
      <c r="O1727" s="761" t="s">
        <v>62</v>
      </c>
      <c r="P1727" s="3" t="s">
        <v>4980</v>
      </c>
      <c r="Q1727" s="3" t="s">
        <v>4981</v>
      </c>
      <c r="R1727" s="825"/>
      <c r="S1727" s="3" t="s">
        <v>130</v>
      </c>
      <c r="T1727" s="825"/>
      <c r="U1727" s="859">
        <v>281</v>
      </c>
      <c r="V1727" s="825"/>
      <c r="W1727" s="825"/>
      <c r="X1727" s="3" t="s">
        <v>2094</v>
      </c>
      <c r="Y1727" s="761">
        <v>44952</v>
      </c>
      <c r="Z1727" s="761" t="s">
        <v>62</v>
      </c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</row>
    <row r="1728" spans="1:39">
      <c r="B1728" s="799">
        <v>2</v>
      </c>
      <c r="C1728" s="949" t="s">
        <v>4303</v>
      </c>
      <c r="D1728" s="3">
        <v>200100797</v>
      </c>
      <c r="E1728" s="1469" t="s">
        <v>4982</v>
      </c>
      <c r="F1728" s="749">
        <v>9</v>
      </c>
      <c r="G1728" s="3" t="s">
        <v>128</v>
      </c>
      <c r="H1728" s="3" t="s">
        <v>128</v>
      </c>
      <c r="I1728" s="762">
        <v>462.2</v>
      </c>
      <c r="J1728" s="786">
        <v>255.33</v>
      </c>
      <c r="K1728" s="3" t="s">
        <v>2094</v>
      </c>
      <c r="L1728" s="761">
        <v>44952</v>
      </c>
      <c r="M1728" s="3" t="s">
        <v>2094</v>
      </c>
      <c r="N1728" s="761">
        <v>44951</v>
      </c>
      <c r="O1728" s="761" t="s">
        <v>62</v>
      </c>
      <c r="P1728" s="3" t="s">
        <v>4983</v>
      </c>
      <c r="Q1728" s="3" t="s">
        <v>4984</v>
      </c>
      <c r="R1728" s="825"/>
      <c r="S1728" s="3" t="s">
        <v>130</v>
      </c>
      <c r="T1728" s="825"/>
      <c r="U1728" s="786">
        <v>278.11</v>
      </c>
      <c r="V1728" s="825"/>
      <c r="W1728" s="825"/>
      <c r="X1728" s="3" t="s">
        <v>2094</v>
      </c>
      <c r="Y1728" s="761">
        <v>44952</v>
      </c>
      <c r="Z1728" s="761" t="s">
        <v>62</v>
      </c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</row>
    <row r="1729" spans="1:39">
      <c r="B1729" s="799">
        <v>2</v>
      </c>
      <c r="C1729" s="949" t="s">
        <v>4303</v>
      </c>
      <c r="D1729" s="3">
        <v>200100798</v>
      </c>
      <c r="E1729" s="1469" t="s">
        <v>4985</v>
      </c>
      <c r="F1729" s="749">
        <v>10</v>
      </c>
      <c r="G1729" s="3" t="s">
        <v>128</v>
      </c>
      <c r="H1729" s="3" t="s">
        <v>128</v>
      </c>
      <c r="I1729" s="762">
        <v>462.11</v>
      </c>
      <c r="J1729" s="786">
        <v>259.33</v>
      </c>
      <c r="K1729" s="3" t="s">
        <v>2094</v>
      </c>
      <c r="L1729" s="761">
        <v>44952</v>
      </c>
      <c r="M1729" s="3" t="s">
        <v>2094</v>
      </c>
      <c r="N1729" s="761">
        <v>44951</v>
      </c>
      <c r="O1729" s="761" t="s">
        <v>62</v>
      </c>
      <c r="P1729" s="3" t="s">
        <v>4986</v>
      </c>
      <c r="Q1729" s="3" t="s">
        <v>4987</v>
      </c>
      <c r="R1729" s="825"/>
      <c r="S1729" s="3" t="s">
        <v>130</v>
      </c>
      <c r="T1729" s="825"/>
      <c r="U1729" s="786">
        <v>282.22000000000003</v>
      </c>
      <c r="V1729" s="825"/>
      <c r="W1729" s="825"/>
      <c r="X1729" s="3" t="s">
        <v>2094</v>
      </c>
      <c r="Y1729" s="761">
        <v>44952</v>
      </c>
      <c r="Z1729" s="761" t="s">
        <v>62</v>
      </c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</row>
    <row r="1730" spans="1:39">
      <c r="B1730" s="799">
        <v>2</v>
      </c>
      <c r="C1730" s="949" t="s">
        <v>4303</v>
      </c>
      <c r="D1730" s="3">
        <v>200100799</v>
      </c>
      <c r="E1730" s="1469" t="s">
        <v>4988</v>
      </c>
      <c r="F1730" s="749">
        <v>11</v>
      </c>
      <c r="G1730" s="3" t="s">
        <v>128</v>
      </c>
      <c r="H1730" s="3" t="s">
        <v>128</v>
      </c>
      <c r="I1730" s="786">
        <v>459.6</v>
      </c>
      <c r="J1730" s="859">
        <v>254.75</v>
      </c>
      <c r="K1730" s="3" t="s">
        <v>2094</v>
      </c>
      <c r="L1730" s="761">
        <v>44953</v>
      </c>
      <c r="M1730" s="761" t="s">
        <v>2094</v>
      </c>
      <c r="N1730" s="761">
        <v>44953</v>
      </c>
      <c r="O1730" s="761" t="s">
        <v>62</v>
      </c>
      <c r="P1730" s="3" t="s">
        <v>4989</v>
      </c>
      <c r="Q1730" s="3" t="s">
        <v>4990</v>
      </c>
      <c r="R1730" s="825"/>
      <c r="S1730" s="3" t="s">
        <v>130</v>
      </c>
      <c r="T1730" s="825"/>
      <c r="U1730" s="786">
        <v>277.5</v>
      </c>
      <c r="V1730" s="825"/>
      <c r="W1730" s="825"/>
      <c r="X1730" s="3" t="s">
        <v>2094</v>
      </c>
      <c r="Y1730" s="761">
        <v>44957</v>
      </c>
      <c r="Z1730" s="761" t="s">
        <v>62</v>
      </c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</row>
    <row r="1731" spans="1:39">
      <c r="B1731" s="799">
        <v>2</v>
      </c>
      <c r="C1731" s="949" t="s">
        <v>4303</v>
      </c>
      <c r="D1731" s="3">
        <v>200100880</v>
      </c>
      <c r="E1731" s="1469" t="s">
        <v>4991</v>
      </c>
      <c r="F1731" s="749">
        <v>12</v>
      </c>
      <c r="G1731" s="3" t="s">
        <v>60</v>
      </c>
      <c r="H1731" s="3" t="s">
        <v>128</v>
      </c>
      <c r="I1731" s="786">
        <v>464</v>
      </c>
      <c r="J1731" s="786">
        <v>254.5</v>
      </c>
      <c r="K1731" s="3" t="s">
        <v>2094</v>
      </c>
      <c r="L1731" s="761">
        <v>44957</v>
      </c>
      <c r="M1731" s="761" t="s">
        <v>2094</v>
      </c>
      <c r="N1731" s="761">
        <v>44957</v>
      </c>
      <c r="O1731" s="761" t="s">
        <v>62</v>
      </c>
      <c r="P1731" s="3" t="s">
        <v>4992</v>
      </c>
      <c r="Q1731" s="3" t="s">
        <v>4993</v>
      </c>
      <c r="R1731" s="825"/>
      <c r="S1731" s="3" t="s">
        <v>130</v>
      </c>
      <c r="T1731" s="825"/>
      <c r="U1731" s="859">
        <v>277.10000000000002</v>
      </c>
      <c r="V1731" s="825"/>
      <c r="W1731" s="825"/>
      <c r="X1731" s="3" t="s">
        <v>2094</v>
      </c>
      <c r="Y1731" s="761">
        <v>44957</v>
      </c>
      <c r="Z1731" s="761" t="s">
        <v>62</v>
      </c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</row>
    <row r="1732" spans="1:39">
      <c r="B1732" s="799">
        <v>2</v>
      </c>
      <c r="C1732" s="949" t="s">
        <v>4303</v>
      </c>
      <c r="D1732" s="6">
        <v>200100963</v>
      </c>
      <c r="E1732" s="1469" t="s">
        <v>4994</v>
      </c>
      <c r="F1732" s="749">
        <v>13</v>
      </c>
      <c r="G1732" s="3" t="s">
        <v>60</v>
      </c>
      <c r="H1732" s="3" t="s">
        <v>128</v>
      </c>
      <c r="I1732" s="786">
        <v>462.8</v>
      </c>
      <c r="J1732" s="786">
        <v>256.64</v>
      </c>
      <c r="K1732" s="3" t="s">
        <v>2094</v>
      </c>
      <c r="L1732" s="761">
        <v>44957</v>
      </c>
      <c r="M1732" s="761" t="s">
        <v>2094</v>
      </c>
      <c r="N1732" s="761">
        <v>44957</v>
      </c>
      <c r="O1732" s="761" t="s">
        <v>62</v>
      </c>
      <c r="P1732" s="3" t="s">
        <v>4995</v>
      </c>
      <c r="Q1732" s="3" t="s">
        <v>4500</v>
      </c>
      <c r="R1732" s="825"/>
      <c r="S1732" s="3" t="s">
        <v>130</v>
      </c>
      <c r="T1732" s="825"/>
      <c r="U1732" s="859">
        <v>279.2</v>
      </c>
      <c r="V1732" s="825"/>
      <c r="W1732" s="825"/>
      <c r="X1732" s="3" t="s">
        <v>2094</v>
      </c>
      <c r="Y1732" s="761">
        <v>44957</v>
      </c>
      <c r="Z1732" s="761" t="s">
        <v>62</v>
      </c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</row>
    <row r="1733" spans="1:39">
      <c r="B1733" s="799">
        <v>2</v>
      </c>
      <c r="C1733" s="949" t="s">
        <v>4303</v>
      </c>
      <c r="D1733" s="6">
        <v>200100964</v>
      </c>
      <c r="E1733" s="1469" t="s">
        <v>4996</v>
      </c>
      <c r="F1733" s="749">
        <v>14</v>
      </c>
      <c r="G1733" s="3" t="s">
        <v>128</v>
      </c>
      <c r="H1733" s="3" t="s">
        <v>128</v>
      </c>
      <c r="I1733" s="786">
        <v>464.7</v>
      </c>
      <c r="J1733" s="859">
        <v>259.98</v>
      </c>
      <c r="K1733" s="3" t="s">
        <v>2125</v>
      </c>
      <c r="L1733" s="761">
        <v>44958</v>
      </c>
      <c r="M1733" s="761" t="s">
        <v>2094</v>
      </c>
      <c r="N1733" s="761">
        <v>44957</v>
      </c>
      <c r="O1733" s="761" t="s">
        <v>62</v>
      </c>
      <c r="P1733" s="3" t="s">
        <v>4997</v>
      </c>
      <c r="Q1733" s="3" t="s">
        <v>4096</v>
      </c>
      <c r="R1733" s="825"/>
      <c r="S1733" s="3" t="s">
        <v>130</v>
      </c>
      <c r="T1733" s="825"/>
      <c r="U1733" s="859">
        <v>282.60000000000002</v>
      </c>
      <c r="V1733" s="825"/>
      <c r="W1733" s="825"/>
      <c r="X1733" s="3" t="s">
        <v>2094</v>
      </c>
      <c r="Y1733" s="761">
        <v>44957</v>
      </c>
      <c r="Z1733" s="761" t="s">
        <v>62</v>
      </c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</row>
    <row r="1734" spans="1:39">
      <c r="B1734" s="799">
        <v>2</v>
      </c>
      <c r="C1734" s="949" t="s">
        <v>4303</v>
      </c>
      <c r="D1734" s="6">
        <v>200100965</v>
      </c>
      <c r="E1734" s="1469" t="s">
        <v>4998</v>
      </c>
      <c r="F1734" s="749">
        <v>15</v>
      </c>
      <c r="G1734" s="3" t="s">
        <v>128</v>
      </c>
      <c r="H1734" s="3" t="s">
        <v>128</v>
      </c>
      <c r="I1734" s="786">
        <v>470</v>
      </c>
      <c r="J1734" s="859">
        <v>260.45999999999998</v>
      </c>
      <c r="K1734" s="3" t="s">
        <v>2125</v>
      </c>
      <c r="L1734" s="761">
        <v>44958</v>
      </c>
      <c r="M1734" s="761" t="s">
        <v>2094</v>
      </c>
      <c r="N1734" s="761">
        <v>44957</v>
      </c>
      <c r="O1734" s="761" t="s">
        <v>62</v>
      </c>
      <c r="P1734" s="3" t="s">
        <v>4999</v>
      </c>
      <c r="Q1734" s="3" t="s">
        <v>1074</v>
      </c>
      <c r="R1734" s="825"/>
      <c r="S1734" s="3" t="s">
        <v>130</v>
      </c>
      <c r="T1734" s="825"/>
      <c r="U1734" s="859">
        <v>283.5</v>
      </c>
      <c r="V1734" s="825"/>
      <c r="W1734" s="825"/>
      <c r="X1734" s="3" t="s">
        <v>2094</v>
      </c>
      <c r="Y1734" s="761">
        <v>44957</v>
      </c>
      <c r="Z1734" s="761" t="s">
        <v>62</v>
      </c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</row>
    <row r="1735" spans="1:39">
      <c r="B1735" s="799">
        <v>2</v>
      </c>
      <c r="C1735" s="949" t="s">
        <v>4303</v>
      </c>
      <c r="D1735" s="6">
        <v>200100966</v>
      </c>
      <c r="E1735" s="1469" t="s">
        <v>5000</v>
      </c>
      <c r="F1735" s="749">
        <v>16</v>
      </c>
      <c r="G1735" s="3" t="s">
        <v>128</v>
      </c>
      <c r="H1735" s="3" t="s">
        <v>128</v>
      </c>
      <c r="I1735" s="786">
        <v>461.3</v>
      </c>
      <c r="J1735" s="786">
        <v>253.47</v>
      </c>
      <c r="K1735" s="3" t="s">
        <v>2125</v>
      </c>
      <c r="L1735" s="761">
        <v>44958</v>
      </c>
      <c r="M1735" s="761" t="s">
        <v>2125</v>
      </c>
      <c r="N1735" s="761">
        <v>44959</v>
      </c>
      <c r="O1735" s="761" t="s">
        <v>62</v>
      </c>
      <c r="P1735" s="3" t="s">
        <v>5001</v>
      </c>
      <c r="Q1735" s="3" t="s">
        <v>5002</v>
      </c>
      <c r="R1735" s="825"/>
      <c r="S1735" s="3" t="s">
        <v>130</v>
      </c>
      <c r="T1735" s="825"/>
      <c r="U1735" s="786">
        <v>276.10000000000002</v>
      </c>
      <c r="V1735" s="825"/>
      <c r="W1735" s="825"/>
      <c r="X1735" s="3" t="s">
        <v>2125</v>
      </c>
      <c r="Y1735" s="761">
        <v>44959</v>
      </c>
      <c r="Z1735" s="761" t="s">
        <v>62</v>
      </c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</row>
    <row r="1736" spans="1:39">
      <c r="B1736" s="799">
        <v>2</v>
      </c>
      <c r="C1736" s="949" t="s">
        <v>4303</v>
      </c>
      <c r="D1736" s="6">
        <v>200100967</v>
      </c>
      <c r="E1736" s="1469" t="s">
        <v>5003</v>
      </c>
      <c r="F1736" s="749">
        <v>17</v>
      </c>
      <c r="G1736" s="3" t="s">
        <v>128</v>
      </c>
      <c r="H1736" s="3" t="s">
        <v>128</v>
      </c>
      <c r="I1736" s="786">
        <v>468.8</v>
      </c>
      <c r="J1736" s="786">
        <v>259.24</v>
      </c>
      <c r="K1736" s="3" t="s">
        <v>2125</v>
      </c>
      <c r="L1736" s="761">
        <v>44959</v>
      </c>
      <c r="M1736" s="761" t="s">
        <v>2125</v>
      </c>
      <c r="N1736" s="761">
        <v>44959</v>
      </c>
      <c r="O1736" s="761" t="s">
        <v>62</v>
      </c>
      <c r="P1736" s="3" t="s">
        <v>5004</v>
      </c>
      <c r="Q1736" s="3" t="s">
        <v>5005</v>
      </c>
      <c r="R1736" s="825"/>
      <c r="S1736" s="3" t="s">
        <v>130</v>
      </c>
      <c r="T1736" s="825"/>
      <c r="U1736" s="786">
        <v>282.10000000000002</v>
      </c>
      <c r="V1736" s="825"/>
      <c r="W1736" s="825"/>
      <c r="X1736" s="3" t="s">
        <v>2125</v>
      </c>
      <c r="Y1736" s="761">
        <v>44959</v>
      </c>
      <c r="Z1736" s="761" t="s">
        <v>62</v>
      </c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</row>
    <row r="1737" spans="1:39" s="707" customFormat="1">
      <c r="A1737"/>
      <c r="B1737" s="951" t="s">
        <v>13</v>
      </c>
      <c r="C1737" s="952" t="s">
        <v>1716</v>
      </c>
      <c r="D1737" s="862"/>
      <c r="E1737" s="807"/>
      <c r="F1737" s="808"/>
      <c r="G1737" s="880" t="s">
        <v>3391</v>
      </c>
      <c r="H1737" s="880" t="s">
        <v>4922</v>
      </c>
      <c r="I1737" s="880" t="s">
        <v>3391</v>
      </c>
      <c r="J1737" s="880" t="s">
        <v>4922</v>
      </c>
      <c r="K1737" s="807"/>
      <c r="L1737" s="819"/>
      <c r="M1737" s="819"/>
      <c r="N1737" s="819"/>
      <c r="O1737" s="819"/>
      <c r="P1737" s="807"/>
      <c r="Q1737" s="807"/>
      <c r="R1737" s="807"/>
      <c r="S1737" s="807"/>
      <c r="T1737" s="807"/>
      <c r="U1737" s="820"/>
      <c r="V1737" s="807"/>
      <c r="W1737" s="807"/>
      <c r="X1737" s="819"/>
      <c r="Y1737" s="819"/>
      <c r="Z1737" s="819"/>
      <c r="AA1737" s="710"/>
      <c r="AB1737" s="710"/>
      <c r="AC1737" s="710"/>
      <c r="AD1737" s="710"/>
      <c r="AE1737" s="710"/>
      <c r="AF1737" s="710"/>
      <c r="AG1737" s="710"/>
      <c r="AH1737" s="710"/>
      <c r="AI1737" s="710"/>
      <c r="AJ1737" s="710"/>
      <c r="AK1737" s="710"/>
      <c r="AL1737" s="710"/>
      <c r="AM1737" s="710"/>
    </row>
    <row r="1738" spans="1:39">
      <c r="B1738" s="799" t="s">
        <v>213</v>
      </c>
      <c r="C1738" s="949" t="s">
        <v>4303</v>
      </c>
      <c r="D1738" s="6">
        <v>200101145</v>
      </c>
      <c r="E1738" s="1469" t="s">
        <v>5006</v>
      </c>
      <c r="F1738" s="749">
        <v>1</v>
      </c>
      <c r="G1738" s="3" t="s">
        <v>128</v>
      </c>
      <c r="H1738" s="3" t="s">
        <v>60</v>
      </c>
      <c r="I1738" s="786">
        <v>464.9</v>
      </c>
      <c r="J1738" s="786">
        <v>253.95</v>
      </c>
      <c r="K1738" s="3" t="s">
        <v>2125</v>
      </c>
      <c r="L1738" s="761">
        <v>44973</v>
      </c>
      <c r="M1738" s="761" t="s">
        <v>2125</v>
      </c>
      <c r="N1738" s="761">
        <v>44974</v>
      </c>
      <c r="O1738" s="761" t="s">
        <v>62</v>
      </c>
      <c r="P1738" s="3" t="s">
        <v>5007</v>
      </c>
      <c r="Q1738" s="3" t="s">
        <v>5008</v>
      </c>
      <c r="R1738" s="825"/>
      <c r="S1738" s="3" t="s">
        <v>130</v>
      </c>
      <c r="T1738" s="825"/>
      <c r="U1738" s="786">
        <v>276.8</v>
      </c>
      <c r="V1738" s="825"/>
      <c r="W1738" s="825"/>
      <c r="X1738" s="3" t="s">
        <v>2125</v>
      </c>
      <c r="Y1738" s="761">
        <v>44974</v>
      </c>
      <c r="Z1738" s="761" t="s">
        <v>62</v>
      </c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</row>
    <row r="1739" spans="1:39">
      <c r="B1739" s="799" t="s">
        <v>213</v>
      </c>
      <c r="C1739" s="949" t="s">
        <v>4303</v>
      </c>
      <c r="D1739" s="6">
        <v>200101146</v>
      </c>
      <c r="E1739" s="1469" t="s">
        <v>5009</v>
      </c>
      <c r="F1739" s="749">
        <v>2</v>
      </c>
      <c r="G1739" s="3" t="s">
        <v>128</v>
      </c>
      <c r="H1739" s="3" t="s">
        <v>60</v>
      </c>
      <c r="I1739" s="786">
        <v>465.8</v>
      </c>
      <c r="J1739" s="786">
        <v>259</v>
      </c>
      <c r="K1739" s="3" t="s">
        <v>2125</v>
      </c>
      <c r="L1739" s="761">
        <v>44973</v>
      </c>
      <c r="M1739" s="761" t="s">
        <v>2125</v>
      </c>
      <c r="N1739" s="761">
        <v>44974</v>
      </c>
      <c r="O1739" s="761" t="s">
        <v>62</v>
      </c>
      <c r="P1739" s="3" t="s">
        <v>5010</v>
      </c>
      <c r="Q1739" s="3" t="s">
        <v>4669</v>
      </c>
      <c r="R1739" s="825"/>
      <c r="S1739" s="3" t="s">
        <v>130</v>
      </c>
      <c r="T1739" s="825"/>
      <c r="U1739" s="786">
        <v>281.89999999999998</v>
      </c>
      <c r="V1739" s="825"/>
      <c r="W1739" s="825"/>
      <c r="X1739" s="3" t="s">
        <v>2125</v>
      </c>
      <c r="Y1739" s="761">
        <v>44974</v>
      </c>
      <c r="Z1739" s="761" t="s">
        <v>62</v>
      </c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</row>
    <row r="1740" spans="1:39">
      <c r="B1740" s="799" t="s">
        <v>213</v>
      </c>
      <c r="C1740" s="949" t="s">
        <v>4303</v>
      </c>
      <c r="D1740" s="6">
        <v>200101147</v>
      </c>
      <c r="E1740" s="1469" t="s">
        <v>5011</v>
      </c>
      <c r="F1740" s="749">
        <v>3</v>
      </c>
      <c r="G1740" s="3" t="s">
        <v>128</v>
      </c>
      <c r="H1740" s="3" t="s">
        <v>60</v>
      </c>
      <c r="I1740" s="786">
        <v>463.7</v>
      </c>
      <c r="J1740" s="786">
        <v>252.54</v>
      </c>
      <c r="K1740" s="3" t="s">
        <v>2125</v>
      </c>
      <c r="L1740" s="761">
        <v>44973</v>
      </c>
      <c r="M1740" s="761" t="s">
        <v>2125</v>
      </c>
      <c r="N1740" s="761">
        <v>44977</v>
      </c>
      <c r="O1740" s="761" t="s">
        <v>62</v>
      </c>
      <c r="P1740" s="3" t="s">
        <v>5012</v>
      </c>
      <c r="Q1740" s="3" t="s">
        <v>5013</v>
      </c>
      <c r="R1740" s="825"/>
      <c r="S1740" s="3" t="s">
        <v>130</v>
      </c>
      <c r="T1740" s="825"/>
      <c r="U1740" s="786">
        <v>275.39999999999998</v>
      </c>
      <c r="V1740" s="825"/>
      <c r="W1740" s="825"/>
      <c r="X1740" s="3" t="s">
        <v>2125</v>
      </c>
      <c r="Y1740" s="761">
        <v>44977</v>
      </c>
      <c r="Z1740" s="761" t="s">
        <v>62</v>
      </c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</row>
    <row r="1741" spans="1:39">
      <c r="B1741" s="799" t="s">
        <v>213</v>
      </c>
      <c r="C1741" s="949" t="s">
        <v>4303</v>
      </c>
      <c r="D1741" s="6">
        <v>200101148</v>
      </c>
      <c r="E1741" s="1469" t="s">
        <v>5014</v>
      </c>
      <c r="F1741" s="749">
        <v>4</v>
      </c>
      <c r="G1741" s="3" t="s">
        <v>128</v>
      </c>
      <c r="H1741" s="3" t="s">
        <v>60</v>
      </c>
      <c r="I1741" s="3">
        <v>467.6</v>
      </c>
      <c r="J1741" s="786">
        <v>258.13</v>
      </c>
      <c r="K1741" s="3" t="s">
        <v>2125</v>
      </c>
      <c r="L1741" s="761">
        <v>44977</v>
      </c>
      <c r="M1741" s="761" t="s">
        <v>2125</v>
      </c>
      <c r="N1741" s="761">
        <v>44977</v>
      </c>
      <c r="O1741" s="761" t="s">
        <v>62</v>
      </c>
      <c r="P1741" s="3" t="s">
        <v>5015</v>
      </c>
      <c r="Q1741" s="3" t="s">
        <v>5016</v>
      </c>
      <c r="R1741" s="825"/>
      <c r="S1741" s="3" t="s">
        <v>130</v>
      </c>
      <c r="T1741" s="825"/>
      <c r="U1741" s="786">
        <v>280.7</v>
      </c>
      <c r="V1741" s="825"/>
      <c r="W1741" s="825"/>
      <c r="X1741" s="3" t="s">
        <v>2125</v>
      </c>
      <c r="Y1741" s="761">
        <v>44977</v>
      </c>
      <c r="Z1741" s="761" t="s">
        <v>62</v>
      </c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</row>
    <row r="1742" spans="1:39">
      <c r="B1742" s="799" t="s">
        <v>213</v>
      </c>
      <c r="C1742" s="949" t="s">
        <v>4303</v>
      </c>
      <c r="D1742" s="6">
        <v>200101149</v>
      </c>
      <c r="E1742" s="1469" t="s">
        <v>5017</v>
      </c>
      <c r="F1742" s="749">
        <v>5</v>
      </c>
      <c r="G1742" s="3" t="s">
        <v>1726</v>
      </c>
      <c r="H1742" s="3" t="s">
        <v>60</v>
      </c>
      <c r="I1742" s="786">
        <v>465.6</v>
      </c>
      <c r="J1742" s="786">
        <v>263.36</v>
      </c>
      <c r="K1742" s="3" t="s">
        <v>2125</v>
      </c>
      <c r="L1742" s="761">
        <v>44978</v>
      </c>
      <c r="M1742" s="761" t="s">
        <v>2125</v>
      </c>
      <c r="N1742" s="761">
        <v>44977</v>
      </c>
      <c r="O1742" s="761" t="s">
        <v>62</v>
      </c>
      <c r="P1742" s="3" t="s">
        <v>5018</v>
      </c>
      <c r="Q1742" s="3" t="s">
        <v>4696</v>
      </c>
      <c r="R1742" s="825"/>
      <c r="S1742" s="3" t="s">
        <v>130</v>
      </c>
      <c r="T1742" s="825"/>
      <c r="U1742" s="786">
        <v>286.10000000000002</v>
      </c>
      <c r="V1742" s="825"/>
      <c r="W1742" s="825"/>
      <c r="X1742" s="3" t="s">
        <v>2125</v>
      </c>
      <c r="Y1742" s="761">
        <v>44978</v>
      </c>
      <c r="Z1742" s="761" t="s">
        <v>62</v>
      </c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</row>
    <row r="1743" spans="1:39">
      <c r="B1743" s="799" t="s">
        <v>213</v>
      </c>
      <c r="C1743" s="949" t="s">
        <v>4303</v>
      </c>
      <c r="D1743" s="6">
        <v>200101150</v>
      </c>
      <c r="E1743" s="1469" t="s">
        <v>5019</v>
      </c>
      <c r="F1743" s="749">
        <v>6</v>
      </c>
      <c r="G1743" s="3" t="s">
        <v>1726</v>
      </c>
      <c r="H1743" s="3" t="s">
        <v>60</v>
      </c>
      <c r="I1743" s="3">
        <v>464.4</v>
      </c>
      <c r="J1743" s="786">
        <v>259.91000000000003</v>
      </c>
      <c r="K1743" s="3" t="s">
        <v>2125</v>
      </c>
      <c r="L1743" s="761">
        <v>44978</v>
      </c>
      <c r="M1743" s="761" t="s">
        <v>2125</v>
      </c>
      <c r="N1743" s="761">
        <v>44977</v>
      </c>
      <c r="O1743" s="761" t="s">
        <v>62</v>
      </c>
      <c r="P1743" s="3" t="s">
        <v>5020</v>
      </c>
      <c r="Q1743" s="3" t="s">
        <v>4141</v>
      </c>
      <c r="R1743" s="825"/>
      <c r="S1743" s="3" t="s">
        <v>130</v>
      </c>
      <c r="T1743" s="825"/>
      <c r="U1743" s="786">
        <v>282.39999999999998</v>
      </c>
      <c r="V1743" s="825"/>
      <c r="W1743" s="825"/>
      <c r="X1743" s="3" t="s">
        <v>2125</v>
      </c>
      <c r="Y1743" s="761">
        <v>44978</v>
      </c>
      <c r="Z1743" s="761" t="s">
        <v>62</v>
      </c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</row>
    <row r="1744" spans="1:39">
      <c r="B1744" s="799" t="s">
        <v>213</v>
      </c>
      <c r="C1744" s="949" t="s">
        <v>4303</v>
      </c>
      <c r="D1744" s="6">
        <v>200101254</v>
      </c>
      <c r="E1744" s="1469" t="s">
        <v>5021</v>
      </c>
      <c r="F1744" s="749">
        <v>7</v>
      </c>
      <c r="G1744" s="3" t="s">
        <v>128</v>
      </c>
      <c r="H1744" s="3" t="s">
        <v>128</v>
      </c>
      <c r="I1744" s="786">
        <v>469.4</v>
      </c>
      <c r="J1744" s="786">
        <v>254.45</v>
      </c>
      <c r="K1744" s="3" t="s">
        <v>1716</v>
      </c>
      <c r="L1744" s="761">
        <v>44995</v>
      </c>
      <c r="M1744" s="761" t="s">
        <v>1716</v>
      </c>
      <c r="N1744" s="761">
        <v>44995</v>
      </c>
      <c r="O1744" s="761" t="s">
        <v>62</v>
      </c>
      <c r="P1744" s="3" t="s">
        <v>5022</v>
      </c>
      <c r="Q1744" s="3" t="s">
        <v>5023</v>
      </c>
      <c r="R1744" s="825"/>
      <c r="S1744" s="3" t="s">
        <v>130</v>
      </c>
      <c r="T1744" s="825"/>
      <c r="U1744" s="786">
        <v>277.60000000000002</v>
      </c>
      <c r="V1744" s="825"/>
      <c r="W1744" s="825"/>
      <c r="X1744" s="3" t="s">
        <v>2185</v>
      </c>
      <c r="Y1744" s="761">
        <v>44995</v>
      </c>
      <c r="Z1744" s="761" t="s">
        <v>62</v>
      </c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</row>
    <row r="1745" spans="1:39">
      <c r="B1745" s="799" t="s">
        <v>213</v>
      </c>
      <c r="C1745" s="949" t="s">
        <v>4303</v>
      </c>
      <c r="D1745" s="6">
        <v>200101255</v>
      </c>
      <c r="E1745" s="1469" t="s">
        <v>5024</v>
      </c>
      <c r="F1745" s="749">
        <v>8</v>
      </c>
      <c r="G1745" s="3" t="s">
        <v>128</v>
      </c>
      <c r="H1745" s="3" t="s">
        <v>128</v>
      </c>
      <c r="I1745" s="786">
        <v>463.5</v>
      </c>
      <c r="J1745" s="786">
        <v>259.73</v>
      </c>
      <c r="K1745" s="3" t="s">
        <v>1716</v>
      </c>
      <c r="L1745" s="761">
        <v>44995</v>
      </c>
      <c r="M1745" s="761" t="s">
        <v>1716</v>
      </c>
      <c r="N1745" s="761">
        <v>44995</v>
      </c>
      <c r="O1745" s="761" t="s">
        <v>62</v>
      </c>
      <c r="P1745" s="3" t="s">
        <v>5025</v>
      </c>
      <c r="Q1745" s="3" t="s">
        <v>5026</v>
      </c>
      <c r="R1745" s="825"/>
      <c r="S1745" s="3" t="s">
        <v>130</v>
      </c>
      <c r="T1745" s="825"/>
      <c r="U1745" s="786">
        <v>282.39999999999998</v>
      </c>
      <c r="V1745" s="825"/>
      <c r="W1745" s="825"/>
      <c r="X1745" s="3" t="s">
        <v>2185</v>
      </c>
      <c r="Y1745" s="761">
        <v>44995</v>
      </c>
      <c r="Z1745" s="761" t="s">
        <v>62</v>
      </c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</row>
    <row r="1746" spans="1:39">
      <c r="B1746" s="799" t="s">
        <v>213</v>
      </c>
      <c r="C1746" s="949" t="s">
        <v>4303</v>
      </c>
      <c r="D1746" s="6">
        <v>200101256</v>
      </c>
      <c r="E1746" s="1469" t="s">
        <v>5027</v>
      </c>
      <c r="F1746" s="749">
        <v>9</v>
      </c>
      <c r="G1746" s="3" t="s">
        <v>128</v>
      </c>
      <c r="H1746" s="3" t="s">
        <v>128</v>
      </c>
      <c r="I1746" s="786">
        <v>471.2</v>
      </c>
      <c r="J1746" s="786">
        <v>253.96</v>
      </c>
      <c r="K1746" s="3" t="s">
        <v>1716</v>
      </c>
      <c r="L1746" s="761">
        <v>44995</v>
      </c>
      <c r="M1746" s="761" t="s">
        <v>1716</v>
      </c>
      <c r="N1746" s="761">
        <v>44998</v>
      </c>
      <c r="O1746" s="761" t="s">
        <v>62</v>
      </c>
      <c r="P1746" s="3" t="s">
        <v>5028</v>
      </c>
      <c r="Q1746" s="3" t="s">
        <v>841</v>
      </c>
      <c r="R1746" s="825"/>
      <c r="S1746" s="3" t="s">
        <v>130</v>
      </c>
      <c r="T1746" s="825"/>
      <c r="U1746" s="786">
        <v>277</v>
      </c>
      <c r="V1746" s="825"/>
      <c r="W1746" s="825"/>
      <c r="X1746" s="3" t="s">
        <v>2185</v>
      </c>
      <c r="Y1746" s="761">
        <v>44998</v>
      </c>
      <c r="Z1746" s="761" t="s">
        <v>62</v>
      </c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</row>
    <row r="1747" spans="1:39">
      <c r="B1747" s="799" t="s">
        <v>213</v>
      </c>
      <c r="C1747" s="949" t="s">
        <v>4303</v>
      </c>
      <c r="D1747" s="6">
        <v>200101257</v>
      </c>
      <c r="E1747" s="1469" t="s">
        <v>5029</v>
      </c>
      <c r="F1747" s="749">
        <v>10</v>
      </c>
      <c r="G1747" s="3" t="s">
        <v>128</v>
      </c>
      <c r="H1747" s="3" t="s">
        <v>128</v>
      </c>
      <c r="I1747" s="786">
        <v>463.6</v>
      </c>
      <c r="J1747" s="786">
        <v>259.77999999999997</v>
      </c>
      <c r="K1747" s="3" t="s">
        <v>1716</v>
      </c>
      <c r="L1747" s="761">
        <v>44999</v>
      </c>
      <c r="M1747" s="761" t="s">
        <v>1716</v>
      </c>
      <c r="N1747" s="761">
        <v>44998</v>
      </c>
      <c r="O1747" s="761" t="s">
        <v>62</v>
      </c>
      <c r="P1747" s="3" t="s">
        <v>5030</v>
      </c>
      <c r="Q1747" s="3" t="s">
        <v>5031</v>
      </c>
      <c r="R1747" s="825"/>
      <c r="S1747" s="3" t="s">
        <v>130</v>
      </c>
      <c r="T1747" s="825"/>
      <c r="U1747" s="786">
        <v>282.89999999999998</v>
      </c>
      <c r="V1747" s="825"/>
      <c r="W1747" s="825"/>
      <c r="X1747" s="3" t="s">
        <v>2185</v>
      </c>
      <c r="Y1747" s="761">
        <v>44998</v>
      </c>
      <c r="Z1747" s="761" t="s">
        <v>62</v>
      </c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</row>
    <row r="1748" spans="1:39">
      <c r="B1748" s="799" t="s">
        <v>213</v>
      </c>
      <c r="C1748" s="949" t="s">
        <v>4303</v>
      </c>
      <c r="D1748" s="6">
        <v>200101258</v>
      </c>
      <c r="E1748" s="1469" t="s">
        <v>5032</v>
      </c>
      <c r="F1748" s="749">
        <v>11</v>
      </c>
      <c r="G1748" s="3" t="s">
        <v>128</v>
      </c>
      <c r="H1748" s="3" t="s">
        <v>128</v>
      </c>
      <c r="I1748" s="786">
        <v>469.4</v>
      </c>
      <c r="J1748" s="786">
        <v>260.10000000000002</v>
      </c>
      <c r="K1748" s="3" t="s">
        <v>1716</v>
      </c>
      <c r="L1748" s="761">
        <v>45000</v>
      </c>
      <c r="M1748" s="761" t="s">
        <v>1716</v>
      </c>
      <c r="N1748" s="761">
        <v>44998</v>
      </c>
      <c r="O1748" s="761" t="s">
        <v>62</v>
      </c>
      <c r="P1748" s="3" t="s">
        <v>5033</v>
      </c>
      <c r="Q1748" s="3" t="s">
        <v>5034</v>
      </c>
      <c r="R1748" s="825"/>
      <c r="S1748" s="3" t="s">
        <v>130</v>
      </c>
      <c r="T1748" s="825"/>
      <c r="U1748" s="786">
        <v>283.39999999999998</v>
      </c>
      <c r="V1748" s="825"/>
      <c r="W1748" s="825"/>
      <c r="X1748" s="3" t="s">
        <v>2185</v>
      </c>
      <c r="Y1748" s="761">
        <v>44999</v>
      </c>
      <c r="Z1748" s="761" t="s">
        <v>62</v>
      </c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</row>
    <row r="1749" spans="1:39" s="707" customFormat="1">
      <c r="A1749"/>
      <c r="B1749" s="951" t="s">
        <v>13</v>
      </c>
      <c r="C1749" s="952" t="s">
        <v>2226</v>
      </c>
      <c r="D1749" s="862"/>
      <c r="E1749" s="807"/>
      <c r="F1749" s="808"/>
      <c r="G1749" s="807"/>
      <c r="H1749" s="807"/>
      <c r="I1749" s="820"/>
      <c r="J1749" s="820"/>
      <c r="K1749" s="807"/>
      <c r="L1749" s="819"/>
      <c r="M1749" s="819"/>
      <c r="N1749" s="819"/>
      <c r="O1749" s="819"/>
      <c r="P1749" s="807"/>
      <c r="Q1749" s="807"/>
      <c r="R1749" s="807"/>
      <c r="S1749" s="807"/>
      <c r="T1749" s="807"/>
      <c r="U1749" s="807"/>
      <c r="V1749" s="807"/>
      <c r="W1749" s="807"/>
      <c r="X1749" s="819"/>
      <c r="Y1749" s="819"/>
      <c r="Z1749" s="819"/>
      <c r="AA1749" s="710"/>
      <c r="AB1749" s="710"/>
      <c r="AC1749" s="710"/>
      <c r="AD1749" s="710"/>
      <c r="AE1749" s="710"/>
      <c r="AF1749" s="710"/>
      <c r="AG1749" s="710"/>
      <c r="AH1749" s="710"/>
      <c r="AI1749" s="710"/>
      <c r="AJ1749" s="710"/>
      <c r="AK1749" s="710"/>
      <c r="AL1749" s="710"/>
      <c r="AM1749" s="710"/>
    </row>
    <row r="1750" spans="1:39">
      <c r="B1750" s="799">
        <v>4</v>
      </c>
      <c r="C1750" s="949" t="s">
        <v>4303</v>
      </c>
      <c r="D1750" s="6">
        <v>200101506</v>
      </c>
      <c r="E1750" s="1469" t="s">
        <v>5035</v>
      </c>
      <c r="F1750" s="749">
        <v>1</v>
      </c>
      <c r="G1750" s="3" t="s">
        <v>60</v>
      </c>
      <c r="H1750" s="3" t="s">
        <v>128</v>
      </c>
      <c r="I1750" s="786">
        <v>460.3</v>
      </c>
      <c r="J1750" s="786">
        <v>253.06</v>
      </c>
      <c r="K1750" s="3" t="s">
        <v>1716</v>
      </c>
      <c r="L1750" s="761">
        <v>45008</v>
      </c>
      <c r="M1750" s="761" t="s">
        <v>1716</v>
      </c>
      <c r="N1750" s="761">
        <v>45008</v>
      </c>
      <c r="O1750" s="761" t="s">
        <v>62</v>
      </c>
      <c r="P1750" s="3" t="s">
        <v>5036</v>
      </c>
      <c r="Q1750" s="3" t="s">
        <v>957</v>
      </c>
      <c r="R1750" s="825"/>
      <c r="S1750" s="3" t="s">
        <v>130</v>
      </c>
      <c r="T1750" s="825"/>
      <c r="U1750" s="786">
        <f>276.1</f>
        <v>276.10000000000002</v>
      </c>
      <c r="V1750" s="825"/>
      <c r="W1750" s="825"/>
      <c r="X1750" s="761" t="s">
        <v>2185</v>
      </c>
      <c r="Y1750" s="761">
        <v>45009</v>
      </c>
      <c r="Z1750" s="761" t="s">
        <v>62</v>
      </c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</row>
    <row r="1751" spans="1:39">
      <c r="B1751" s="799">
        <v>4</v>
      </c>
      <c r="C1751" s="949" t="s">
        <v>4303</v>
      </c>
      <c r="D1751" s="6">
        <v>200101507</v>
      </c>
      <c r="E1751" s="1469" t="s">
        <v>5037</v>
      </c>
      <c r="F1751" s="749">
        <v>2</v>
      </c>
      <c r="G1751" s="3" t="s">
        <v>60</v>
      </c>
      <c r="H1751" s="3" t="s">
        <v>128</v>
      </c>
      <c r="I1751" s="786">
        <v>466.7</v>
      </c>
      <c r="J1751" s="786">
        <v>258.73</v>
      </c>
      <c r="K1751" s="3" t="s">
        <v>2185</v>
      </c>
      <c r="L1751" s="761">
        <v>45009</v>
      </c>
      <c r="M1751" s="761" t="s">
        <v>1716</v>
      </c>
      <c r="N1751" s="761">
        <v>45008</v>
      </c>
      <c r="O1751" s="761" t="s">
        <v>62</v>
      </c>
      <c r="P1751" s="3" t="s">
        <v>5038</v>
      </c>
      <c r="Q1751" s="3" t="s">
        <v>5039</v>
      </c>
      <c r="R1751" s="825"/>
      <c r="S1751" s="3" t="s">
        <v>130</v>
      </c>
      <c r="T1751" s="825"/>
      <c r="U1751" s="786">
        <f>281.7</f>
        <v>281.7</v>
      </c>
      <c r="V1751" s="825"/>
      <c r="W1751" s="825"/>
      <c r="X1751" s="761" t="s">
        <v>2185</v>
      </c>
      <c r="Y1751" s="761">
        <v>45009</v>
      </c>
      <c r="Z1751" s="761" t="s">
        <v>62</v>
      </c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</row>
    <row r="1752" spans="1:39">
      <c r="B1752" s="799">
        <v>4</v>
      </c>
      <c r="C1752" s="949" t="s">
        <v>4303</v>
      </c>
      <c r="D1752" s="6">
        <v>200101508</v>
      </c>
      <c r="E1752" s="1469" t="s">
        <v>5040</v>
      </c>
      <c r="F1752" s="749">
        <v>3</v>
      </c>
      <c r="G1752" s="3" t="s">
        <v>60</v>
      </c>
      <c r="H1752" s="3" t="s">
        <v>128</v>
      </c>
      <c r="I1752" s="786">
        <v>469.9</v>
      </c>
      <c r="J1752" s="786">
        <f>130.1+132.25</f>
        <v>262.35000000000002</v>
      </c>
      <c r="K1752" s="3" t="s">
        <v>2185</v>
      </c>
      <c r="L1752" s="761">
        <v>45009</v>
      </c>
      <c r="M1752" s="761" t="s">
        <v>1716</v>
      </c>
      <c r="N1752" s="761">
        <v>45008</v>
      </c>
      <c r="O1752" s="761" t="s">
        <v>62</v>
      </c>
      <c r="P1752" s="3" t="s">
        <v>5041</v>
      </c>
      <c r="Q1752" s="3" t="s">
        <v>4746</v>
      </c>
      <c r="R1752" s="825"/>
      <c r="S1752" s="3" t="s">
        <v>130</v>
      </c>
      <c r="T1752" s="825"/>
      <c r="U1752" s="786">
        <v>285.10000000000002</v>
      </c>
      <c r="V1752" s="825"/>
      <c r="W1752" s="825"/>
      <c r="X1752" s="761" t="s">
        <v>2185</v>
      </c>
      <c r="Y1752" s="761">
        <v>45009</v>
      </c>
      <c r="Z1752" s="761" t="s">
        <v>62</v>
      </c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</row>
    <row r="1753" spans="1:39">
      <c r="B1753" s="799">
        <v>4</v>
      </c>
      <c r="C1753" s="949" t="s">
        <v>4303</v>
      </c>
      <c r="D1753" s="6">
        <v>200101509</v>
      </c>
      <c r="E1753" s="1469" t="s">
        <v>5042</v>
      </c>
      <c r="F1753" s="749">
        <v>4</v>
      </c>
      <c r="G1753" s="3" t="s">
        <v>5043</v>
      </c>
      <c r="H1753" s="3" t="s">
        <v>128</v>
      </c>
      <c r="I1753" s="786">
        <v>465.6</v>
      </c>
      <c r="J1753" s="786">
        <f>123.5+131.01</f>
        <v>254.51</v>
      </c>
      <c r="K1753" s="3" t="s">
        <v>2185</v>
      </c>
      <c r="L1753" s="761" t="s">
        <v>5044</v>
      </c>
      <c r="M1753" s="761" t="s">
        <v>2185</v>
      </c>
      <c r="N1753" s="761">
        <v>45009</v>
      </c>
      <c r="O1753" s="761" t="s">
        <v>62</v>
      </c>
      <c r="P1753" s="3" t="s">
        <v>5045</v>
      </c>
      <c r="Q1753" s="3" t="s">
        <v>5046</v>
      </c>
      <c r="R1753" s="825"/>
      <c r="S1753" s="3" t="s">
        <v>130</v>
      </c>
      <c r="T1753" s="825"/>
      <c r="U1753" s="786">
        <v>277.5</v>
      </c>
      <c r="V1753" s="825"/>
      <c r="W1753" s="825"/>
      <c r="X1753" s="761" t="s">
        <v>2185</v>
      </c>
      <c r="Y1753" s="761">
        <v>45012</v>
      </c>
      <c r="Z1753" s="761" t="s">
        <v>62</v>
      </c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</row>
    <row r="1754" spans="1:39">
      <c r="B1754" s="799">
        <v>4</v>
      </c>
      <c r="C1754" s="949" t="s">
        <v>4303</v>
      </c>
      <c r="D1754" s="6">
        <v>200101510</v>
      </c>
      <c r="E1754" s="1469" t="s">
        <v>5047</v>
      </c>
      <c r="F1754" s="749">
        <v>5</v>
      </c>
      <c r="G1754" s="3" t="s">
        <v>128</v>
      </c>
      <c r="H1754" s="3" t="s">
        <v>128</v>
      </c>
      <c r="I1754" s="786">
        <v>466.5</v>
      </c>
      <c r="J1754" s="786">
        <v>252.96</v>
      </c>
      <c r="K1754" s="3" t="s">
        <v>2185</v>
      </c>
      <c r="L1754" s="761">
        <v>45012</v>
      </c>
      <c r="M1754" s="761" t="s">
        <v>2185</v>
      </c>
      <c r="N1754" s="761">
        <v>45013</v>
      </c>
      <c r="O1754" s="761" t="s">
        <v>62</v>
      </c>
      <c r="P1754" s="3" t="s">
        <v>5048</v>
      </c>
      <c r="Q1754" s="3" t="s">
        <v>4750</v>
      </c>
      <c r="R1754" s="825"/>
      <c r="S1754" s="3" t="s">
        <v>130</v>
      </c>
      <c r="T1754" s="825"/>
      <c r="U1754" s="786">
        <v>275.89999999999998</v>
      </c>
      <c r="V1754" s="825"/>
      <c r="W1754" s="825"/>
      <c r="X1754" s="761" t="s">
        <v>2185</v>
      </c>
      <c r="Y1754" s="761">
        <v>45013</v>
      </c>
      <c r="Z1754" s="761" t="s">
        <v>62</v>
      </c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</row>
    <row r="1755" spans="1:39">
      <c r="B1755" s="799">
        <v>4</v>
      </c>
      <c r="C1755" s="949" t="s">
        <v>4303</v>
      </c>
      <c r="D1755" s="6">
        <v>200101511</v>
      </c>
      <c r="E1755" s="1469" t="s">
        <v>5049</v>
      </c>
      <c r="F1755" s="749">
        <v>6</v>
      </c>
      <c r="G1755" s="3" t="s">
        <v>128</v>
      </c>
      <c r="H1755" s="3" t="s">
        <v>128</v>
      </c>
      <c r="I1755" s="786">
        <v>469</v>
      </c>
      <c r="J1755" s="786">
        <v>257.91000000000003</v>
      </c>
      <c r="K1755" s="3" t="s">
        <v>2185</v>
      </c>
      <c r="L1755" s="761">
        <v>45012</v>
      </c>
      <c r="M1755" s="761" t="s">
        <v>2185</v>
      </c>
      <c r="N1755" s="761">
        <v>45013</v>
      </c>
      <c r="O1755" s="761" t="s">
        <v>62</v>
      </c>
      <c r="P1755" s="3" t="s">
        <v>5050</v>
      </c>
      <c r="Q1755" s="3" t="s">
        <v>5051</v>
      </c>
      <c r="R1755" s="825"/>
      <c r="S1755" s="3" t="s">
        <v>130</v>
      </c>
      <c r="T1755" s="825"/>
      <c r="U1755" s="786">
        <v>280.8</v>
      </c>
      <c r="V1755" s="825"/>
      <c r="W1755" s="825"/>
      <c r="X1755" s="761" t="s">
        <v>2185</v>
      </c>
      <c r="Y1755" s="761">
        <v>45013</v>
      </c>
      <c r="Z1755" s="761" t="s">
        <v>62</v>
      </c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</row>
    <row r="1756" spans="1:39">
      <c r="B1756" s="799">
        <v>4</v>
      </c>
      <c r="C1756" s="949" t="s">
        <v>4303</v>
      </c>
      <c r="D1756" s="6">
        <v>200101512</v>
      </c>
      <c r="E1756" s="1469" t="s">
        <v>5052</v>
      </c>
      <c r="F1756" s="749">
        <v>7</v>
      </c>
      <c r="G1756" s="3" t="s">
        <v>60</v>
      </c>
      <c r="H1756" s="3" t="s">
        <v>128</v>
      </c>
      <c r="I1756" s="786">
        <v>467.7</v>
      </c>
      <c r="J1756" s="786">
        <f>128.77+129.8</f>
        <v>258.57000000000005</v>
      </c>
      <c r="K1756" s="3" t="s">
        <v>2185</v>
      </c>
      <c r="L1756" s="761">
        <v>45014</v>
      </c>
      <c r="M1756" s="761" t="s">
        <v>2185</v>
      </c>
      <c r="N1756" s="761">
        <v>45013</v>
      </c>
      <c r="O1756" s="761" t="s">
        <v>62</v>
      </c>
      <c r="P1756" s="3" t="s">
        <v>5053</v>
      </c>
      <c r="Q1756" s="3" t="s">
        <v>5054</v>
      </c>
      <c r="R1756" s="825"/>
      <c r="S1756" s="3" t="s">
        <v>130</v>
      </c>
      <c r="T1756" s="825"/>
      <c r="U1756" s="786">
        <v>281.39999999999998</v>
      </c>
      <c r="V1756" s="825"/>
      <c r="W1756" s="825"/>
      <c r="X1756" s="761" t="s">
        <v>2185</v>
      </c>
      <c r="Y1756" s="761">
        <v>45013</v>
      </c>
      <c r="Z1756" s="761" t="s">
        <v>62</v>
      </c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</row>
    <row r="1757" spans="1:39">
      <c r="B1757" s="799">
        <v>4</v>
      </c>
      <c r="C1757" s="949" t="s">
        <v>4303</v>
      </c>
      <c r="D1757" s="6">
        <v>200101513</v>
      </c>
      <c r="E1757" s="1469" t="s">
        <v>5055</v>
      </c>
      <c r="F1757" s="749">
        <v>8</v>
      </c>
      <c r="G1757" s="3" t="s">
        <v>60</v>
      </c>
      <c r="H1757" s="3" t="s">
        <v>128</v>
      </c>
      <c r="I1757" s="786">
        <v>465.7</v>
      </c>
      <c r="J1757" s="762">
        <v>259.16000000000003</v>
      </c>
      <c r="K1757" s="3" t="s">
        <v>2185</v>
      </c>
      <c r="L1757" s="761">
        <v>45014</v>
      </c>
      <c r="M1757" s="761" t="s">
        <v>2185</v>
      </c>
      <c r="N1757" s="761">
        <v>45013</v>
      </c>
      <c r="O1757" s="761" t="s">
        <v>62</v>
      </c>
      <c r="P1757" s="3" t="s">
        <v>5056</v>
      </c>
      <c r="Q1757" s="859" t="s">
        <v>5057</v>
      </c>
      <c r="R1757" s="825"/>
      <c r="S1757" s="3" t="s">
        <v>130</v>
      </c>
      <c r="T1757" s="825"/>
      <c r="U1757" s="786">
        <v>281.89999999999998</v>
      </c>
      <c r="V1757" s="825"/>
      <c r="W1757" s="825"/>
      <c r="X1757" s="761" t="s">
        <v>2185</v>
      </c>
      <c r="Y1757" s="761">
        <v>45013</v>
      </c>
      <c r="Z1757" s="761" t="s">
        <v>62</v>
      </c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</row>
    <row r="1758" spans="1:39">
      <c r="B1758" s="799">
        <v>4</v>
      </c>
      <c r="C1758" s="949" t="s">
        <v>4303</v>
      </c>
      <c r="D1758" s="6">
        <v>200101584</v>
      </c>
      <c r="E1758" s="1469" t="s">
        <v>5058</v>
      </c>
      <c r="F1758" s="749">
        <v>9</v>
      </c>
      <c r="G1758" s="3" t="s">
        <v>60</v>
      </c>
      <c r="H1758" s="3" t="s">
        <v>128</v>
      </c>
      <c r="I1758" s="786">
        <v>465.5</v>
      </c>
      <c r="J1758" s="830">
        <v>254.47</v>
      </c>
      <c r="K1758" s="3" t="s">
        <v>2185</v>
      </c>
      <c r="L1758" s="761">
        <v>45019</v>
      </c>
      <c r="M1758" s="761" t="s">
        <v>2272</v>
      </c>
      <c r="N1758" s="761">
        <v>45022</v>
      </c>
      <c r="O1758" s="761" t="s">
        <v>62</v>
      </c>
      <c r="P1758" s="3" t="s">
        <v>5059</v>
      </c>
      <c r="Q1758" s="3" t="s">
        <v>5060</v>
      </c>
      <c r="R1758" s="825"/>
      <c r="S1758" s="3" t="s">
        <v>130</v>
      </c>
      <c r="T1758" s="825"/>
      <c r="U1758" s="830">
        <v>277.39999999999998</v>
      </c>
      <c r="V1758" s="825"/>
      <c r="W1758" s="825"/>
      <c r="X1758" s="761" t="s">
        <v>2272</v>
      </c>
      <c r="Y1758" s="761">
        <v>45022</v>
      </c>
      <c r="Z1758" s="761" t="s">
        <v>62</v>
      </c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</row>
    <row r="1759" spans="1:39">
      <c r="B1759" s="799">
        <v>4</v>
      </c>
      <c r="C1759" s="949" t="s">
        <v>4303</v>
      </c>
      <c r="D1759" s="6">
        <v>200101555</v>
      </c>
      <c r="E1759" s="1469" t="s">
        <v>5061</v>
      </c>
      <c r="F1759" s="749">
        <v>10</v>
      </c>
      <c r="G1759" s="3" t="s">
        <v>60</v>
      </c>
      <c r="H1759" s="3" t="s">
        <v>128</v>
      </c>
      <c r="I1759" s="786">
        <v>469.3</v>
      </c>
      <c r="J1759" s="830">
        <v>249.12</v>
      </c>
      <c r="K1759" s="3" t="s">
        <v>2185</v>
      </c>
      <c r="L1759" s="761">
        <v>45019</v>
      </c>
      <c r="M1759" s="761" t="s">
        <v>2272</v>
      </c>
      <c r="N1759" s="761">
        <v>45022</v>
      </c>
      <c r="O1759" s="761" t="s">
        <v>62</v>
      </c>
      <c r="P1759" s="3" t="s">
        <v>5062</v>
      </c>
      <c r="Q1759" s="3" t="s">
        <v>5063</v>
      </c>
      <c r="R1759" s="825"/>
      <c r="S1759" s="3" t="s">
        <v>130</v>
      </c>
      <c r="T1759" s="825"/>
      <c r="U1759" s="830">
        <v>281.8</v>
      </c>
      <c r="V1759" s="825"/>
      <c r="W1759" s="825"/>
      <c r="X1759" s="761" t="s">
        <v>2272</v>
      </c>
      <c r="Y1759" s="761">
        <v>45022</v>
      </c>
      <c r="Z1759" s="761" t="s">
        <v>62</v>
      </c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</row>
    <row r="1760" spans="1:39" s="707" customFormat="1">
      <c r="A1760"/>
      <c r="B1760" s="951" t="s">
        <v>13</v>
      </c>
      <c r="C1760" s="952" t="s">
        <v>1758</v>
      </c>
      <c r="D1760" s="862"/>
      <c r="E1760" s="807"/>
      <c r="F1760" s="808"/>
      <c r="G1760" s="807"/>
      <c r="H1760" s="807"/>
      <c r="I1760" s="820"/>
      <c r="J1760" s="837"/>
      <c r="K1760" s="807"/>
      <c r="L1760" s="819"/>
      <c r="M1760" s="819"/>
      <c r="N1760" s="819"/>
      <c r="O1760" s="819"/>
      <c r="P1760" s="807"/>
      <c r="Q1760" s="807"/>
      <c r="R1760" s="807"/>
      <c r="S1760" s="807"/>
      <c r="T1760" s="807"/>
      <c r="U1760" s="837"/>
      <c r="V1760" s="807"/>
      <c r="W1760" s="807"/>
      <c r="X1760" s="819"/>
      <c r="Y1760" s="819"/>
      <c r="Z1760" s="819"/>
      <c r="AA1760" s="710"/>
      <c r="AB1760" s="710"/>
      <c r="AC1760" s="710"/>
      <c r="AD1760" s="710"/>
      <c r="AE1760" s="710"/>
      <c r="AF1760" s="710"/>
      <c r="AG1760" s="710"/>
      <c r="AH1760" s="710"/>
      <c r="AI1760" s="710"/>
      <c r="AJ1760" s="710"/>
      <c r="AK1760" s="710"/>
      <c r="AL1760" s="710"/>
      <c r="AM1760" s="710"/>
    </row>
    <row r="1761" spans="1:39">
      <c r="B1761" s="799">
        <v>5</v>
      </c>
      <c r="C1761" s="949" t="s">
        <v>4303</v>
      </c>
      <c r="D1761" s="6">
        <v>200101331</v>
      </c>
      <c r="E1761" s="1469" t="s">
        <v>5064</v>
      </c>
      <c r="F1761" s="749">
        <v>1</v>
      </c>
      <c r="G1761" s="3" t="s">
        <v>60</v>
      </c>
      <c r="H1761" s="3" t="s">
        <v>128</v>
      </c>
      <c r="I1761" s="830">
        <v>464.4</v>
      </c>
      <c r="J1761" s="830">
        <v>255.95</v>
      </c>
      <c r="K1761" s="3" t="s">
        <v>2272</v>
      </c>
      <c r="L1761" s="761">
        <v>45028</v>
      </c>
      <c r="M1761" s="761" t="s">
        <v>2272</v>
      </c>
      <c r="N1761" s="761">
        <v>45028</v>
      </c>
      <c r="O1761" s="761" t="s">
        <v>62</v>
      </c>
      <c r="P1761" s="3" t="s">
        <v>5065</v>
      </c>
      <c r="Q1761" s="3" t="s">
        <v>4217</v>
      </c>
      <c r="R1761" s="825"/>
      <c r="S1761" s="3" t="s">
        <v>130</v>
      </c>
      <c r="T1761" s="825"/>
      <c r="U1761" s="830">
        <v>279</v>
      </c>
      <c r="V1761" s="825"/>
      <c r="W1761" s="825"/>
      <c r="X1761" s="761" t="s">
        <v>2272</v>
      </c>
      <c r="Y1761" s="761">
        <v>45029</v>
      </c>
      <c r="Z1761" s="761" t="s">
        <v>62</v>
      </c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</row>
    <row r="1762" spans="1:39">
      <c r="B1762" s="799">
        <v>5</v>
      </c>
      <c r="C1762" s="949" t="s">
        <v>4303</v>
      </c>
      <c r="D1762" s="6">
        <v>200101750</v>
      </c>
      <c r="E1762" s="1469" t="s">
        <v>5066</v>
      </c>
      <c r="F1762" s="749">
        <v>2</v>
      </c>
      <c r="G1762" s="3" t="s">
        <v>60</v>
      </c>
      <c r="H1762" s="3" t="s">
        <v>128</v>
      </c>
      <c r="I1762" s="830">
        <v>458.7</v>
      </c>
      <c r="J1762" s="830">
        <v>255.05</v>
      </c>
      <c r="K1762" s="3" t="s">
        <v>2272</v>
      </c>
      <c r="L1762" s="761">
        <v>45029</v>
      </c>
      <c r="M1762" s="761" t="s">
        <v>2272</v>
      </c>
      <c r="N1762" s="761">
        <v>45029</v>
      </c>
      <c r="O1762" s="761" t="s">
        <v>62</v>
      </c>
      <c r="P1762" s="3" t="s">
        <v>5067</v>
      </c>
      <c r="Q1762" s="3" t="s">
        <v>5068</v>
      </c>
      <c r="R1762" s="825"/>
      <c r="S1762" s="3" t="s">
        <v>130</v>
      </c>
      <c r="T1762" s="825"/>
      <c r="U1762" s="830">
        <v>277.89999999999998</v>
      </c>
      <c r="V1762" s="825"/>
      <c r="W1762" s="825"/>
      <c r="X1762" s="761" t="s">
        <v>2272</v>
      </c>
      <c r="Y1762" s="761">
        <v>45029</v>
      </c>
      <c r="Z1762" s="761" t="s">
        <v>62</v>
      </c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</row>
    <row r="1763" spans="1:39">
      <c r="B1763" s="799">
        <v>5</v>
      </c>
      <c r="C1763" s="949" t="s">
        <v>4303</v>
      </c>
      <c r="D1763" s="6">
        <v>200101751</v>
      </c>
      <c r="E1763" s="1469" t="s">
        <v>5069</v>
      </c>
      <c r="F1763" s="749">
        <v>3</v>
      </c>
      <c r="G1763" s="3" t="s">
        <v>60</v>
      </c>
      <c r="H1763" s="3" t="s">
        <v>128</v>
      </c>
      <c r="I1763" s="830">
        <v>470.1</v>
      </c>
      <c r="J1763" s="830">
        <v>259.86</v>
      </c>
      <c r="K1763" s="3" t="s">
        <v>2272</v>
      </c>
      <c r="L1763" s="761">
        <v>45029</v>
      </c>
      <c r="M1763" s="761" t="s">
        <v>2272</v>
      </c>
      <c r="N1763" s="761">
        <v>45029</v>
      </c>
      <c r="O1763" s="761" t="s">
        <v>62</v>
      </c>
      <c r="P1763" s="3" t="s">
        <v>5070</v>
      </c>
      <c r="Q1763" s="3" t="s">
        <v>5071</v>
      </c>
      <c r="R1763" s="825"/>
      <c r="S1763" s="3" t="s">
        <v>130</v>
      </c>
      <c r="T1763" s="825"/>
      <c r="U1763" s="830">
        <v>282.8</v>
      </c>
      <c r="V1763" s="825"/>
      <c r="W1763" s="825"/>
      <c r="X1763" s="761" t="s">
        <v>2272</v>
      </c>
      <c r="Y1763" s="761">
        <v>45030</v>
      </c>
      <c r="Z1763" s="761" t="s">
        <v>62</v>
      </c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</row>
    <row r="1764" spans="1:39">
      <c r="B1764" s="799">
        <v>5</v>
      </c>
      <c r="C1764" s="949" t="s">
        <v>4303</v>
      </c>
      <c r="D1764" s="6">
        <v>200101752</v>
      </c>
      <c r="E1764" s="1469" t="s">
        <v>5072</v>
      </c>
      <c r="F1764" s="749">
        <v>4</v>
      </c>
      <c r="G1764" s="3" t="s">
        <v>60</v>
      </c>
      <c r="H1764" s="3" t="s">
        <v>128</v>
      </c>
      <c r="I1764" s="830">
        <v>468.3</v>
      </c>
      <c r="J1764" s="830">
        <v>254.44</v>
      </c>
      <c r="K1764" s="3" t="s">
        <v>2272</v>
      </c>
      <c r="L1764" s="761">
        <v>45030</v>
      </c>
      <c r="M1764" s="761" t="s">
        <v>2272</v>
      </c>
      <c r="N1764" s="761">
        <v>45030</v>
      </c>
      <c r="O1764" s="761" t="s">
        <v>62</v>
      </c>
      <c r="P1764" s="3" t="s">
        <v>5073</v>
      </c>
      <c r="Q1764" s="3" t="s">
        <v>4566</v>
      </c>
      <c r="R1764" s="825"/>
      <c r="S1764" s="3" t="s">
        <v>130</v>
      </c>
      <c r="T1764" s="825"/>
      <c r="U1764" s="830">
        <v>277.10000000000002</v>
      </c>
      <c r="V1764" s="825"/>
      <c r="W1764" s="825"/>
      <c r="X1764" s="761" t="s">
        <v>2272</v>
      </c>
      <c r="Y1764" s="761">
        <v>45030</v>
      </c>
      <c r="Z1764" s="761" t="s">
        <v>62</v>
      </c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</row>
    <row r="1765" spans="1:39" s="707" customFormat="1">
      <c r="A1765"/>
      <c r="B1765" s="951" t="s">
        <v>13</v>
      </c>
      <c r="C1765" s="952" t="s">
        <v>1759</v>
      </c>
      <c r="D1765" s="862"/>
      <c r="E1765" s="807"/>
      <c r="F1765" s="808"/>
      <c r="G1765" s="807"/>
      <c r="H1765" s="807"/>
      <c r="I1765" s="820"/>
      <c r="J1765" s="837"/>
      <c r="K1765" s="807"/>
      <c r="L1765" s="819"/>
      <c r="M1765" s="819"/>
      <c r="N1765" s="819"/>
      <c r="O1765" s="819"/>
      <c r="P1765" s="807"/>
      <c r="Q1765" s="807"/>
      <c r="R1765" s="807"/>
      <c r="S1765" s="807"/>
      <c r="T1765" s="807"/>
      <c r="U1765" s="837"/>
      <c r="V1765" s="807"/>
      <c r="W1765" s="807"/>
      <c r="X1765" s="819"/>
      <c r="Y1765" s="819"/>
      <c r="Z1765" s="819"/>
      <c r="AA1765" s="710"/>
      <c r="AB1765" s="710"/>
      <c r="AC1765" s="710"/>
      <c r="AD1765" s="710"/>
      <c r="AE1765" s="710"/>
      <c r="AF1765" s="710"/>
      <c r="AG1765" s="710"/>
      <c r="AH1765" s="710"/>
      <c r="AI1765" s="710"/>
      <c r="AJ1765" s="710"/>
      <c r="AK1765" s="710"/>
      <c r="AL1765" s="710"/>
      <c r="AM1765" s="710"/>
    </row>
    <row r="1766" spans="1:39">
      <c r="B1766" s="799">
        <v>6</v>
      </c>
      <c r="C1766" s="949" t="s">
        <v>4303</v>
      </c>
      <c r="D1766" s="3">
        <v>200102039</v>
      </c>
      <c r="E1766" s="1469" t="s">
        <v>5074</v>
      </c>
      <c r="F1766" s="749">
        <v>1</v>
      </c>
      <c r="G1766" s="3" t="s">
        <v>60</v>
      </c>
      <c r="H1766" s="3" t="s">
        <v>128</v>
      </c>
      <c r="I1766" s="762">
        <v>465.4</v>
      </c>
      <c r="J1766" s="762">
        <v>251.51</v>
      </c>
      <c r="K1766" s="3" t="s">
        <v>2327</v>
      </c>
      <c r="L1766" s="761">
        <v>45071</v>
      </c>
      <c r="M1766" s="761" t="s">
        <v>2327</v>
      </c>
      <c r="N1766" s="761">
        <v>45072</v>
      </c>
      <c r="O1766" s="761" t="s">
        <v>62</v>
      </c>
      <c r="P1766" s="3" t="s">
        <v>5075</v>
      </c>
      <c r="Q1766" s="3" t="s">
        <v>5076</v>
      </c>
      <c r="R1766" s="825"/>
      <c r="S1766" s="3" t="s">
        <v>130</v>
      </c>
      <c r="T1766" s="825"/>
      <c r="U1766" s="762">
        <v>274.2</v>
      </c>
      <c r="V1766" s="825"/>
      <c r="W1766" s="825"/>
      <c r="X1766" s="761" t="s">
        <v>2327</v>
      </c>
      <c r="Y1766" s="761">
        <v>45072</v>
      </c>
      <c r="Z1766" s="761" t="s">
        <v>62</v>
      </c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</row>
    <row r="1767" spans="1:39">
      <c r="B1767" s="799">
        <v>6</v>
      </c>
      <c r="C1767" s="949" t="s">
        <v>4303</v>
      </c>
      <c r="D1767" s="3">
        <v>200102040</v>
      </c>
      <c r="E1767" s="1469" t="s">
        <v>5077</v>
      </c>
      <c r="F1767" s="749">
        <v>2</v>
      </c>
      <c r="G1767" s="3" t="s">
        <v>60</v>
      </c>
      <c r="H1767" s="3" t="s">
        <v>128</v>
      </c>
      <c r="I1767" s="830">
        <v>469.6</v>
      </c>
      <c r="J1767" s="762">
        <v>259.61</v>
      </c>
      <c r="K1767" s="3" t="s">
        <v>2327</v>
      </c>
      <c r="L1767" s="761">
        <v>45071</v>
      </c>
      <c r="M1767" s="761" t="s">
        <v>2327</v>
      </c>
      <c r="N1767" s="761">
        <v>45075</v>
      </c>
      <c r="O1767" s="761" t="s">
        <v>62</v>
      </c>
      <c r="P1767" s="3" t="s">
        <v>5078</v>
      </c>
      <c r="Q1767" s="3" t="s">
        <v>5079</v>
      </c>
      <c r="R1767" s="825"/>
      <c r="S1767" s="3" t="s">
        <v>130</v>
      </c>
      <c r="T1767" s="825"/>
      <c r="U1767" s="762">
        <v>282.3</v>
      </c>
      <c r="V1767" s="825"/>
      <c r="W1767" s="825"/>
      <c r="X1767" s="761" t="s">
        <v>2327</v>
      </c>
      <c r="Y1767" s="761">
        <v>45075</v>
      </c>
      <c r="Z1767" s="761" t="s">
        <v>62</v>
      </c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</row>
    <row r="1768" spans="1:39">
      <c r="B1768" s="799">
        <v>6</v>
      </c>
      <c r="C1768" s="949" t="s">
        <v>4303</v>
      </c>
      <c r="D1768" s="3">
        <v>200102041</v>
      </c>
      <c r="E1768" s="1469" t="s">
        <v>5080</v>
      </c>
      <c r="F1768" s="749">
        <v>3</v>
      </c>
      <c r="G1768" s="3" t="s">
        <v>60</v>
      </c>
      <c r="H1768" s="3" t="s">
        <v>128</v>
      </c>
      <c r="I1768" s="762">
        <v>464.7</v>
      </c>
      <c r="J1768" s="762">
        <v>260.07</v>
      </c>
      <c r="K1768" s="3" t="s">
        <v>2327</v>
      </c>
      <c r="L1768" s="761">
        <v>45072</v>
      </c>
      <c r="M1768" s="761" t="s">
        <v>2327</v>
      </c>
      <c r="N1768" s="761">
        <v>45075</v>
      </c>
      <c r="O1768" s="761" t="s">
        <v>62</v>
      </c>
      <c r="P1768" s="3" t="s">
        <v>5081</v>
      </c>
      <c r="Q1768" s="3" t="s">
        <v>5082</v>
      </c>
      <c r="R1768" s="825"/>
      <c r="S1768" s="3" t="s">
        <v>130</v>
      </c>
      <c r="T1768" s="825"/>
      <c r="U1768" s="762">
        <v>282.8</v>
      </c>
      <c r="V1768" s="825"/>
      <c r="W1768" s="825"/>
      <c r="X1768" s="761" t="s">
        <v>2327</v>
      </c>
      <c r="Y1768" s="761">
        <v>45075</v>
      </c>
      <c r="Z1768" s="761" t="s">
        <v>62</v>
      </c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</row>
    <row r="1769" spans="1:39">
      <c r="B1769" s="799">
        <v>6</v>
      </c>
      <c r="C1769" s="949" t="s">
        <v>4303</v>
      </c>
      <c r="D1769" s="3">
        <v>200102042</v>
      </c>
      <c r="E1769" s="1469" t="s">
        <v>5083</v>
      </c>
      <c r="F1769" s="749">
        <v>4</v>
      </c>
      <c r="G1769" s="3" t="s">
        <v>60</v>
      </c>
      <c r="H1769" s="3" t="s">
        <v>128</v>
      </c>
      <c r="I1769" s="762">
        <v>466.9</v>
      </c>
      <c r="J1769" s="786">
        <v>255.97</v>
      </c>
      <c r="K1769" s="3" t="s">
        <v>2327</v>
      </c>
      <c r="L1769" s="761">
        <v>45075</v>
      </c>
      <c r="M1769" s="761" t="s">
        <v>2327</v>
      </c>
      <c r="N1769" s="761">
        <v>45076</v>
      </c>
      <c r="O1769" s="761" t="s">
        <v>62</v>
      </c>
      <c r="P1769" s="3" t="s">
        <v>5084</v>
      </c>
      <c r="Q1769" s="3" t="s">
        <v>1139</v>
      </c>
      <c r="R1769" s="825"/>
      <c r="S1769" s="3" t="s">
        <v>130</v>
      </c>
      <c r="T1769" s="825"/>
      <c r="U1769" s="830">
        <v>278.7</v>
      </c>
      <c r="V1769" s="825"/>
      <c r="W1769" s="825"/>
      <c r="X1769" s="761" t="s">
        <v>2327</v>
      </c>
      <c r="Y1769" s="761">
        <v>45076</v>
      </c>
      <c r="Z1769" s="761" t="s">
        <v>62</v>
      </c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</row>
    <row r="1770" spans="1:39">
      <c r="B1770" s="799">
        <v>6</v>
      </c>
      <c r="C1770" s="949" t="s">
        <v>4303</v>
      </c>
      <c r="D1770" s="3">
        <v>200102043</v>
      </c>
      <c r="E1770" s="1469" t="s">
        <v>5085</v>
      </c>
      <c r="F1770" s="749">
        <v>5</v>
      </c>
      <c r="G1770" s="3" t="s">
        <v>60</v>
      </c>
      <c r="H1770" s="3" t="s">
        <v>128</v>
      </c>
      <c r="I1770" s="762">
        <v>464.5</v>
      </c>
      <c r="J1770" s="786">
        <v>258.68</v>
      </c>
      <c r="K1770" s="3" t="s">
        <v>2327</v>
      </c>
      <c r="L1770" s="761">
        <v>45077</v>
      </c>
      <c r="M1770" s="761" t="s">
        <v>2327</v>
      </c>
      <c r="N1770" s="761">
        <v>45076</v>
      </c>
      <c r="O1770" s="761" t="s">
        <v>62</v>
      </c>
      <c r="P1770" s="3" t="s">
        <v>5086</v>
      </c>
      <c r="Q1770" s="3" t="s">
        <v>4654</v>
      </c>
      <c r="R1770" s="825"/>
      <c r="S1770" s="3" t="s">
        <v>130</v>
      </c>
      <c r="T1770" s="825"/>
      <c r="U1770" s="762">
        <v>281.2</v>
      </c>
      <c r="V1770" s="825"/>
      <c r="W1770" s="825"/>
      <c r="X1770" s="761" t="s">
        <v>2327</v>
      </c>
      <c r="Y1770" s="761">
        <v>45077</v>
      </c>
      <c r="Z1770" s="761" t="s">
        <v>62</v>
      </c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</row>
    <row r="1771" spans="1:39">
      <c r="B1771" s="799">
        <v>6</v>
      </c>
      <c r="C1771" s="949" t="s">
        <v>4303</v>
      </c>
      <c r="D1771" s="3">
        <v>200102044</v>
      </c>
      <c r="E1771" s="1469" t="s">
        <v>5087</v>
      </c>
      <c r="F1771" s="749">
        <v>6</v>
      </c>
      <c r="G1771" s="3" t="s">
        <v>60</v>
      </c>
      <c r="H1771" s="3" t="s">
        <v>128</v>
      </c>
      <c r="I1771" s="762">
        <v>466</v>
      </c>
      <c r="J1771" s="762">
        <v>254.03</v>
      </c>
      <c r="K1771" s="3" t="s">
        <v>2327</v>
      </c>
      <c r="L1771" s="761">
        <v>45077</v>
      </c>
      <c r="M1771" s="3" t="s">
        <v>2327</v>
      </c>
      <c r="N1771" s="761">
        <v>45077</v>
      </c>
      <c r="O1771" s="761" t="s">
        <v>62</v>
      </c>
      <c r="P1771" s="3" t="s">
        <v>2840</v>
      </c>
      <c r="Q1771" s="3" t="s">
        <v>4025</v>
      </c>
      <c r="R1771" s="825"/>
      <c r="S1771" s="3" t="s">
        <v>130</v>
      </c>
      <c r="T1771" s="825"/>
      <c r="U1771" s="762">
        <v>275.60000000000002</v>
      </c>
      <c r="V1771" s="825"/>
      <c r="W1771" s="825"/>
      <c r="X1771" s="761" t="s">
        <v>2327</v>
      </c>
      <c r="Y1771" s="761">
        <v>45077</v>
      </c>
      <c r="Z1771" s="761" t="s">
        <v>62</v>
      </c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</row>
    <row r="1772" spans="1:39">
      <c r="B1772" s="799">
        <v>6</v>
      </c>
      <c r="C1772" s="949" t="s">
        <v>4303</v>
      </c>
      <c r="D1772" s="3">
        <v>200102078</v>
      </c>
      <c r="E1772" s="1469" t="s">
        <v>5088</v>
      </c>
      <c r="F1772" s="749">
        <v>7</v>
      </c>
      <c r="G1772" s="3" t="s">
        <v>60</v>
      </c>
      <c r="H1772" s="3" t="s">
        <v>128</v>
      </c>
      <c r="I1772" s="786">
        <v>462.3</v>
      </c>
      <c r="J1772" s="786">
        <v>256.22000000000003</v>
      </c>
      <c r="K1772" s="3" t="s">
        <v>2411</v>
      </c>
      <c r="L1772" s="761">
        <v>45079</v>
      </c>
      <c r="M1772" s="761" t="s">
        <v>2411</v>
      </c>
      <c r="N1772" s="761">
        <v>45079</v>
      </c>
      <c r="O1772" s="761" t="s">
        <v>62</v>
      </c>
      <c r="P1772" s="3" t="s">
        <v>5089</v>
      </c>
      <c r="Q1772" s="3" t="s">
        <v>5090</v>
      </c>
      <c r="R1772" s="825"/>
      <c r="S1772" s="3" t="s">
        <v>130</v>
      </c>
      <c r="T1772" s="825"/>
      <c r="U1772" s="786">
        <v>278.7</v>
      </c>
      <c r="V1772" s="825"/>
      <c r="W1772" s="825"/>
      <c r="X1772" s="761" t="s">
        <v>2411</v>
      </c>
      <c r="Y1772" s="761">
        <v>45079</v>
      </c>
      <c r="Z1772" s="761" t="s">
        <v>62</v>
      </c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</row>
    <row r="1773" spans="1:39">
      <c r="B1773" s="799">
        <v>6</v>
      </c>
      <c r="C1773" s="949" t="s">
        <v>4303</v>
      </c>
      <c r="D1773" s="3">
        <v>200102079</v>
      </c>
      <c r="E1773" s="1469" t="s">
        <v>5091</v>
      </c>
      <c r="F1773" s="749">
        <v>8</v>
      </c>
      <c r="G1773" s="3" t="s">
        <v>60</v>
      </c>
      <c r="H1773" s="3" t="s">
        <v>128</v>
      </c>
      <c r="I1773" s="786">
        <v>461.5</v>
      </c>
      <c r="J1773" s="786">
        <v>256.52</v>
      </c>
      <c r="K1773" s="3" t="s">
        <v>2411</v>
      </c>
      <c r="L1773" s="761">
        <v>45082</v>
      </c>
      <c r="M1773" s="761" t="s">
        <v>2411</v>
      </c>
      <c r="N1773" s="761">
        <v>45082</v>
      </c>
      <c r="O1773" s="761" t="s">
        <v>62</v>
      </c>
      <c r="P1773" s="3" t="s">
        <v>5092</v>
      </c>
      <c r="Q1773" s="3" t="s">
        <v>5093</v>
      </c>
      <c r="R1773" s="825"/>
      <c r="S1773" s="3" t="s">
        <v>130</v>
      </c>
      <c r="T1773" s="825"/>
      <c r="U1773" s="786">
        <v>278.89999999999998</v>
      </c>
      <c r="V1773" s="825"/>
      <c r="W1773" s="825"/>
      <c r="X1773" s="761" t="s">
        <v>2411</v>
      </c>
      <c r="Y1773" s="761">
        <v>45082</v>
      </c>
      <c r="Z1773" s="761" t="s">
        <v>62</v>
      </c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</row>
    <row r="1774" spans="1:39">
      <c r="B1774" s="799">
        <v>6</v>
      </c>
      <c r="C1774" s="949" t="s">
        <v>4303</v>
      </c>
      <c r="D1774" s="3">
        <v>200102120</v>
      </c>
      <c r="E1774" s="1469" t="s">
        <v>5094</v>
      </c>
      <c r="F1774" s="749">
        <v>9</v>
      </c>
      <c r="G1774" s="3" t="s">
        <v>60</v>
      </c>
      <c r="H1774" s="3" t="s">
        <v>128</v>
      </c>
      <c r="I1774" s="786">
        <v>468</v>
      </c>
      <c r="J1774" s="786">
        <v>259.64999999999998</v>
      </c>
      <c r="K1774" s="3" t="s">
        <v>2411</v>
      </c>
      <c r="L1774" s="761">
        <v>45082</v>
      </c>
      <c r="M1774" s="761" t="s">
        <v>2411</v>
      </c>
      <c r="N1774" s="761">
        <v>45082</v>
      </c>
      <c r="O1774" s="761" t="s">
        <v>62</v>
      </c>
      <c r="P1774" s="3" t="s">
        <v>5095</v>
      </c>
      <c r="Q1774" s="3" t="s">
        <v>5096</v>
      </c>
      <c r="R1774" s="825"/>
      <c r="S1774" s="3" t="s">
        <v>130</v>
      </c>
      <c r="T1774" s="825"/>
      <c r="U1774" s="786">
        <v>282.2</v>
      </c>
      <c r="V1774" s="825"/>
      <c r="W1774" s="825"/>
      <c r="X1774" s="761" t="s">
        <v>2411</v>
      </c>
      <c r="Y1774" s="761">
        <v>45083</v>
      </c>
      <c r="Z1774" s="761" t="s">
        <v>62</v>
      </c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</row>
    <row r="1775" spans="1:39">
      <c r="B1775" s="799">
        <v>6</v>
      </c>
      <c r="C1775" s="949" t="s">
        <v>4303</v>
      </c>
      <c r="D1775" s="3">
        <v>200102121</v>
      </c>
      <c r="E1775" s="1469" t="s">
        <v>5097</v>
      </c>
      <c r="F1775" s="749">
        <v>10</v>
      </c>
      <c r="G1775" s="3" t="s">
        <v>60</v>
      </c>
      <c r="H1775" s="3" t="s">
        <v>128</v>
      </c>
      <c r="I1775" s="786">
        <v>466</v>
      </c>
      <c r="J1775" s="786">
        <v>258.81</v>
      </c>
      <c r="K1775" s="3" t="s">
        <v>2411</v>
      </c>
      <c r="L1775" s="761">
        <v>45082</v>
      </c>
      <c r="M1775" s="761" t="s">
        <v>2411</v>
      </c>
      <c r="N1775" s="761">
        <v>45083</v>
      </c>
      <c r="O1775" s="761" t="s">
        <v>62</v>
      </c>
      <c r="P1775" s="3" t="s">
        <v>5098</v>
      </c>
      <c r="Q1775" s="3" t="s">
        <v>1181</v>
      </c>
      <c r="R1775" s="825"/>
      <c r="S1775" s="3" t="s">
        <v>130</v>
      </c>
      <c r="T1775" s="825"/>
      <c r="U1775" s="786">
        <v>280.8</v>
      </c>
      <c r="V1775" s="825"/>
      <c r="W1775" s="825"/>
      <c r="X1775" s="761" t="s">
        <v>2411</v>
      </c>
      <c r="Y1775" s="761">
        <v>45083</v>
      </c>
      <c r="Z1775" s="761" t="s">
        <v>62</v>
      </c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</row>
    <row r="1776" spans="1:39">
      <c r="B1776" s="799">
        <v>6</v>
      </c>
      <c r="C1776" s="949" t="s">
        <v>4303</v>
      </c>
      <c r="D1776" s="3">
        <v>200102122</v>
      </c>
      <c r="E1776" s="1469" t="s">
        <v>5099</v>
      </c>
      <c r="F1776" s="749">
        <v>11</v>
      </c>
      <c r="G1776" s="3" t="s">
        <v>60</v>
      </c>
      <c r="H1776" s="3" t="s">
        <v>128</v>
      </c>
      <c r="I1776" s="786">
        <v>464.5</v>
      </c>
      <c r="J1776" s="786">
        <v>260.25</v>
      </c>
      <c r="K1776" s="3" t="s">
        <v>2411</v>
      </c>
      <c r="L1776" s="761">
        <v>45083</v>
      </c>
      <c r="M1776" s="761" t="s">
        <v>2411</v>
      </c>
      <c r="N1776" s="761">
        <v>45083</v>
      </c>
      <c r="O1776" s="761" t="s">
        <v>62</v>
      </c>
      <c r="P1776" s="3" t="s">
        <v>5100</v>
      </c>
      <c r="Q1776" s="3" t="s">
        <v>5101</v>
      </c>
      <c r="R1776" s="825"/>
      <c r="S1776" s="3" t="s">
        <v>130</v>
      </c>
      <c r="T1776" s="825"/>
      <c r="U1776" s="786">
        <v>282.8</v>
      </c>
      <c r="V1776" s="825"/>
      <c r="W1776" s="825"/>
      <c r="X1776" s="761" t="s">
        <v>2411</v>
      </c>
      <c r="Y1776" s="761">
        <v>45084</v>
      </c>
      <c r="Z1776" s="761" t="s">
        <v>62</v>
      </c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</row>
    <row r="1777" spans="1:39">
      <c r="B1777" s="799">
        <v>6</v>
      </c>
      <c r="C1777" s="949" t="s">
        <v>4303</v>
      </c>
      <c r="D1777" s="3">
        <v>200102123</v>
      </c>
      <c r="E1777" s="1469" t="s">
        <v>5102</v>
      </c>
      <c r="F1777" s="749">
        <v>12</v>
      </c>
      <c r="G1777" s="3" t="s">
        <v>60</v>
      </c>
      <c r="H1777" s="3" t="s">
        <v>128</v>
      </c>
      <c r="I1777" s="786">
        <v>470.2</v>
      </c>
      <c r="J1777" s="786">
        <v>260.17</v>
      </c>
      <c r="K1777" s="3" t="s">
        <v>2411</v>
      </c>
      <c r="L1777" s="761">
        <v>45083</v>
      </c>
      <c r="M1777" s="761" t="s">
        <v>2411</v>
      </c>
      <c r="N1777" s="761">
        <v>45083</v>
      </c>
      <c r="O1777" s="761" t="s">
        <v>62</v>
      </c>
      <c r="P1777" s="3" t="s">
        <v>5103</v>
      </c>
      <c r="Q1777" s="3" t="s">
        <v>5104</v>
      </c>
      <c r="R1777" s="825"/>
      <c r="S1777" s="3" t="s">
        <v>130</v>
      </c>
      <c r="T1777" s="825"/>
      <c r="U1777" s="786">
        <v>283.5</v>
      </c>
      <c r="V1777" s="825"/>
      <c r="W1777" s="825"/>
      <c r="X1777" s="761" t="s">
        <v>2411</v>
      </c>
      <c r="Y1777" s="761">
        <v>45084</v>
      </c>
      <c r="Z1777" s="761" t="s">
        <v>62</v>
      </c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</row>
    <row r="1778" spans="1:39">
      <c r="B1778" s="799">
        <v>6</v>
      </c>
      <c r="C1778" s="949" t="s">
        <v>4303</v>
      </c>
      <c r="D1778" s="3">
        <v>200102094</v>
      </c>
      <c r="E1778" s="1469" t="s">
        <v>5105</v>
      </c>
      <c r="F1778" s="749">
        <v>13</v>
      </c>
      <c r="G1778" s="3" t="s">
        <v>60</v>
      </c>
      <c r="H1778" s="3" t="s">
        <v>128</v>
      </c>
      <c r="I1778" s="786">
        <v>464.9</v>
      </c>
      <c r="J1778" s="786">
        <v>257.3</v>
      </c>
      <c r="K1778" s="3" t="s">
        <v>2411</v>
      </c>
      <c r="L1778" s="761">
        <v>45085</v>
      </c>
      <c r="M1778" s="3" t="s">
        <v>2411</v>
      </c>
      <c r="N1778" s="761">
        <v>45085</v>
      </c>
      <c r="O1778" s="761" t="s">
        <v>62</v>
      </c>
      <c r="P1778" s="3" t="s">
        <v>5106</v>
      </c>
      <c r="Q1778" s="3" t="s">
        <v>5107</v>
      </c>
      <c r="R1778" s="825"/>
      <c r="S1778" s="3" t="s">
        <v>130</v>
      </c>
      <c r="T1778" s="825"/>
      <c r="U1778" s="786">
        <v>280</v>
      </c>
      <c r="V1778" s="825"/>
      <c r="W1778" s="825"/>
      <c r="X1778" s="761" t="s">
        <v>2411</v>
      </c>
      <c r="Y1778" s="761">
        <v>45086</v>
      </c>
      <c r="Z1778" s="761" t="s">
        <v>62</v>
      </c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</row>
    <row r="1779" spans="1:39">
      <c r="B1779" s="799">
        <v>6</v>
      </c>
      <c r="C1779" s="949" t="s">
        <v>4303</v>
      </c>
      <c r="D1779" s="3">
        <v>200102095</v>
      </c>
      <c r="E1779" s="1469" t="s">
        <v>5108</v>
      </c>
      <c r="F1779" s="749">
        <v>14</v>
      </c>
      <c r="G1779" s="3" t="s">
        <v>60</v>
      </c>
      <c r="H1779" s="3" t="s">
        <v>128</v>
      </c>
      <c r="I1779" s="786">
        <v>466.8</v>
      </c>
      <c r="J1779" s="786">
        <v>255.62</v>
      </c>
      <c r="K1779" s="3" t="s">
        <v>2411</v>
      </c>
      <c r="L1779" s="761">
        <v>45085</v>
      </c>
      <c r="M1779" s="761" t="s">
        <v>2411</v>
      </c>
      <c r="N1779" s="761">
        <v>45086</v>
      </c>
      <c r="O1779" s="761" t="s">
        <v>62</v>
      </c>
      <c r="P1779" s="3" t="s">
        <v>5109</v>
      </c>
      <c r="Q1779" s="3" t="s">
        <v>4906</v>
      </c>
      <c r="R1779" s="825"/>
      <c r="S1779" s="3" t="s">
        <v>130</v>
      </c>
      <c r="T1779" s="825"/>
      <c r="U1779" s="786">
        <v>278.5</v>
      </c>
      <c r="V1779" s="825"/>
      <c r="W1779" s="825"/>
      <c r="X1779" s="761" t="s">
        <v>2411</v>
      </c>
      <c r="Y1779" s="761">
        <v>45086</v>
      </c>
      <c r="Z1779" s="761" t="s">
        <v>62</v>
      </c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</row>
    <row r="1780" spans="1:39">
      <c r="B1780" s="799">
        <v>6</v>
      </c>
      <c r="C1780" s="949" t="s">
        <v>4303</v>
      </c>
      <c r="D1780" s="3">
        <v>200102096</v>
      </c>
      <c r="E1780" s="1469" t="s">
        <v>5110</v>
      </c>
      <c r="F1780" s="749">
        <v>15</v>
      </c>
      <c r="G1780" s="3" t="s">
        <v>60</v>
      </c>
      <c r="H1780" s="3" t="s">
        <v>128</v>
      </c>
      <c r="I1780" s="786">
        <v>469.1</v>
      </c>
      <c r="J1780" s="786">
        <v>261.26</v>
      </c>
      <c r="K1780" s="3" t="s">
        <v>2411</v>
      </c>
      <c r="L1780" s="761">
        <v>45085</v>
      </c>
      <c r="M1780" s="761" t="s">
        <v>2411</v>
      </c>
      <c r="N1780" s="761">
        <v>45086</v>
      </c>
      <c r="O1780" s="761" t="s">
        <v>62</v>
      </c>
      <c r="P1780" s="3" t="s">
        <v>5111</v>
      </c>
      <c r="Q1780" s="3" t="s">
        <v>1199</v>
      </c>
      <c r="R1780" s="825"/>
      <c r="S1780" s="3" t="s">
        <v>130</v>
      </c>
      <c r="T1780" s="825"/>
      <c r="U1780" s="786">
        <v>284</v>
      </c>
      <c r="V1780" s="825"/>
      <c r="W1780" s="825"/>
      <c r="X1780" s="761" t="s">
        <v>2411</v>
      </c>
      <c r="Y1780" s="761">
        <v>45089</v>
      </c>
      <c r="Z1780" s="761" t="s">
        <v>62</v>
      </c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</row>
    <row r="1781" spans="1:39">
      <c r="B1781" s="799">
        <v>6</v>
      </c>
      <c r="C1781" s="949" t="s">
        <v>4303</v>
      </c>
      <c r="D1781" s="3">
        <v>200102097</v>
      </c>
      <c r="E1781" s="1469" t="s">
        <v>5112</v>
      </c>
      <c r="F1781" s="749">
        <v>16</v>
      </c>
      <c r="G1781" s="3" t="s">
        <v>60</v>
      </c>
      <c r="H1781" s="3" t="s">
        <v>128</v>
      </c>
      <c r="I1781" s="786">
        <v>464.2</v>
      </c>
      <c r="J1781" s="786">
        <v>255.97</v>
      </c>
      <c r="K1781" s="3" t="s">
        <v>2411</v>
      </c>
      <c r="L1781" s="761">
        <v>45089</v>
      </c>
      <c r="M1781" s="761" t="s">
        <v>2411</v>
      </c>
      <c r="N1781" s="761">
        <v>45090</v>
      </c>
      <c r="O1781" s="761" t="s">
        <v>62</v>
      </c>
      <c r="P1781" s="3" t="s">
        <v>5113</v>
      </c>
      <c r="Q1781" s="3" t="s">
        <v>5114</v>
      </c>
      <c r="R1781" s="825"/>
      <c r="S1781" s="3" t="s">
        <v>130</v>
      </c>
      <c r="T1781" s="825"/>
      <c r="U1781" s="786">
        <v>279</v>
      </c>
      <c r="V1781" s="825"/>
      <c r="W1781" s="825"/>
      <c r="X1781" s="761" t="s">
        <v>2411</v>
      </c>
      <c r="Y1781" s="761">
        <v>45090</v>
      </c>
      <c r="Z1781" s="761" t="s">
        <v>62</v>
      </c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</row>
    <row r="1782" spans="1:39" s="707" customFormat="1">
      <c r="A1782"/>
      <c r="B1782" s="951" t="s">
        <v>13</v>
      </c>
      <c r="C1782" s="952" t="s">
        <v>1764</v>
      </c>
      <c r="D1782" s="862"/>
      <c r="E1782" s="807"/>
      <c r="F1782" s="808"/>
      <c r="G1782" s="807"/>
      <c r="H1782" s="807"/>
      <c r="I1782" s="820"/>
      <c r="J1782" s="837"/>
      <c r="K1782" s="807"/>
      <c r="L1782" s="819"/>
      <c r="M1782" s="819"/>
      <c r="N1782" s="819"/>
      <c r="O1782" s="819"/>
      <c r="P1782" s="807"/>
      <c r="Q1782" s="807"/>
      <c r="R1782" s="807"/>
      <c r="S1782" s="807"/>
      <c r="T1782" s="807"/>
      <c r="U1782" s="837"/>
      <c r="V1782" s="807"/>
      <c r="W1782" s="807"/>
      <c r="X1782" s="819"/>
      <c r="Y1782" s="819"/>
      <c r="Z1782" s="819"/>
      <c r="AA1782" s="710"/>
      <c r="AB1782" s="710"/>
      <c r="AC1782" s="710"/>
      <c r="AD1782" s="710"/>
      <c r="AE1782" s="710"/>
      <c r="AF1782" s="710"/>
      <c r="AG1782" s="710"/>
      <c r="AH1782" s="710"/>
      <c r="AI1782" s="710"/>
      <c r="AJ1782" s="710"/>
      <c r="AK1782" s="710"/>
      <c r="AL1782" s="710"/>
      <c r="AM1782" s="710"/>
    </row>
    <row r="1783" spans="1:39">
      <c r="B1783" s="799">
        <v>7</v>
      </c>
      <c r="C1783" s="949" t="s">
        <v>4303</v>
      </c>
      <c r="D1783" s="3">
        <v>200102344</v>
      </c>
      <c r="E1783" s="1469" t="s">
        <v>5115</v>
      </c>
      <c r="F1783" s="749">
        <v>1</v>
      </c>
      <c r="G1783" s="3" t="s">
        <v>60</v>
      </c>
      <c r="H1783" s="3" t="s">
        <v>128</v>
      </c>
      <c r="I1783" s="786">
        <v>464.29</v>
      </c>
      <c r="J1783" s="786">
        <v>255.84</v>
      </c>
      <c r="K1783" s="3" t="s">
        <v>2411</v>
      </c>
      <c r="L1783" s="761">
        <v>45099</v>
      </c>
      <c r="M1783" s="761" t="s">
        <v>2411</v>
      </c>
      <c r="N1783" s="761">
        <v>45100</v>
      </c>
      <c r="O1783" s="761" t="s">
        <v>62</v>
      </c>
      <c r="P1783" s="3" t="s">
        <v>5116</v>
      </c>
      <c r="Q1783" s="3" t="s">
        <v>5117</v>
      </c>
      <c r="R1783" s="825"/>
      <c r="S1783" s="3" t="s">
        <v>1547</v>
      </c>
      <c r="T1783" s="825"/>
      <c r="U1783" s="786">
        <v>278.60000000000002</v>
      </c>
      <c r="V1783" s="825"/>
      <c r="W1783" s="825"/>
      <c r="X1783" s="761" t="s">
        <v>2411</v>
      </c>
      <c r="Y1783" s="761">
        <v>45100</v>
      </c>
      <c r="Z1783" s="761" t="s">
        <v>62</v>
      </c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</row>
    <row r="1784" spans="1:39">
      <c r="B1784" s="799">
        <v>7</v>
      </c>
      <c r="C1784" s="949" t="s">
        <v>4303</v>
      </c>
      <c r="D1784" s="3">
        <v>200102345</v>
      </c>
      <c r="E1784" s="1469" t="s">
        <v>5118</v>
      </c>
      <c r="F1784" s="749">
        <v>2</v>
      </c>
      <c r="G1784" s="3" t="s">
        <v>60</v>
      </c>
      <c r="H1784" s="3" t="s">
        <v>128</v>
      </c>
      <c r="I1784" s="786">
        <v>464.5</v>
      </c>
      <c r="J1784" s="786">
        <v>259.7</v>
      </c>
      <c r="K1784" s="3" t="s">
        <v>2411</v>
      </c>
      <c r="L1784" s="761">
        <v>45100</v>
      </c>
      <c r="M1784" s="761" t="s">
        <v>2411</v>
      </c>
      <c r="N1784" s="761">
        <v>45100</v>
      </c>
      <c r="O1784" s="761" t="s">
        <v>62</v>
      </c>
      <c r="P1784" s="828" t="s">
        <v>5119</v>
      </c>
      <c r="Q1784" s="3" t="s">
        <v>4025</v>
      </c>
      <c r="R1784" s="825"/>
      <c r="S1784" s="3" t="s">
        <v>1547</v>
      </c>
      <c r="T1784" s="825"/>
      <c r="U1784" s="786">
        <v>282.60000000000002</v>
      </c>
      <c r="V1784" s="825"/>
      <c r="W1784" s="825"/>
      <c r="X1784" s="761" t="s">
        <v>2411</v>
      </c>
      <c r="Y1784" s="761">
        <v>45100</v>
      </c>
      <c r="Z1784" s="761" t="s">
        <v>62</v>
      </c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</row>
    <row r="1785" spans="1:39">
      <c r="B1785" s="799">
        <v>7</v>
      </c>
      <c r="C1785" s="949" t="s">
        <v>4303</v>
      </c>
      <c r="D1785" s="3">
        <v>200102346</v>
      </c>
      <c r="E1785" s="1469" t="s">
        <v>5120</v>
      </c>
      <c r="F1785" s="749">
        <v>3</v>
      </c>
      <c r="G1785" s="3" t="s">
        <v>60</v>
      </c>
      <c r="H1785" s="3" t="s">
        <v>128</v>
      </c>
      <c r="I1785" s="786">
        <v>459.91</v>
      </c>
      <c r="J1785" s="786">
        <v>255.73</v>
      </c>
      <c r="K1785" s="3" t="s">
        <v>2411</v>
      </c>
      <c r="L1785" s="761">
        <v>45104</v>
      </c>
      <c r="M1785" s="761" t="s">
        <v>2411</v>
      </c>
      <c r="N1785" s="761">
        <v>45104</v>
      </c>
      <c r="O1785" s="761" t="s">
        <v>62</v>
      </c>
      <c r="P1785" s="3" t="s">
        <v>5121</v>
      </c>
      <c r="Q1785" s="3" t="s">
        <v>5122</v>
      </c>
      <c r="R1785" s="825"/>
      <c r="S1785" s="3" t="s">
        <v>1547</v>
      </c>
      <c r="T1785" s="825"/>
      <c r="U1785" s="786">
        <v>278.39999999999998</v>
      </c>
      <c r="V1785" s="825"/>
      <c r="W1785" s="825"/>
      <c r="X1785" s="761" t="s">
        <v>2411</v>
      </c>
      <c r="Y1785" s="761">
        <v>45104</v>
      </c>
      <c r="Z1785" s="761" t="s">
        <v>62</v>
      </c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</row>
    <row r="1786" spans="1:39">
      <c r="B1786" s="799">
        <v>7</v>
      </c>
      <c r="C1786" s="949" t="s">
        <v>4303</v>
      </c>
      <c r="D1786" s="3">
        <v>200102347</v>
      </c>
      <c r="E1786" s="1469" t="s">
        <v>5123</v>
      </c>
      <c r="F1786" s="749">
        <v>4</v>
      </c>
      <c r="G1786" s="3" t="s">
        <v>60</v>
      </c>
      <c r="H1786" s="3" t="s">
        <v>128</v>
      </c>
      <c r="I1786" s="786">
        <v>473.2</v>
      </c>
      <c r="J1786" s="786">
        <v>260.52999999999997</v>
      </c>
      <c r="K1786" s="3" t="s">
        <v>2411</v>
      </c>
      <c r="L1786" s="761">
        <v>45104</v>
      </c>
      <c r="M1786" s="761" t="s">
        <v>2411</v>
      </c>
      <c r="N1786" s="761">
        <v>45104</v>
      </c>
      <c r="O1786" s="761" t="s">
        <v>62</v>
      </c>
      <c r="P1786" s="3" t="s">
        <v>5124</v>
      </c>
      <c r="Q1786" s="3" t="s">
        <v>5125</v>
      </c>
      <c r="R1786" s="825"/>
      <c r="S1786" s="3" t="s">
        <v>1547</v>
      </c>
      <c r="T1786" s="825"/>
      <c r="U1786" s="786">
        <v>282.89999999999998</v>
      </c>
      <c r="V1786" s="825"/>
      <c r="W1786" s="825"/>
      <c r="X1786" s="761" t="s">
        <v>2411</v>
      </c>
      <c r="Y1786" s="761">
        <v>45104</v>
      </c>
      <c r="Z1786" s="761" t="s">
        <v>62</v>
      </c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</row>
    <row r="1787" spans="1:39" s="707" customFormat="1">
      <c r="A1787"/>
      <c r="B1787" s="951" t="s">
        <v>13</v>
      </c>
      <c r="C1787" s="952" t="s">
        <v>1761</v>
      </c>
      <c r="D1787" s="862"/>
      <c r="E1787" s="807"/>
      <c r="F1787" s="808"/>
      <c r="G1787" s="807"/>
      <c r="H1787" s="807"/>
      <c r="I1787" s="820"/>
      <c r="J1787" s="837"/>
      <c r="K1787" s="807"/>
      <c r="L1787" s="819"/>
      <c r="M1787" s="819"/>
      <c r="N1787" s="819"/>
      <c r="O1787" s="819"/>
      <c r="P1787" s="807"/>
      <c r="Q1787" s="807"/>
      <c r="R1787" s="807"/>
      <c r="S1787" s="807"/>
      <c r="T1787" s="807"/>
      <c r="U1787" s="837"/>
      <c r="V1787" s="807"/>
      <c r="W1787" s="807"/>
      <c r="X1787" s="819"/>
      <c r="Y1787" s="819"/>
      <c r="Z1787" s="819"/>
      <c r="AA1787" s="710"/>
      <c r="AB1787" s="710"/>
      <c r="AC1787" s="710"/>
      <c r="AD1787" s="710"/>
      <c r="AE1787" s="710"/>
      <c r="AF1787" s="710"/>
      <c r="AG1787" s="710"/>
      <c r="AH1787" s="710"/>
      <c r="AI1787" s="710"/>
      <c r="AJ1787" s="710"/>
      <c r="AK1787" s="710"/>
      <c r="AL1787" s="710"/>
      <c r="AM1787" s="710"/>
    </row>
    <row r="1788" spans="1:39">
      <c r="B1788" s="799">
        <v>8</v>
      </c>
      <c r="C1788" s="949" t="s">
        <v>4303</v>
      </c>
      <c r="D1788" s="3">
        <v>200102661</v>
      </c>
      <c r="E1788" s="1469" t="s">
        <v>5126</v>
      </c>
      <c r="F1788" s="749">
        <v>1</v>
      </c>
      <c r="G1788" s="3" t="s">
        <v>128</v>
      </c>
      <c r="H1788" s="3" t="s">
        <v>128</v>
      </c>
      <c r="I1788" s="786">
        <v>467</v>
      </c>
      <c r="J1788" s="786">
        <v>255.14</v>
      </c>
      <c r="K1788" s="3" t="s">
        <v>2512</v>
      </c>
      <c r="L1788" s="761">
        <v>45125</v>
      </c>
      <c r="M1788" s="761" t="s">
        <v>2512</v>
      </c>
      <c r="N1788" s="761">
        <v>45127</v>
      </c>
      <c r="O1788" s="761" t="s">
        <v>62</v>
      </c>
      <c r="P1788" s="3" t="s">
        <v>5127</v>
      </c>
      <c r="Q1788" s="3" t="s">
        <v>5128</v>
      </c>
      <c r="R1788" s="825"/>
      <c r="S1788" s="3" t="s">
        <v>1547</v>
      </c>
      <c r="T1788" s="825"/>
      <c r="U1788" s="786">
        <v>277.7</v>
      </c>
      <c r="V1788" s="825"/>
      <c r="W1788" s="825"/>
      <c r="X1788" s="761" t="s">
        <v>2512</v>
      </c>
      <c r="Y1788" s="761">
        <v>45128</v>
      </c>
      <c r="Z1788" s="761" t="s">
        <v>62</v>
      </c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</row>
    <row r="1789" spans="1:39">
      <c r="B1789" s="799">
        <v>8</v>
      </c>
      <c r="C1789" s="949" t="s">
        <v>4303</v>
      </c>
      <c r="D1789" s="3">
        <v>200102662</v>
      </c>
      <c r="E1789" s="1469" t="s">
        <v>5129</v>
      </c>
      <c r="F1789" s="749">
        <v>2</v>
      </c>
      <c r="G1789" s="3" t="s">
        <v>128</v>
      </c>
      <c r="H1789" s="3" t="s">
        <v>128</v>
      </c>
      <c r="I1789" s="786">
        <v>467.2</v>
      </c>
      <c r="J1789" s="762">
        <v>260.24</v>
      </c>
      <c r="K1789" s="3" t="s">
        <v>2512</v>
      </c>
      <c r="L1789" s="761">
        <v>45125</v>
      </c>
      <c r="M1789" s="761" t="s">
        <v>2512</v>
      </c>
      <c r="N1789" s="761">
        <v>45127</v>
      </c>
      <c r="O1789" s="761" t="s">
        <v>62</v>
      </c>
      <c r="P1789" s="3" t="s">
        <v>5130</v>
      </c>
      <c r="Q1789" s="3" t="s">
        <v>3592</v>
      </c>
      <c r="R1789" s="825"/>
      <c r="S1789" s="3" t="s">
        <v>1547</v>
      </c>
      <c r="T1789" s="825"/>
      <c r="U1789" s="786">
        <v>283.2</v>
      </c>
      <c r="V1789" s="825"/>
      <c r="W1789" s="825"/>
      <c r="X1789" s="761" t="s">
        <v>2512</v>
      </c>
      <c r="Y1789" s="761">
        <v>45128</v>
      </c>
      <c r="Z1789" s="761" t="s">
        <v>62</v>
      </c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</row>
    <row r="1790" spans="1:39">
      <c r="B1790" s="799">
        <v>8</v>
      </c>
      <c r="C1790" s="949" t="s">
        <v>4303</v>
      </c>
      <c r="D1790" s="3">
        <v>200102663</v>
      </c>
      <c r="E1790" s="1469" t="s">
        <v>5131</v>
      </c>
      <c r="F1790" s="749">
        <v>3</v>
      </c>
      <c r="G1790" s="3" t="s">
        <v>128</v>
      </c>
      <c r="H1790" s="3" t="s">
        <v>128</v>
      </c>
      <c r="I1790" s="786">
        <v>469.5</v>
      </c>
      <c r="J1790" s="786">
        <v>256.14999999999998</v>
      </c>
      <c r="K1790" s="3" t="s">
        <v>2512</v>
      </c>
      <c r="L1790" s="761">
        <v>45125</v>
      </c>
      <c r="M1790" s="761" t="s">
        <v>2512</v>
      </c>
      <c r="N1790" s="761">
        <v>45128</v>
      </c>
      <c r="O1790" s="761" t="s">
        <v>62</v>
      </c>
      <c r="P1790" s="3" t="s">
        <v>5132</v>
      </c>
      <c r="Q1790" s="3" t="s">
        <v>5133</v>
      </c>
      <c r="R1790" s="825"/>
      <c r="S1790" s="3" t="s">
        <v>1547</v>
      </c>
      <c r="T1790" s="825"/>
      <c r="U1790" s="786">
        <v>279.10000000000002</v>
      </c>
      <c r="V1790" s="825"/>
      <c r="W1790" s="825"/>
      <c r="X1790" s="761" t="s">
        <v>2512</v>
      </c>
      <c r="Y1790" s="761">
        <v>45128</v>
      </c>
      <c r="Z1790" s="761" t="s">
        <v>62</v>
      </c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</row>
    <row r="1791" spans="1:39">
      <c r="B1791" s="799">
        <v>8</v>
      </c>
      <c r="C1791" s="949" t="s">
        <v>4303</v>
      </c>
      <c r="D1791" s="3">
        <v>200102664</v>
      </c>
      <c r="E1791" s="1469" t="s">
        <v>5134</v>
      </c>
      <c r="F1791" s="749">
        <v>4</v>
      </c>
      <c r="G1791" s="3" t="s">
        <v>128</v>
      </c>
      <c r="H1791" s="3" t="s">
        <v>128</v>
      </c>
      <c r="I1791" s="786">
        <v>460.9</v>
      </c>
      <c r="J1791" s="786">
        <v>259.94</v>
      </c>
      <c r="K1791" s="3" t="s">
        <v>2512</v>
      </c>
      <c r="L1791" s="761">
        <v>45128</v>
      </c>
      <c r="M1791" s="761" t="s">
        <v>2512</v>
      </c>
      <c r="N1791" s="761">
        <v>45128</v>
      </c>
      <c r="O1791" s="761" t="s">
        <v>62</v>
      </c>
      <c r="P1791" s="3" t="s">
        <v>5135</v>
      </c>
      <c r="Q1791" s="3" t="s">
        <v>5136</v>
      </c>
      <c r="R1791" s="825"/>
      <c r="S1791" s="3" t="s">
        <v>1547</v>
      </c>
      <c r="T1791" s="825"/>
      <c r="U1791" s="786">
        <v>282.5</v>
      </c>
      <c r="V1791" s="825"/>
      <c r="W1791" s="825"/>
      <c r="X1791" s="761" t="s">
        <v>2512</v>
      </c>
      <c r="Y1791" s="761">
        <v>45131</v>
      </c>
      <c r="Z1791" s="761" t="s">
        <v>62</v>
      </c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</row>
    <row r="1792" spans="1:39">
      <c r="B1792" s="799">
        <v>8</v>
      </c>
      <c r="C1792" s="949" t="s">
        <v>4303</v>
      </c>
      <c r="D1792" s="3">
        <v>200102665</v>
      </c>
      <c r="E1792" s="1469" t="s">
        <v>5137</v>
      </c>
      <c r="F1792" s="749">
        <v>5</v>
      </c>
      <c r="G1792" s="3" t="s">
        <v>128</v>
      </c>
      <c r="H1792" s="3" t="s">
        <v>128</v>
      </c>
      <c r="I1792" s="786">
        <v>468.3</v>
      </c>
      <c r="J1792" s="786">
        <v>254.64</v>
      </c>
      <c r="K1792" s="3" t="s">
        <v>2512</v>
      </c>
      <c r="L1792" s="761">
        <v>45128</v>
      </c>
      <c r="M1792" s="761" t="s">
        <v>2512</v>
      </c>
      <c r="N1792" s="761">
        <v>45131</v>
      </c>
      <c r="O1792" s="761" t="s">
        <v>62</v>
      </c>
      <c r="P1792" s="3" t="s">
        <v>5138</v>
      </c>
      <c r="Q1792" s="3" t="s">
        <v>5139</v>
      </c>
      <c r="R1792" s="825"/>
      <c r="S1792" s="3" t="s">
        <v>1547</v>
      </c>
      <c r="T1792" s="825"/>
      <c r="U1792" s="786">
        <v>277.5</v>
      </c>
      <c r="V1792" s="825"/>
      <c r="W1792" s="825"/>
      <c r="X1792" s="761" t="s">
        <v>2512</v>
      </c>
      <c r="Y1792" s="761">
        <v>45131</v>
      </c>
      <c r="Z1792" s="761" t="s">
        <v>62</v>
      </c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</row>
    <row r="1793" spans="2:39">
      <c r="B1793" s="799">
        <v>8</v>
      </c>
      <c r="C1793" s="949" t="s">
        <v>4303</v>
      </c>
      <c r="D1793" s="3">
        <v>200102666</v>
      </c>
      <c r="E1793" s="1469" t="s">
        <v>5140</v>
      </c>
      <c r="F1793" s="749">
        <v>6</v>
      </c>
      <c r="G1793" s="3" t="s">
        <v>60</v>
      </c>
      <c r="H1793" s="3" t="s">
        <v>128</v>
      </c>
      <c r="I1793" s="786">
        <v>461.63</v>
      </c>
      <c r="J1793" s="786">
        <v>261.38</v>
      </c>
      <c r="K1793" s="3" t="s">
        <v>2512</v>
      </c>
      <c r="L1793" s="761">
        <v>45128</v>
      </c>
      <c r="M1793" s="761" t="s">
        <v>2512</v>
      </c>
      <c r="N1793" s="761">
        <v>45131</v>
      </c>
      <c r="O1793" s="761" t="s">
        <v>62</v>
      </c>
      <c r="P1793" s="3" t="s">
        <v>5141</v>
      </c>
      <c r="Q1793" s="3" t="s">
        <v>5142</v>
      </c>
      <c r="R1793" s="825"/>
      <c r="S1793" s="3" t="s">
        <v>1547</v>
      </c>
      <c r="T1793" s="825"/>
      <c r="U1793" s="762">
        <v>284.2</v>
      </c>
      <c r="V1793" s="825"/>
      <c r="W1793" s="825"/>
      <c r="X1793" s="761" t="s">
        <v>2512</v>
      </c>
      <c r="Y1793" s="761">
        <v>45131</v>
      </c>
      <c r="Z1793" s="761" t="s">
        <v>62</v>
      </c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</row>
    <row r="1794" spans="2:39">
      <c r="B1794" s="799">
        <v>8</v>
      </c>
      <c r="C1794" s="949" t="s">
        <v>4303</v>
      </c>
      <c r="D1794" s="3">
        <v>200102667</v>
      </c>
      <c r="E1794" s="1469" t="s">
        <v>5143</v>
      </c>
      <c r="F1794" s="749">
        <v>7</v>
      </c>
      <c r="G1794" s="3" t="s">
        <v>60</v>
      </c>
      <c r="H1794" s="3" t="s">
        <v>128</v>
      </c>
      <c r="I1794" s="762">
        <v>466.3</v>
      </c>
      <c r="J1794" s="786">
        <v>253.79</v>
      </c>
      <c r="K1794" s="3" t="s">
        <v>2512</v>
      </c>
      <c r="L1794" s="761">
        <v>45128</v>
      </c>
      <c r="M1794" s="761" t="s">
        <v>2512</v>
      </c>
      <c r="N1794" s="761">
        <v>45133</v>
      </c>
      <c r="O1794" s="761" t="s">
        <v>62</v>
      </c>
      <c r="P1794" s="3" t="s">
        <v>5144</v>
      </c>
      <c r="Q1794" s="3" t="s">
        <v>5145</v>
      </c>
      <c r="R1794" s="825"/>
      <c r="S1794" s="3" t="s">
        <v>1547</v>
      </c>
      <c r="T1794" s="825"/>
      <c r="U1794" s="786">
        <v>276.7</v>
      </c>
      <c r="V1794" s="825"/>
      <c r="W1794" s="825"/>
      <c r="X1794" s="761" t="s">
        <v>2512</v>
      </c>
      <c r="Y1794" s="761">
        <v>45133</v>
      </c>
      <c r="Z1794" s="761" t="s">
        <v>62</v>
      </c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</row>
    <row r="1795" spans="2:39">
      <c r="B1795" s="799">
        <v>8</v>
      </c>
      <c r="C1795" s="949" t="s">
        <v>4303</v>
      </c>
      <c r="D1795" s="3">
        <v>200102668</v>
      </c>
      <c r="E1795" s="1469" t="s">
        <v>5146</v>
      </c>
      <c r="F1795" s="749">
        <v>8</v>
      </c>
      <c r="G1795" s="3" t="s">
        <v>60</v>
      </c>
      <c r="H1795" s="3" t="s">
        <v>128</v>
      </c>
      <c r="I1795" s="786">
        <v>463.65</v>
      </c>
      <c r="J1795" s="786">
        <v>261.45999999999998</v>
      </c>
      <c r="K1795" s="3" t="s">
        <v>2512</v>
      </c>
      <c r="L1795" s="761">
        <v>45133</v>
      </c>
      <c r="M1795" s="761" t="s">
        <v>2512</v>
      </c>
      <c r="N1795" s="761">
        <v>45133</v>
      </c>
      <c r="O1795" s="761" t="s">
        <v>62</v>
      </c>
      <c r="P1795" s="3" t="s">
        <v>5147</v>
      </c>
      <c r="Q1795" s="3" t="s">
        <v>4827</v>
      </c>
      <c r="R1795" s="825"/>
      <c r="S1795" s="3" t="s">
        <v>1547</v>
      </c>
      <c r="T1795" s="825"/>
      <c r="U1795" s="786">
        <v>284.10000000000002</v>
      </c>
      <c r="V1795" s="825"/>
      <c r="W1795" s="825"/>
      <c r="X1795" s="761" t="s">
        <v>2512</v>
      </c>
      <c r="Y1795" s="761">
        <v>45135</v>
      </c>
      <c r="Z1795" s="761" t="s">
        <v>62</v>
      </c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</row>
    <row r="1796" spans="2:39">
      <c r="B1796" s="799">
        <v>8</v>
      </c>
      <c r="C1796" s="949" t="s">
        <v>4303</v>
      </c>
      <c r="D1796" s="3">
        <v>200102669</v>
      </c>
      <c r="E1796" s="1469" t="s">
        <v>5148</v>
      </c>
      <c r="F1796" s="749">
        <v>9</v>
      </c>
      <c r="G1796" s="3" t="s">
        <v>60</v>
      </c>
      <c r="H1796" s="3" t="s">
        <v>60</v>
      </c>
      <c r="I1796" s="786">
        <v>466.58</v>
      </c>
      <c r="J1796" s="786">
        <v>252.79</v>
      </c>
      <c r="K1796" s="3" t="s">
        <v>2512</v>
      </c>
      <c r="L1796" s="761">
        <v>45133</v>
      </c>
      <c r="M1796" s="761" t="s">
        <v>2512</v>
      </c>
      <c r="N1796" s="761">
        <v>45135</v>
      </c>
      <c r="O1796" s="761" t="s">
        <v>62</v>
      </c>
      <c r="P1796" s="3" t="s">
        <v>5149</v>
      </c>
      <c r="Q1796" s="3" t="s">
        <v>5150</v>
      </c>
      <c r="R1796" s="825"/>
      <c r="S1796" s="3" t="s">
        <v>1547</v>
      </c>
      <c r="T1796" s="825"/>
      <c r="U1796" s="786">
        <v>275.39999999999998</v>
      </c>
      <c r="V1796" s="825"/>
      <c r="W1796" s="825"/>
      <c r="X1796" s="761" t="s">
        <v>2512</v>
      </c>
      <c r="Y1796" s="761">
        <v>45135</v>
      </c>
      <c r="Z1796" s="761" t="s">
        <v>62</v>
      </c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</row>
    <row r="1797" spans="2:39">
      <c r="B1797" s="799">
        <v>8</v>
      </c>
      <c r="C1797" s="949" t="s">
        <v>4303</v>
      </c>
      <c r="D1797" s="3">
        <v>200102523</v>
      </c>
      <c r="E1797" s="1469" t="s">
        <v>5151</v>
      </c>
      <c r="F1797" s="749">
        <v>10</v>
      </c>
      <c r="G1797" s="3" t="s">
        <v>128</v>
      </c>
      <c r="H1797" s="3" t="s">
        <v>128</v>
      </c>
      <c r="I1797" s="786">
        <v>466.28</v>
      </c>
      <c r="J1797" s="786">
        <v>259.69</v>
      </c>
      <c r="K1797" s="3" t="s">
        <v>2512</v>
      </c>
      <c r="L1797" s="761">
        <v>45134</v>
      </c>
      <c r="M1797" s="761" t="s">
        <v>2512</v>
      </c>
      <c r="N1797" s="761">
        <v>45138</v>
      </c>
      <c r="O1797" s="761" t="s">
        <v>62</v>
      </c>
      <c r="P1797" s="3" t="s">
        <v>5152</v>
      </c>
      <c r="Q1797" s="3" t="s">
        <v>5153</v>
      </c>
      <c r="R1797" s="825"/>
      <c r="S1797" s="3" t="s">
        <v>1547</v>
      </c>
      <c r="T1797" s="825"/>
      <c r="U1797" s="786">
        <v>282.10000000000002</v>
      </c>
      <c r="V1797" s="825"/>
      <c r="W1797" s="825"/>
      <c r="X1797" s="761" t="s">
        <v>2512</v>
      </c>
      <c r="Y1797" s="761">
        <v>45138</v>
      </c>
      <c r="Z1797" s="761" t="s">
        <v>62</v>
      </c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</row>
    <row r="1798" spans="2:39">
      <c r="B1798" s="799">
        <v>8</v>
      </c>
      <c r="C1798" s="949" t="s">
        <v>4303</v>
      </c>
      <c r="D1798" s="3">
        <v>200102524</v>
      </c>
      <c r="E1798" s="1469" t="s">
        <v>5154</v>
      </c>
      <c r="F1798" s="749">
        <v>11</v>
      </c>
      <c r="G1798" s="3" t="s">
        <v>128</v>
      </c>
      <c r="H1798" s="3" t="s">
        <v>128</v>
      </c>
      <c r="I1798" s="786">
        <v>468.29</v>
      </c>
      <c r="J1798" s="786">
        <v>259.01</v>
      </c>
      <c r="K1798" s="3" t="s">
        <v>2512</v>
      </c>
      <c r="L1798" s="761">
        <v>45134</v>
      </c>
      <c r="M1798" s="761" t="s">
        <v>2512</v>
      </c>
      <c r="N1798" s="761">
        <v>45138</v>
      </c>
      <c r="O1798" s="761" t="s">
        <v>62</v>
      </c>
      <c r="P1798" s="3" t="s">
        <v>5155</v>
      </c>
      <c r="Q1798" s="3" t="s">
        <v>5156</v>
      </c>
      <c r="R1798" s="825"/>
      <c r="S1798" s="3" t="s">
        <v>1547</v>
      </c>
      <c r="T1798" s="825"/>
      <c r="U1798" s="786">
        <v>281.60000000000002</v>
      </c>
      <c r="V1798" s="825"/>
      <c r="W1798" s="825"/>
      <c r="X1798" s="761" t="s">
        <v>2512</v>
      </c>
      <c r="Y1798" s="761">
        <v>45138</v>
      </c>
      <c r="Z1798" s="761" t="s">
        <v>62</v>
      </c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</row>
    <row r="1799" spans="2:39">
      <c r="B1799" s="799">
        <v>8</v>
      </c>
      <c r="C1799" s="949" t="s">
        <v>4303</v>
      </c>
      <c r="D1799" s="3">
        <v>200102525</v>
      </c>
      <c r="E1799" s="1469" t="s">
        <v>5157</v>
      </c>
      <c r="F1799" s="749">
        <v>12</v>
      </c>
      <c r="G1799" s="3" t="s">
        <v>60</v>
      </c>
      <c r="H1799" s="3" t="s">
        <v>128</v>
      </c>
      <c r="I1799" s="786">
        <v>465.7</v>
      </c>
      <c r="J1799" s="786">
        <f>126.68+128.21</f>
        <v>254.89000000000001</v>
      </c>
      <c r="K1799" s="3" t="s">
        <v>2512</v>
      </c>
      <c r="L1799" s="761">
        <v>45138</v>
      </c>
      <c r="M1799" s="761" t="s">
        <v>2556</v>
      </c>
      <c r="N1799" s="761">
        <v>45139</v>
      </c>
      <c r="O1799" s="761" t="s">
        <v>62</v>
      </c>
      <c r="P1799" s="3" t="s">
        <v>5158</v>
      </c>
      <c r="Q1799" s="3" t="s">
        <v>5159</v>
      </c>
      <c r="R1799" s="825"/>
      <c r="S1799" s="3" t="s">
        <v>1547</v>
      </c>
      <c r="T1799" s="825"/>
      <c r="U1799" s="786">
        <v>277.60000000000002</v>
      </c>
      <c r="V1799" s="825"/>
      <c r="W1799" s="825"/>
      <c r="X1799" s="761" t="s">
        <v>2556</v>
      </c>
      <c r="Y1799" s="761">
        <v>45139</v>
      </c>
      <c r="Z1799" s="761" t="s">
        <v>62</v>
      </c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</row>
    <row r="1800" spans="2:39">
      <c r="B1800" s="799">
        <v>8</v>
      </c>
      <c r="C1800" s="949" t="s">
        <v>4303</v>
      </c>
      <c r="D1800" s="3">
        <v>200102526</v>
      </c>
      <c r="E1800" s="1469" t="s">
        <v>5160</v>
      </c>
      <c r="F1800" s="749">
        <v>13</v>
      </c>
      <c r="G1800" s="3" t="s">
        <v>60</v>
      </c>
      <c r="H1800" s="3" t="s">
        <v>128</v>
      </c>
      <c r="I1800" s="786">
        <v>469.93</v>
      </c>
      <c r="J1800" s="786">
        <v>254.07</v>
      </c>
      <c r="K1800" s="761" t="s">
        <v>2556</v>
      </c>
      <c r="L1800" s="761">
        <v>45139</v>
      </c>
      <c r="M1800" s="761" t="s">
        <v>2556</v>
      </c>
      <c r="N1800" s="761">
        <v>45140</v>
      </c>
      <c r="O1800" s="761" t="s">
        <v>62</v>
      </c>
      <c r="P1800" s="3" t="s">
        <v>5161</v>
      </c>
      <c r="Q1800" s="3" t="s">
        <v>1175</v>
      </c>
      <c r="R1800" s="825"/>
      <c r="S1800" s="3" t="s">
        <v>1547</v>
      </c>
      <c r="T1800" s="825"/>
      <c r="U1800" s="762">
        <v>276.7</v>
      </c>
      <c r="V1800" s="825"/>
      <c r="W1800" s="825"/>
      <c r="X1800" s="761" t="s">
        <v>2556</v>
      </c>
      <c r="Y1800" s="761">
        <v>45140</v>
      </c>
      <c r="Z1800" s="761" t="s">
        <v>62</v>
      </c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</row>
    <row r="1801" spans="2:39">
      <c r="B1801" s="799">
        <v>8</v>
      </c>
      <c r="C1801" s="949" t="s">
        <v>4303</v>
      </c>
      <c r="D1801" s="3">
        <v>200102527</v>
      </c>
      <c r="E1801" s="1469" t="s">
        <v>5162</v>
      </c>
      <c r="F1801" s="749">
        <v>14</v>
      </c>
      <c r="G1801" s="3" t="s">
        <v>60</v>
      </c>
      <c r="H1801" s="3" t="s">
        <v>60</v>
      </c>
      <c r="I1801" s="786">
        <v>464</v>
      </c>
      <c r="J1801" s="786">
        <v>261.41000000000003</v>
      </c>
      <c r="K1801" s="3" t="s">
        <v>2556</v>
      </c>
      <c r="L1801" s="761">
        <v>45141</v>
      </c>
      <c r="M1801" s="761" t="s">
        <v>2556</v>
      </c>
      <c r="N1801" s="761">
        <v>45140</v>
      </c>
      <c r="O1801" s="761" t="s">
        <v>62</v>
      </c>
      <c r="P1801" s="3" t="s">
        <v>5163</v>
      </c>
      <c r="Q1801" s="3" t="s">
        <v>5164</v>
      </c>
      <c r="R1801" s="825"/>
      <c r="S1801" s="3" t="s">
        <v>1547</v>
      </c>
      <c r="T1801" s="825"/>
      <c r="U1801" s="786">
        <v>284.10000000000002</v>
      </c>
      <c r="V1801" s="825"/>
      <c r="W1801" s="825"/>
      <c r="X1801" s="761" t="s">
        <v>2556</v>
      </c>
      <c r="Y1801" s="761">
        <v>45141</v>
      </c>
      <c r="Z1801" s="761" t="s">
        <v>62</v>
      </c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</row>
    <row r="1802" spans="2:39">
      <c r="B1802" s="799">
        <v>8</v>
      </c>
      <c r="C1802" s="949" t="s">
        <v>4303</v>
      </c>
      <c r="D1802" s="3">
        <v>200102528</v>
      </c>
      <c r="E1802" s="1469" t="s">
        <v>5165</v>
      </c>
      <c r="F1802" s="749">
        <v>15</v>
      </c>
      <c r="G1802" s="3" t="s">
        <v>60</v>
      </c>
      <c r="H1802" s="3" t="s">
        <v>128</v>
      </c>
      <c r="I1802" s="786">
        <v>461.8</v>
      </c>
      <c r="J1802" s="786">
        <f>125.75+131.06</f>
        <v>256.81</v>
      </c>
      <c r="K1802" s="3" t="s">
        <v>2556</v>
      </c>
      <c r="L1802" s="761">
        <v>45142</v>
      </c>
      <c r="M1802" s="761" t="s">
        <v>2556</v>
      </c>
      <c r="N1802" s="761">
        <v>45141</v>
      </c>
      <c r="O1802" s="761" t="s">
        <v>62</v>
      </c>
      <c r="P1802" s="3" t="s">
        <v>5166</v>
      </c>
      <c r="Q1802" s="3" t="s">
        <v>5167</v>
      </c>
      <c r="R1802" s="825"/>
      <c r="S1802" s="3" t="s">
        <v>130</v>
      </c>
      <c r="T1802" s="825"/>
      <c r="U1802" s="786">
        <v>279.60000000000002</v>
      </c>
      <c r="V1802" s="825"/>
      <c r="W1802" s="825"/>
      <c r="X1802" s="761" t="s">
        <v>2556</v>
      </c>
      <c r="Y1802" s="761">
        <v>45142</v>
      </c>
      <c r="Z1802" s="761" t="s">
        <v>62</v>
      </c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</row>
    <row r="1803" spans="2:39">
      <c r="B1803" s="799">
        <v>8</v>
      </c>
      <c r="C1803" s="949" t="s">
        <v>4303</v>
      </c>
      <c r="D1803" s="3">
        <v>200102529</v>
      </c>
      <c r="E1803" s="1469" t="s">
        <v>5168</v>
      </c>
      <c r="F1803" s="749">
        <v>16</v>
      </c>
      <c r="G1803" s="3" t="s">
        <v>60</v>
      </c>
      <c r="H1803" s="3" t="s">
        <v>128</v>
      </c>
      <c r="I1803" s="762">
        <v>462.57</v>
      </c>
      <c r="J1803" s="786">
        <f>131.3+129.75</f>
        <v>261.05</v>
      </c>
      <c r="K1803" s="761" t="s">
        <v>2556</v>
      </c>
      <c r="L1803" s="761">
        <v>45139</v>
      </c>
      <c r="M1803" s="761" t="s">
        <v>2556</v>
      </c>
      <c r="N1803" s="761">
        <v>45139</v>
      </c>
      <c r="O1803" s="761" t="s">
        <v>62</v>
      </c>
      <c r="P1803" s="3" t="s">
        <v>5169</v>
      </c>
      <c r="Q1803" s="3" t="s">
        <v>5170</v>
      </c>
      <c r="R1803" s="825"/>
      <c r="S1803" s="3" t="s">
        <v>1547</v>
      </c>
      <c r="T1803" s="825"/>
      <c r="U1803" s="762">
        <v>284</v>
      </c>
      <c r="V1803" s="825"/>
      <c r="W1803" s="825"/>
      <c r="X1803" s="761" t="s">
        <v>2556</v>
      </c>
      <c r="Y1803" s="761">
        <v>45139</v>
      </c>
      <c r="Z1803" s="761" t="s">
        <v>62</v>
      </c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</row>
    <row r="1804" spans="2:39">
      <c r="B1804" s="799">
        <v>8</v>
      </c>
      <c r="C1804" s="949" t="s">
        <v>4303</v>
      </c>
      <c r="D1804" s="3">
        <v>200102530</v>
      </c>
      <c r="E1804" s="1469" t="s">
        <v>5171</v>
      </c>
      <c r="F1804" s="749">
        <v>17</v>
      </c>
      <c r="G1804" s="3" t="s">
        <v>60</v>
      </c>
      <c r="H1804" s="3" t="s">
        <v>128</v>
      </c>
      <c r="I1804" s="786">
        <v>465.19</v>
      </c>
      <c r="J1804" s="786">
        <f>127.37+131.44</f>
        <v>258.81</v>
      </c>
      <c r="K1804" s="3" t="s">
        <v>2556</v>
      </c>
      <c r="L1804" s="761">
        <v>45142</v>
      </c>
      <c r="M1804" s="761" t="s">
        <v>2556</v>
      </c>
      <c r="N1804" s="761">
        <v>45141</v>
      </c>
      <c r="O1804" s="761" t="s">
        <v>62</v>
      </c>
      <c r="P1804" s="3" t="s">
        <v>5172</v>
      </c>
      <c r="Q1804" s="3" t="s">
        <v>5167</v>
      </c>
      <c r="R1804" s="825"/>
      <c r="S1804" s="3" t="s">
        <v>130</v>
      </c>
      <c r="T1804" s="825"/>
      <c r="U1804" s="786">
        <v>281.8</v>
      </c>
      <c r="V1804" s="825"/>
      <c r="W1804" s="825"/>
      <c r="X1804" s="761" t="s">
        <v>2556</v>
      </c>
      <c r="Y1804" s="761">
        <v>45142</v>
      </c>
      <c r="Z1804" s="761" t="s">
        <v>62</v>
      </c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</row>
    <row r="1805" spans="2:39">
      <c r="B1805" s="799">
        <v>8</v>
      </c>
      <c r="C1805" s="949" t="s">
        <v>4303</v>
      </c>
      <c r="D1805" s="3">
        <v>200102686</v>
      </c>
      <c r="E1805" s="1469" t="s">
        <v>5173</v>
      </c>
      <c r="F1805" s="749">
        <v>18</v>
      </c>
      <c r="G1805" s="3" t="s">
        <v>128</v>
      </c>
      <c r="H1805" s="3" t="s">
        <v>128</v>
      </c>
      <c r="I1805" s="786">
        <v>464</v>
      </c>
      <c r="J1805" s="786">
        <v>256.77999999999997</v>
      </c>
      <c r="K1805" s="3" t="s">
        <v>2556</v>
      </c>
      <c r="L1805" s="761">
        <v>45146</v>
      </c>
      <c r="M1805" s="761" t="s">
        <v>2556</v>
      </c>
      <c r="N1805" s="761">
        <v>45145</v>
      </c>
      <c r="O1805" s="761" t="s">
        <v>62</v>
      </c>
      <c r="P1805" s="3" t="s">
        <v>5174</v>
      </c>
      <c r="Q1805" s="3" t="s">
        <v>5175</v>
      </c>
      <c r="R1805" s="825"/>
      <c r="S1805" s="3" t="s">
        <v>130</v>
      </c>
      <c r="T1805" s="825"/>
      <c r="U1805" s="786">
        <v>278.89999999999998</v>
      </c>
      <c r="V1805" s="825"/>
      <c r="W1805" s="825"/>
      <c r="X1805" s="761" t="s">
        <v>2556</v>
      </c>
      <c r="Y1805" s="761">
        <v>45145</v>
      </c>
      <c r="Z1805" s="761" t="s">
        <v>62</v>
      </c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</row>
    <row r="1806" spans="2:39">
      <c r="B1806" s="799">
        <v>8</v>
      </c>
      <c r="C1806" s="949" t="s">
        <v>4303</v>
      </c>
      <c r="D1806" s="3">
        <v>200102687</v>
      </c>
      <c r="E1806" s="1469" t="s">
        <v>5176</v>
      </c>
      <c r="F1806" s="749">
        <v>19</v>
      </c>
      <c r="G1806" s="3" t="s">
        <v>128</v>
      </c>
      <c r="H1806" s="3" t="s">
        <v>128</v>
      </c>
      <c r="I1806" s="786">
        <v>467.3</v>
      </c>
      <c r="J1806" s="786">
        <v>258.13</v>
      </c>
      <c r="K1806" s="3" t="s">
        <v>2556</v>
      </c>
      <c r="L1806" s="761">
        <v>45146</v>
      </c>
      <c r="M1806" s="761" t="s">
        <v>2556</v>
      </c>
      <c r="N1806" s="761">
        <v>45145</v>
      </c>
      <c r="O1806" s="761" t="s">
        <v>62</v>
      </c>
      <c r="P1806" s="3" t="s">
        <v>5177</v>
      </c>
      <c r="Q1806" s="3" t="s">
        <v>5178</v>
      </c>
      <c r="R1806" s="825"/>
      <c r="S1806" s="3" t="s">
        <v>130</v>
      </c>
      <c r="T1806" s="825"/>
      <c r="U1806" s="786">
        <v>280.7</v>
      </c>
      <c r="V1806" s="825"/>
      <c r="W1806" s="825"/>
      <c r="X1806" s="761" t="s">
        <v>2556</v>
      </c>
      <c r="Y1806" s="761">
        <v>45146</v>
      </c>
      <c r="Z1806" s="761" t="s">
        <v>62</v>
      </c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</row>
    <row r="1807" spans="2:39">
      <c r="B1807" s="799">
        <v>8</v>
      </c>
      <c r="C1807" s="949" t="s">
        <v>4303</v>
      </c>
      <c r="D1807" s="3">
        <v>200102688</v>
      </c>
      <c r="E1807" s="1469" t="s">
        <v>5179</v>
      </c>
      <c r="F1807" s="749">
        <v>20</v>
      </c>
      <c r="G1807" s="3" t="s">
        <v>128</v>
      </c>
      <c r="H1807" s="3" t="s">
        <v>128</v>
      </c>
      <c r="I1807" s="762">
        <v>463.7</v>
      </c>
      <c r="J1807" s="786">
        <v>260.12</v>
      </c>
      <c r="K1807" s="3" t="s">
        <v>2556</v>
      </c>
      <c r="L1807" s="761">
        <v>45146</v>
      </c>
      <c r="M1807" s="761" t="s">
        <v>2556</v>
      </c>
      <c r="N1807" s="761">
        <v>45145</v>
      </c>
      <c r="O1807" s="761" t="s">
        <v>62</v>
      </c>
      <c r="P1807" s="3" t="s">
        <v>5180</v>
      </c>
      <c r="Q1807" s="3" t="s">
        <v>5051</v>
      </c>
      <c r="R1807" s="825"/>
      <c r="S1807" s="3" t="s">
        <v>130</v>
      </c>
      <c r="T1807" s="825"/>
      <c r="U1807" s="786">
        <v>282.8</v>
      </c>
      <c r="V1807" s="825"/>
      <c r="W1807" s="825"/>
      <c r="X1807" s="761" t="s">
        <v>2556</v>
      </c>
      <c r="Y1807" s="761">
        <v>45146</v>
      </c>
      <c r="Z1807" s="761" t="s">
        <v>62</v>
      </c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</row>
    <row r="1808" spans="2:39">
      <c r="B1808" s="799">
        <v>8</v>
      </c>
      <c r="C1808" s="949" t="s">
        <v>4303</v>
      </c>
      <c r="D1808" s="3">
        <v>200102825</v>
      </c>
      <c r="E1808" s="1469" t="s">
        <v>5181</v>
      </c>
      <c r="F1808" s="749">
        <v>21</v>
      </c>
      <c r="G1808" s="3" t="s">
        <v>128</v>
      </c>
      <c r="H1808" s="3" t="s">
        <v>128</v>
      </c>
      <c r="I1808" s="786">
        <v>465.4</v>
      </c>
      <c r="J1808" s="786">
        <v>254.38</v>
      </c>
      <c r="K1808" s="3" t="s">
        <v>2556</v>
      </c>
      <c r="L1808" s="761">
        <v>45147</v>
      </c>
      <c r="M1808" s="761" t="s">
        <v>2556</v>
      </c>
      <c r="N1808" s="761">
        <v>45147</v>
      </c>
      <c r="O1808" s="761" t="s">
        <v>62</v>
      </c>
      <c r="P1808" s="3" t="s">
        <v>5182</v>
      </c>
      <c r="Q1808" s="3" t="s">
        <v>5183</v>
      </c>
      <c r="R1808" s="825"/>
      <c r="S1808" s="3" t="s">
        <v>130</v>
      </c>
      <c r="T1808" s="825"/>
      <c r="U1808" s="786">
        <v>277.2</v>
      </c>
      <c r="V1808" s="825"/>
      <c r="W1808" s="825"/>
      <c r="X1808" s="761" t="s">
        <v>2556</v>
      </c>
      <c r="Y1808" s="761">
        <v>45147</v>
      </c>
      <c r="Z1808" s="761" t="s">
        <v>62</v>
      </c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</row>
    <row r="1809" spans="1:39">
      <c r="B1809" s="799">
        <v>8</v>
      </c>
      <c r="C1809" s="949" t="s">
        <v>4303</v>
      </c>
      <c r="D1809" s="3">
        <v>200102826</v>
      </c>
      <c r="E1809" s="1469" t="s">
        <v>5184</v>
      </c>
      <c r="F1809" s="749">
        <v>22</v>
      </c>
      <c r="G1809" s="3" t="s">
        <v>128</v>
      </c>
      <c r="H1809" s="3" t="s">
        <v>128</v>
      </c>
      <c r="I1809" s="786">
        <v>466.7</v>
      </c>
      <c r="J1809" s="786">
        <v>261.69</v>
      </c>
      <c r="K1809" s="3" t="s">
        <v>2556</v>
      </c>
      <c r="L1809" s="761">
        <v>45147</v>
      </c>
      <c r="M1809" s="761" t="s">
        <v>2556</v>
      </c>
      <c r="N1809" s="761">
        <v>45147</v>
      </c>
      <c r="O1809" s="761" t="s">
        <v>62</v>
      </c>
      <c r="P1809" s="3" t="s">
        <v>5185</v>
      </c>
      <c r="Q1809" s="3" t="s">
        <v>5186</v>
      </c>
      <c r="R1809" s="825"/>
      <c r="S1809" s="3" t="s">
        <v>130</v>
      </c>
      <c r="T1809" s="825"/>
      <c r="U1809" s="786">
        <v>284.39999999999998</v>
      </c>
      <c r="V1809" s="825"/>
      <c r="W1809" s="825"/>
      <c r="X1809" s="761" t="s">
        <v>2556</v>
      </c>
      <c r="Y1809" s="761">
        <v>45147</v>
      </c>
      <c r="Z1809" s="761" t="s">
        <v>62</v>
      </c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</row>
    <row r="1810" spans="1:39">
      <c r="B1810" s="799">
        <v>8</v>
      </c>
      <c r="C1810" s="949" t="s">
        <v>4303</v>
      </c>
      <c r="D1810" s="3">
        <v>200102827</v>
      </c>
      <c r="E1810" s="1469" t="s">
        <v>5187</v>
      </c>
      <c r="F1810" s="749">
        <v>23</v>
      </c>
      <c r="G1810" s="3" t="s">
        <v>128</v>
      </c>
      <c r="H1810" s="3" t="s">
        <v>60</v>
      </c>
      <c r="I1810" s="786">
        <v>465.2</v>
      </c>
      <c r="J1810" s="786">
        <v>252.32</v>
      </c>
      <c r="K1810" s="3" t="s">
        <v>2556</v>
      </c>
      <c r="L1810" s="761">
        <v>45148</v>
      </c>
      <c r="M1810" s="761" t="s">
        <v>2556</v>
      </c>
      <c r="N1810" s="761">
        <v>45149</v>
      </c>
      <c r="O1810" s="761" t="s">
        <v>62</v>
      </c>
      <c r="P1810" s="3" t="s">
        <v>5188</v>
      </c>
      <c r="Q1810" s="3" t="s">
        <v>5189</v>
      </c>
      <c r="R1810" s="825"/>
      <c r="S1810" s="3" t="s">
        <v>130</v>
      </c>
      <c r="T1810" s="825"/>
      <c r="U1810" s="786">
        <v>275.3</v>
      </c>
      <c r="V1810" s="825"/>
      <c r="W1810" s="825"/>
      <c r="X1810" s="761" t="s">
        <v>2556</v>
      </c>
      <c r="Y1810" s="761">
        <v>45149</v>
      </c>
      <c r="Z1810" s="761" t="s">
        <v>62</v>
      </c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</row>
    <row r="1811" spans="1:39">
      <c r="B1811" s="799">
        <v>8</v>
      </c>
      <c r="C1811" s="949" t="s">
        <v>4303</v>
      </c>
      <c r="D1811" s="3">
        <v>200102828</v>
      </c>
      <c r="E1811" s="1469" t="s">
        <v>5190</v>
      </c>
      <c r="F1811" s="749">
        <v>24</v>
      </c>
      <c r="G1811" s="3" t="s">
        <v>128</v>
      </c>
      <c r="H1811" s="3" t="s">
        <v>60</v>
      </c>
      <c r="I1811" s="786">
        <v>463.9</v>
      </c>
      <c r="J1811" s="786">
        <v>258.88</v>
      </c>
      <c r="K1811" s="3" t="s">
        <v>2556</v>
      </c>
      <c r="L1811" s="761">
        <v>45148</v>
      </c>
      <c r="M1811" s="761" t="s">
        <v>2556</v>
      </c>
      <c r="N1811" s="761">
        <v>45149</v>
      </c>
      <c r="O1811" s="761" t="s">
        <v>62</v>
      </c>
      <c r="P1811" s="3" t="s">
        <v>5191</v>
      </c>
      <c r="Q1811" s="3" t="s">
        <v>5192</v>
      </c>
      <c r="R1811" s="825"/>
      <c r="S1811" s="3" t="s">
        <v>130</v>
      </c>
      <c r="T1811" s="825"/>
      <c r="U1811" s="762">
        <v>281.89999999999998</v>
      </c>
      <c r="V1811" s="825"/>
      <c r="W1811" s="825"/>
      <c r="X1811" s="761" t="s">
        <v>2556</v>
      </c>
      <c r="Y1811" s="761">
        <v>45149</v>
      </c>
      <c r="Z1811" s="761" t="s">
        <v>62</v>
      </c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</row>
    <row r="1812" spans="1:39">
      <c r="B1812" s="799">
        <v>8</v>
      </c>
      <c r="C1812" s="949" t="s">
        <v>4303</v>
      </c>
      <c r="D1812" s="3">
        <v>200102829</v>
      </c>
      <c r="E1812" s="1469" t="s">
        <v>5193</v>
      </c>
      <c r="F1812" s="749">
        <v>25</v>
      </c>
      <c r="G1812" s="3" t="s">
        <v>128</v>
      </c>
      <c r="H1812" s="3" t="s">
        <v>60</v>
      </c>
      <c r="I1812" s="786">
        <v>471.1</v>
      </c>
      <c r="J1812" s="786">
        <v>256.43</v>
      </c>
      <c r="K1812" s="3" t="s">
        <v>2556</v>
      </c>
      <c r="L1812" s="761">
        <v>45148</v>
      </c>
      <c r="M1812" s="761" t="s">
        <v>2556</v>
      </c>
      <c r="N1812" s="761">
        <v>45149</v>
      </c>
      <c r="O1812" s="761" t="s">
        <v>62</v>
      </c>
      <c r="P1812" s="3" t="s">
        <v>5194</v>
      </c>
      <c r="Q1812" s="3" t="s">
        <v>1043</v>
      </c>
      <c r="R1812" s="825"/>
      <c r="S1812" s="3" t="s">
        <v>130</v>
      </c>
      <c r="T1812" s="825"/>
      <c r="U1812" s="786">
        <v>280.2</v>
      </c>
      <c r="V1812" s="825"/>
      <c r="W1812" s="825"/>
      <c r="X1812" s="761" t="s">
        <v>2556</v>
      </c>
      <c r="Y1812" s="761">
        <v>45149</v>
      </c>
      <c r="Z1812" s="761" t="s">
        <v>62</v>
      </c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</row>
    <row r="1813" spans="1:39">
      <c r="B1813" s="799">
        <v>8</v>
      </c>
      <c r="C1813" s="949" t="s">
        <v>4303</v>
      </c>
      <c r="D1813" s="3">
        <v>200102830</v>
      </c>
      <c r="E1813" s="1469" t="s">
        <v>5195</v>
      </c>
      <c r="F1813" s="749">
        <v>26</v>
      </c>
      <c r="G1813" s="3" t="s">
        <v>1726</v>
      </c>
      <c r="H1813" s="3" t="s">
        <v>60</v>
      </c>
      <c r="I1813" s="786">
        <v>464.5</v>
      </c>
      <c r="J1813" s="786">
        <v>262.41000000000003</v>
      </c>
      <c r="K1813" s="3" t="s">
        <v>2556</v>
      </c>
      <c r="L1813" s="761">
        <v>45152</v>
      </c>
      <c r="M1813" s="761" t="s">
        <v>2556</v>
      </c>
      <c r="N1813" s="761">
        <v>45149</v>
      </c>
      <c r="O1813" s="761" t="s">
        <v>62</v>
      </c>
      <c r="P1813" s="3" t="s">
        <v>5196</v>
      </c>
      <c r="Q1813" s="3" t="s">
        <v>5197</v>
      </c>
      <c r="R1813" s="825"/>
      <c r="S1813" s="3" t="s">
        <v>130</v>
      </c>
      <c r="T1813" s="825"/>
      <c r="U1813" s="786">
        <f>285</f>
        <v>285</v>
      </c>
      <c r="V1813" s="825"/>
      <c r="W1813" s="825"/>
      <c r="X1813" s="761" t="s">
        <v>2556</v>
      </c>
      <c r="Y1813" s="761">
        <v>45152</v>
      </c>
      <c r="Z1813" s="761" t="s">
        <v>62</v>
      </c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</row>
    <row r="1814" spans="1:39">
      <c r="B1814" s="799">
        <v>8</v>
      </c>
      <c r="C1814" s="949" t="s">
        <v>4303</v>
      </c>
      <c r="D1814" s="3">
        <v>200102831</v>
      </c>
      <c r="E1814" s="1469" t="s">
        <v>5198</v>
      </c>
      <c r="F1814" s="749">
        <v>27</v>
      </c>
      <c r="G1814" s="1558" t="s">
        <v>5199</v>
      </c>
      <c r="H1814" s="1559"/>
      <c r="I1814" s="1559"/>
      <c r="J1814" s="1559"/>
      <c r="K1814" s="1559"/>
      <c r="L1814" s="1559"/>
      <c r="M1814" s="1559"/>
      <c r="N1814" s="1559"/>
      <c r="O1814" s="1559"/>
      <c r="P1814" s="1559"/>
      <c r="Q1814" s="1559"/>
      <c r="R1814" s="1559"/>
      <c r="S1814" s="1559"/>
      <c r="T1814" s="1559"/>
      <c r="U1814" s="1559"/>
      <c r="V1814" s="1559"/>
      <c r="W1814" s="1559"/>
      <c r="X1814" s="1559"/>
      <c r="Y1814" s="1559"/>
      <c r="Z1814" s="1560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</row>
    <row r="1815" spans="1:39">
      <c r="B1815" s="799">
        <v>8</v>
      </c>
      <c r="C1815" s="949" t="s">
        <v>4303</v>
      </c>
      <c r="D1815" s="3">
        <v>200102689</v>
      </c>
      <c r="E1815" s="1469" t="s">
        <v>5200</v>
      </c>
      <c r="F1815" s="749">
        <v>28</v>
      </c>
      <c r="G1815" s="1561"/>
      <c r="H1815" s="1562"/>
      <c r="I1815" s="1562"/>
      <c r="J1815" s="1562"/>
      <c r="K1815" s="1562"/>
      <c r="L1815" s="1562"/>
      <c r="M1815" s="1562"/>
      <c r="N1815" s="1562"/>
      <c r="O1815" s="1562"/>
      <c r="P1815" s="1562"/>
      <c r="Q1815" s="1562"/>
      <c r="R1815" s="1562"/>
      <c r="S1815" s="1562"/>
      <c r="T1815" s="1562"/>
      <c r="U1815" s="1562"/>
      <c r="V1815" s="1562"/>
      <c r="W1815" s="1562"/>
      <c r="X1815" s="1562"/>
      <c r="Y1815" s="1562"/>
      <c r="Z1815" s="1563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</row>
    <row r="1816" spans="1:39">
      <c r="B1816" s="799">
        <v>8</v>
      </c>
      <c r="C1816" s="949" t="s">
        <v>4303</v>
      </c>
      <c r="D1816" s="3">
        <v>200102690</v>
      </c>
      <c r="E1816" s="1469" t="s">
        <v>5201</v>
      </c>
      <c r="F1816" s="749">
        <v>29</v>
      </c>
      <c r="G1816" s="1564"/>
      <c r="H1816" s="1565"/>
      <c r="I1816" s="1565"/>
      <c r="J1816" s="1565"/>
      <c r="K1816" s="1565"/>
      <c r="L1816" s="1565"/>
      <c r="M1816" s="1565"/>
      <c r="N1816" s="1565"/>
      <c r="O1816" s="1565"/>
      <c r="P1816" s="1565"/>
      <c r="Q1816" s="1565"/>
      <c r="R1816" s="1565"/>
      <c r="S1816" s="1565"/>
      <c r="T1816" s="1565"/>
      <c r="U1816" s="1565"/>
      <c r="V1816" s="1565"/>
      <c r="W1816" s="1565"/>
      <c r="X1816" s="1565"/>
      <c r="Y1816" s="1565"/>
      <c r="Z1816" s="1566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</row>
    <row r="1817" spans="1:39" s="707" customFormat="1">
      <c r="A1817"/>
      <c r="B1817" s="951" t="s">
        <v>13</v>
      </c>
      <c r="C1817" s="952" t="s">
        <v>1760</v>
      </c>
      <c r="D1817" s="862"/>
      <c r="E1817" s="807"/>
      <c r="F1817" s="808"/>
      <c r="G1817" s="807"/>
      <c r="H1817" s="807"/>
      <c r="I1817" s="820"/>
      <c r="J1817" s="837"/>
      <c r="K1817" s="807"/>
      <c r="L1817" s="819"/>
      <c r="M1817" s="819"/>
      <c r="N1817" s="819"/>
      <c r="O1817" s="819"/>
      <c r="P1817" s="807"/>
      <c r="Q1817" s="807"/>
      <c r="R1817" s="807"/>
      <c r="S1817" s="807"/>
      <c r="T1817" s="807"/>
      <c r="U1817" s="837"/>
      <c r="V1817" s="807"/>
      <c r="W1817" s="807"/>
      <c r="X1817" s="819"/>
      <c r="Y1817" s="819"/>
      <c r="Z1817" s="819"/>
      <c r="AA1817" s="710"/>
      <c r="AB1817" s="710"/>
      <c r="AC1817" s="710"/>
      <c r="AD1817" s="710"/>
      <c r="AE1817" s="710"/>
      <c r="AF1817" s="710"/>
      <c r="AG1817" s="710"/>
      <c r="AH1817" s="710"/>
      <c r="AI1817" s="710"/>
      <c r="AJ1817" s="710"/>
      <c r="AK1817" s="710"/>
      <c r="AL1817" s="710"/>
      <c r="AM1817" s="710"/>
    </row>
    <row r="1818" spans="1:39">
      <c r="B1818" s="799">
        <v>9</v>
      </c>
      <c r="C1818" s="949" t="s">
        <v>4303</v>
      </c>
      <c r="D1818" s="3">
        <v>200103129</v>
      </c>
      <c r="E1818" s="1469" t="s">
        <v>5202</v>
      </c>
      <c r="F1818" s="749">
        <v>1</v>
      </c>
      <c r="G1818" s="3" t="s">
        <v>60</v>
      </c>
      <c r="H1818" s="3" t="s">
        <v>128</v>
      </c>
      <c r="I1818" s="786">
        <v>465</v>
      </c>
      <c r="J1818" s="786">
        <v>254.31</v>
      </c>
      <c r="K1818" s="3" t="s">
        <v>2556</v>
      </c>
      <c r="L1818" s="761">
        <v>45163</v>
      </c>
      <c r="M1818" s="3" t="s">
        <v>2556</v>
      </c>
      <c r="N1818" s="761">
        <v>45163</v>
      </c>
      <c r="O1818" s="761" t="s">
        <v>62</v>
      </c>
      <c r="P1818" s="3" t="s">
        <v>5203</v>
      </c>
      <c r="Q1818" s="3" t="s">
        <v>5204</v>
      </c>
      <c r="R1818" s="848"/>
      <c r="S1818" s="3" t="s">
        <v>130</v>
      </c>
      <c r="T1818" s="848"/>
      <c r="U1818" s="786">
        <v>277</v>
      </c>
      <c r="V1818" s="848"/>
      <c r="W1818" s="848"/>
      <c r="X1818" s="3" t="s">
        <v>2556</v>
      </c>
      <c r="Y1818" s="761">
        <v>45163</v>
      </c>
      <c r="Z1818" s="3" t="s">
        <v>62</v>
      </c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</row>
    <row r="1819" spans="1:39">
      <c r="B1819" s="799">
        <v>9</v>
      </c>
      <c r="C1819" s="949" t="s">
        <v>4303</v>
      </c>
      <c r="D1819" s="3">
        <v>200103130</v>
      </c>
      <c r="E1819" s="1494" t="s">
        <v>5205</v>
      </c>
      <c r="F1819" s="749">
        <v>2</v>
      </c>
      <c r="G1819" s="3" t="s">
        <v>60</v>
      </c>
      <c r="H1819" s="3" t="s">
        <v>128</v>
      </c>
      <c r="I1819" s="786">
        <v>463.5</v>
      </c>
      <c r="J1819" s="786">
        <v>259.92</v>
      </c>
      <c r="K1819" s="3" t="s">
        <v>2556</v>
      </c>
      <c r="L1819" s="761">
        <v>45166</v>
      </c>
      <c r="M1819" s="3" t="s">
        <v>2556</v>
      </c>
      <c r="N1819" s="761">
        <v>45163</v>
      </c>
      <c r="O1819" s="761" t="s">
        <v>62</v>
      </c>
      <c r="P1819" s="3" t="s">
        <v>5206</v>
      </c>
      <c r="Q1819" s="3" t="s">
        <v>5207</v>
      </c>
      <c r="R1819" s="848"/>
      <c r="S1819" s="3" t="s">
        <v>130</v>
      </c>
      <c r="T1819" s="848"/>
      <c r="U1819" s="762">
        <v>282.7</v>
      </c>
      <c r="V1819" s="848"/>
      <c r="W1819" s="848"/>
      <c r="X1819" s="3" t="s">
        <v>2556</v>
      </c>
      <c r="Y1819" s="761">
        <v>45163</v>
      </c>
      <c r="Z1819" s="3" t="s">
        <v>62</v>
      </c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</row>
    <row r="1820" spans="1:39">
      <c r="B1820" s="799">
        <v>9</v>
      </c>
      <c r="C1820" s="949" t="s">
        <v>4303</v>
      </c>
      <c r="D1820" s="3">
        <v>200103131</v>
      </c>
      <c r="E1820" s="1469" t="s">
        <v>5208</v>
      </c>
      <c r="F1820" s="749">
        <v>3</v>
      </c>
      <c r="G1820" s="3" t="s">
        <v>60</v>
      </c>
      <c r="H1820" s="3" t="s">
        <v>128</v>
      </c>
      <c r="I1820" s="786">
        <v>468.4</v>
      </c>
      <c r="J1820" s="786">
        <v>255.78</v>
      </c>
      <c r="K1820" s="3" t="s">
        <v>2556</v>
      </c>
      <c r="L1820" s="761">
        <v>45166</v>
      </c>
      <c r="M1820" s="3" t="s">
        <v>2556</v>
      </c>
      <c r="N1820" s="761">
        <v>45167</v>
      </c>
      <c r="O1820" s="761" t="s">
        <v>62</v>
      </c>
      <c r="P1820" s="3" t="s">
        <v>5209</v>
      </c>
      <c r="Q1820" s="3" t="s">
        <v>5210</v>
      </c>
      <c r="R1820" s="848"/>
      <c r="S1820" s="3" t="s">
        <v>130</v>
      </c>
      <c r="T1820" s="848"/>
      <c r="U1820" s="786">
        <v>278.39999999999998</v>
      </c>
      <c r="V1820" s="848"/>
      <c r="W1820" s="848"/>
      <c r="X1820" s="3" t="s">
        <v>2556</v>
      </c>
      <c r="Y1820" s="761">
        <v>45167</v>
      </c>
      <c r="Z1820" s="3" t="s">
        <v>62</v>
      </c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</row>
    <row r="1821" spans="1:39">
      <c r="B1821" s="799">
        <v>9</v>
      </c>
      <c r="C1821" s="949" t="s">
        <v>4303</v>
      </c>
      <c r="D1821" s="3">
        <v>200103132</v>
      </c>
      <c r="E1821" s="1469" t="s">
        <v>5211</v>
      </c>
      <c r="F1821" s="749">
        <v>4</v>
      </c>
      <c r="G1821" s="3" t="s">
        <v>60</v>
      </c>
      <c r="H1821" s="3" t="s">
        <v>128</v>
      </c>
      <c r="I1821" s="786">
        <v>465.9</v>
      </c>
      <c r="J1821" s="786">
        <v>259.86</v>
      </c>
      <c r="K1821" s="3" t="s">
        <v>2556</v>
      </c>
      <c r="L1821" s="761">
        <v>45167</v>
      </c>
      <c r="M1821" s="3" t="s">
        <v>2556</v>
      </c>
      <c r="N1821" s="761">
        <v>45167</v>
      </c>
      <c r="O1821" s="761" t="s">
        <v>62</v>
      </c>
      <c r="P1821" s="3" t="s">
        <v>5212</v>
      </c>
      <c r="Q1821" s="3" t="s">
        <v>5213</v>
      </c>
      <c r="R1821" s="848"/>
      <c r="S1821" s="3" t="s">
        <v>130</v>
      </c>
      <c r="T1821" s="848"/>
      <c r="U1821" s="786">
        <v>282.89999999999998</v>
      </c>
      <c r="V1821" s="848"/>
      <c r="W1821" s="848"/>
      <c r="X1821" s="3" t="s">
        <v>2556</v>
      </c>
      <c r="Y1821" s="761">
        <v>45167</v>
      </c>
      <c r="Z1821" s="3" t="s">
        <v>62</v>
      </c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</row>
    <row r="1822" spans="1:39">
      <c r="B1822" s="799">
        <v>9</v>
      </c>
      <c r="C1822" s="949" t="s">
        <v>4303</v>
      </c>
      <c r="D1822" s="3">
        <v>200103176</v>
      </c>
      <c r="E1822" s="1469" t="s">
        <v>5214</v>
      </c>
      <c r="F1822" s="749">
        <v>5</v>
      </c>
      <c r="G1822" s="3" t="s">
        <v>60</v>
      </c>
      <c r="H1822" s="3" t="s">
        <v>128</v>
      </c>
      <c r="I1822" s="786">
        <v>466.8</v>
      </c>
      <c r="J1822" s="786">
        <v>258.63</v>
      </c>
      <c r="K1822" s="3" t="s">
        <v>2556</v>
      </c>
      <c r="L1822" s="761">
        <v>45168</v>
      </c>
      <c r="M1822" s="3" t="s">
        <v>2556</v>
      </c>
      <c r="N1822" s="761">
        <v>45168</v>
      </c>
      <c r="O1822" s="761" t="s">
        <v>62</v>
      </c>
      <c r="P1822" s="3" t="s">
        <v>5215</v>
      </c>
      <c r="Q1822" s="3" t="s">
        <v>5216</v>
      </c>
      <c r="R1822" s="848"/>
      <c r="S1822" s="3" t="s">
        <v>130</v>
      </c>
      <c r="T1822" s="848"/>
      <c r="U1822" s="786">
        <v>277.5</v>
      </c>
      <c r="V1822" s="848"/>
      <c r="W1822" s="848"/>
      <c r="X1822" s="3" t="s">
        <v>2556</v>
      </c>
      <c r="Y1822" s="761">
        <v>45168</v>
      </c>
      <c r="Z1822" s="3" t="s">
        <v>62</v>
      </c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</row>
    <row r="1823" spans="1:39">
      <c r="B1823" s="799">
        <v>9</v>
      </c>
      <c r="C1823" s="949" t="s">
        <v>4303</v>
      </c>
      <c r="D1823" s="3">
        <v>200103177</v>
      </c>
      <c r="E1823" s="1469" t="s">
        <v>5217</v>
      </c>
      <c r="F1823" s="749">
        <v>6</v>
      </c>
      <c r="G1823" s="3" t="s">
        <v>60</v>
      </c>
      <c r="H1823" s="3" t="s">
        <v>128</v>
      </c>
      <c r="I1823" s="786">
        <f>155.1+155.2+155.2</f>
        <v>465.49999999999994</v>
      </c>
      <c r="J1823" s="786">
        <v>258.63</v>
      </c>
      <c r="K1823" s="3" t="s">
        <v>2556</v>
      </c>
      <c r="L1823" s="761">
        <v>45168</v>
      </c>
      <c r="M1823" s="3" t="s">
        <v>2556</v>
      </c>
      <c r="N1823" s="761">
        <v>45168</v>
      </c>
      <c r="O1823" s="761" t="s">
        <v>62</v>
      </c>
      <c r="P1823" s="3" t="s">
        <v>5218</v>
      </c>
      <c r="Q1823" s="3" t="s">
        <v>4774</v>
      </c>
      <c r="R1823" s="848"/>
      <c r="S1823" s="3" t="s">
        <v>130</v>
      </c>
      <c r="T1823" s="848"/>
      <c r="U1823" s="786">
        <v>281.39999999999998</v>
      </c>
      <c r="V1823" s="848"/>
      <c r="W1823" s="848"/>
      <c r="X1823" s="3" t="s">
        <v>2556</v>
      </c>
      <c r="Y1823" s="761">
        <v>45168</v>
      </c>
      <c r="Z1823" s="3" t="s">
        <v>62</v>
      </c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</row>
    <row r="1824" spans="1:39">
      <c r="B1824" s="799">
        <v>9</v>
      </c>
      <c r="C1824" s="949" t="s">
        <v>4303</v>
      </c>
      <c r="D1824" s="3">
        <v>200103178</v>
      </c>
      <c r="E1824" s="1469" t="s">
        <v>5219</v>
      </c>
      <c r="F1824" s="749">
        <v>7</v>
      </c>
      <c r="G1824" s="3" t="s">
        <v>1726</v>
      </c>
      <c r="H1824" s="3" t="s">
        <v>128</v>
      </c>
      <c r="I1824" s="786">
        <v>462</v>
      </c>
      <c r="J1824" s="786">
        <v>258.5</v>
      </c>
      <c r="K1824" s="3" t="s">
        <v>2556</v>
      </c>
      <c r="L1824" s="761">
        <v>45169</v>
      </c>
      <c r="M1824" s="3" t="s">
        <v>2556</v>
      </c>
      <c r="N1824" s="761">
        <v>45169</v>
      </c>
      <c r="O1824" s="761" t="s">
        <v>62</v>
      </c>
      <c r="P1824" s="3" t="s">
        <v>5220</v>
      </c>
      <c r="Q1824" s="3" t="s">
        <v>5221</v>
      </c>
      <c r="R1824" s="848"/>
      <c r="S1824" s="3" t="s">
        <v>130</v>
      </c>
      <c r="T1824" s="848"/>
      <c r="U1824" s="786">
        <v>276.39999999999998</v>
      </c>
      <c r="V1824" s="848"/>
      <c r="W1824" s="848"/>
      <c r="X1824" s="3" t="s">
        <v>2556</v>
      </c>
      <c r="Y1824" s="761">
        <v>45177</v>
      </c>
      <c r="Z1824" s="3" t="s">
        <v>62</v>
      </c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</row>
    <row r="1825" spans="1:39">
      <c r="B1825" s="799">
        <v>9</v>
      </c>
      <c r="C1825" s="949" t="s">
        <v>4303</v>
      </c>
      <c r="D1825" s="3">
        <v>200103159</v>
      </c>
      <c r="E1825" s="1469" t="s">
        <v>5222</v>
      </c>
      <c r="F1825" s="749">
        <v>8</v>
      </c>
      <c r="G1825" s="3" t="s">
        <v>60</v>
      </c>
      <c r="H1825" s="3" t="s">
        <v>128</v>
      </c>
      <c r="I1825" s="786">
        <v>456</v>
      </c>
      <c r="J1825" s="762">
        <f>124.84+128.89</f>
        <v>253.73</v>
      </c>
      <c r="K1825" s="3" t="s">
        <v>2661</v>
      </c>
      <c r="L1825" s="761">
        <v>45181</v>
      </c>
      <c r="M1825" s="3" t="s">
        <v>2661</v>
      </c>
      <c r="N1825" s="761">
        <v>45181</v>
      </c>
      <c r="O1825" s="761" t="s">
        <v>62</v>
      </c>
      <c r="P1825" s="3" t="s">
        <v>5223</v>
      </c>
      <c r="Q1825" s="3" t="s">
        <v>5224</v>
      </c>
      <c r="R1825" s="848"/>
      <c r="S1825" s="3" t="s">
        <v>130</v>
      </c>
      <c r="T1825" s="848"/>
      <c r="U1825" s="762">
        <v>277.2</v>
      </c>
      <c r="V1825" s="848"/>
      <c r="W1825" s="848"/>
      <c r="X1825" s="3" t="s">
        <v>2661</v>
      </c>
      <c r="Y1825" s="761">
        <v>45181</v>
      </c>
      <c r="Z1825" s="3" t="s">
        <v>62</v>
      </c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</row>
    <row r="1826" spans="1:39">
      <c r="B1826" s="799">
        <v>9</v>
      </c>
      <c r="C1826" s="949" t="s">
        <v>4303</v>
      </c>
      <c r="D1826" s="3">
        <v>200103220</v>
      </c>
      <c r="E1826" s="1469" t="s">
        <v>5225</v>
      </c>
      <c r="F1826" s="749">
        <v>9</v>
      </c>
      <c r="G1826" s="3" t="s">
        <v>60</v>
      </c>
      <c r="H1826" s="3" t="s">
        <v>128</v>
      </c>
      <c r="I1826" s="786">
        <v>460.8</v>
      </c>
      <c r="J1826" s="786">
        <v>260.62</v>
      </c>
      <c r="K1826" s="3" t="s">
        <v>2661</v>
      </c>
      <c r="L1826" s="761">
        <v>45181</v>
      </c>
      <c r="M1826" s="3" t="s">
        <v>2661</v>
      </c>
      <c r="N1826" s="761">
        <v>45181</v>
      </c>
      <c r="O1826" s="761" t="s">
        <v>62</v>
      </c>
      <c r="P1826" s="3" t="s">
        <v>5226</v>
      </c>
      <c r="Q1826" s="3" t="s">
        <v>4714</v>
      </c>
      <c r="R1826" s="848"/>
      <c r="S1826" s="3" t="s">
        <v>130</v>
      </c>
      <c r="T1826" s="848"/>
      <c r="U1826" s="762">
        <v>284</v>
      </c>
      <c r="V1826" s="848"/>
      <c r="W1826" s="848"/>
      <c r="X1826" s="3" t="s">
        <v>2661</v>
      </c>
      <c r="Y1826" s="761">
        <v>45181</v>
      </c>
      <c r="Z1826" s="3" t="s">
        <v>62</v>
      </c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</row>
    <row r="1827" spans="1:39">
      <c r="B1827" s="799">
        <v>9</v>
      </c>
      <c r="C1827" s="949" t="s">
        <v>4303</v>
      </c>
      <c r="D1827" s="3">
        <v>200103221</v>
      </c>
      <c r="E1827" s="1469" t="s">
        <v>5227</v>
      </c>
      <c r="F1827" s="749">
        <v>10</v>
      </c>
      <c r="G1827" s="3" t="s">
        <v>60</v>
      </c>
      <c r="H1827" s="3" t="s">
        <v>128</v>
      </c>
      <c r="I1827" s="786">
        <v>463.49</v>
      </c>
      <c r="J1827" s="786">
        <v>253.01</v>
      </c>
      <c r="K1827" s="3" t="s">
        <v>2661</v>
      </c>
      <c r="L1827" s="761">
        <v>45181</v>
      </c>
      <c r="M1827" s="3" t="s">
        <v>2661</v>
      </c>
      <c r="N1827" s="761">
        <v>45182</v>
      </c>
      <c r="O1827" s="761" t="s">
        <v>62</v>
      </c>
      <c r="P1827" s="3" t="s">
        <v>5228</v>
      </c>
      <c r="Q1827" s="3" t="s">
        <v>5229</v>
      </c>
      <c r="R1827" s="848"/>
      <c r="S1827" s="3" t="s">
        <v>130</v>
      </c>
      <c r="T1827" s="956"/>
      <c r="U1827" s="3">
        <v>378.51</v>
      </c>
      <c r="V1827" s="848"/>
      <c r="W1827" s="848"/>
      <c r="X1827" s="3" t="s">
        <v>2661</v>
      </c>
      <c r="Y1827" s="761">
        <v>45182</v>
      </c>
      <c r="Z1827" s="3" t="s">
        <v>62</v>
      </c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</row>
    <row r="1828" spans="1:39">
      <c r="B1828" s="799">
        <v>9</v>
      </c>
      <c r="C1828" s="949" t="s">
        <v>4303</v>
      </c>
      <c r="D1828" s="3">
        <v>200103222</v>
      </c>
      <c r="E1828" s="1469" t="s">
        <v>5230</v>
      </c>
      <c r="F1828" s="749">
        <v>11</v>
      </c>
      <c r="G1828" s="3" t="s">
        <v>60</v>
      </c>
      <c r="H1828" s="3" t="s">
        <v>128</v>
      </c>
      <c r="I1828" s="786">
        <v>465.82</v>
      </c>
      <c r="J1828" s="786">
        <v>260.3</v>
      </c>
      <c r="K1828" s="3" t="s">
        <v>2661</v>
      </c>
      <c r="L1828" s="761">
        <v>45181</v>
      </c>
      <c r="M1828" s="3" t="s">
        <v>2661</v>
      </c>
      <c r="N1828" s="761">
        <v>45182</v>
      </c>
      <c r="O1828" s="761" t="s">
        <v>62</v>
      </c>
      <c r="P1828" s="3" t="s">
        <v>5231</v>
      </c>
      <c r="Q1828" s="3" t="s">
        <v>5232</v>
      </c>
      <c r="R1828" s="848"/>
      <c r="S1828" s="3" t="s">
        <v>130</v>
      </c>
      <c r="T1828" s="848"/>
      <c r="U1828" s="3">
        <v>283.54000000000002</v>
      </c>
      <c r="V1828" s="848"/>
      <c r="W1828" s="848"/>
      <c r="X1828" s="3" t="s">
        <v>2661</v>
      </c>
      <c r="Y1828" s="761">
        <v>45182</v>
      </c>
      <c r="Z1828" s="3" t="s">
        <v>62</v>
      </c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</row>
    <row r="1829" spans="1:39">
      <c r="B1829" s="799">
        <v>9</v>
      </c>
      <c r="C1829" s="949" t="s">
        <v>4303</v>
      </c>
      <c r="D1829" s="3">
        <v>200103349</v>
      </c>
      <c r="E1829" s="1469" t="s">
        <v>5233</v>
      </c>
      <c r="F1829" s="749">
        <v>12</v>
      </c>
      <c r="G1829" s="3" t="s">
        <v>60</v>
      </c>
      <c r="H1829" s="3" t="s">
        <v>128</v>
      </c>
      <c r="I1829" s="786">
        <f>152.9+153.9+154.8</f>
        <v>461.6</v>
      </c>
      <c r="J1829" s="786">
        <v>254.12</v>
      </c>
      <c r="K1829" s="3" t="s">
        <v>2661</v>
      </c>
      <c r="L1829" s="761">
        <v>45182</v>
      </c>
      <c r="M1829" s="3" t="s">
        <v>2661</v>
      </c>
      <c r="N1829" s="761">
        <v>45183</v>
      </c>
      <c r="O1829" s="761" t="s">
        <v>62</v>
      </c>
      <c r="P1829" s="3" t="s">
        <v>5234</v>
      </c>
      <c r="Q1829" s="3" t="s">
        <v>5235</v>
      </c>
      <c r="R1829" s="848"/>
      <c r="S1829" s="3" t="s">
        <v>130</v>
      </c>
      <c r="T1829" s="848"/>
      <c r="U1829" s="786">
        <v>276.8</v>
      </c>
      <c r="V1829" s="848"/>
      <c r="W1829" s="848"/>
      <c r="X1829" s="3" t="s">
        <v>2661</v>
      </c>
      <c r="Y1829" s="761">
        <v>45183</v>
      </c>
      <c r="Z1829" s="3" t="s">
        <v>62</v>
      </c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</row>
    <row r="1830" spans="1:39">
      <c r="B1830" s="799">
        <v>9</v>
      </c>
      <c r="C1830" s="949" t="s">
        <v>4303</v>
      </c>
      <c r="D1830" s="3">
        <v>200103350</v>
      </c>
      <c r="E1830" s="1469" t="s">
        <v>5236</v>
      </c>
      <c r="F1830" s="749">
        <v>13</v>
      </c>
      <c r="G1830" s="3" t="s">
        <v>60</v>
      </c>
      <c r="H1830" s="3" t="s">
        <v>128</v>
      </c>
      <c r="I1830" s="786">
        <v>465.43</v>
      </c>
      <c r="J1830" s="828">
        <v>260.73</v>
      </c>
      <c r="K1830" s="3" t="s">
        <v>2661</v>
      </c>
      <c r="L1830" s="761">
        <v>45182</v>
      </c>
      <c r="M1830" s="3" t="s">
        <v>2661</v>
      </c>
      <c r="N1830" s="761">
        <v>45183</v>
      </c>
      <c r="O1830" s="761" t="s">
        <v>62</v>
      </c>
      <c r="P1830" s="3" t="s">
        <v>5237</v>
      </c>
      <c r="Q1830" s="3" t="s">
        <v>969</v>
      </c>
      <c r="R1830" s="848"/>
      <c r="S1830" s="3" t="s">
        <v>130</v>
      </c>
      <c r="T1830" s="848"/>
      <c r="U1830" s="762">
        <v>283.3</v>
      </c>
      <c r="V1830" s="848"/>
      <c r="W1830" s="848"/>
      <c r="X1830" s="3" t="s">
        <v>2661</v>
      </c>
      <c r="Y1830" s="761">
        <v>45183</v>
      </c>
      <c r="Z1830" s="3" t="s">
        <v>62</v>
      </c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</row>
    <row r="1831" spans="1:39">
      <c r="B1831" s="799">
        <v>9</v>
      </c>
      <c r="C1831" s="949" t="s">
        <v>4303</v>
      </c>
      <c r="D1831" s="3">
        <v>200103351</v>
      </c>
      <c r="E1831" s="1469" t="s">
        <v>5238</v>
      </c>
      <c r="F1831" s="749">
        <v>14</v>
      </c>
      <c r="G1831" s="3" t="s">
        <v>60</v>
      </c>
      <c r="H1831" s="3" t="s">
        <v>128</v>
      </c>
      <c r="I1831" s="786">
        <v>463.3</v>
      </c>
      <c r="J1831" s="786">
        <v>257</v>
      </c>
      <c r="K1831" s="3" t="s">
        <v>2661</v>
      </c>
      <c r="L1831" s="761">
        <v>45182</v>
      </c>
      <c r="M1831" s="3" t="s">
        <v>2661</v>
      </c>
      <c r="N1831" s="761">
        <v>45183</v>
      </c>
      <c r="O1831" s="761" t="s">
        <v>62</v>
      </c>
      <c r="P1831" s="3" t="s">
        <v>5239</v>
      </c>
      <c r="Q1831" s="3" t="s">
        <v>5240</v>
      </c>
      <c r="R1831" s="848"/>
      <c r="S1831" s="3" t="s">
        <v>130</v>
      </c>
      <c r="T1831" s="848"/>
      <c r="U1831" s="762">
        <v>279.8</v>
      </c>
      <c r="V1831" s="848"/>
      <c r="W1831" s="848"/>
      <c r="X1831" s="3" t="s">
        <v>2661</v>
      </c>
      <c r="Y1831" s="761">
        <v>45183</v>
      </c>
      <c r="Z1831" s="3" t="s">
        <v>62</v>
      </c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</row>
    <row r="1832" spans="1:39">
      <c r="B1832" s="799">
        <v>9</v>
      </c>
      <c r="C1832" s="949" t="s">
        <v>4303</v>
      </c>
      <c r="D1832" s="3">
        <v>200103352</v>
      </c>
      <c r="E1832" s="1469" t="s">
        <v>5241</v>
      </c>
      <c r="F1832" s="749">
        <v>15</v>
      </c>
      <c r="G1832" s="3" t="s">
        <v>60</v>
      </c>
      <c r="H1832" s="3" t="s">
        <v>128</v>
      </c>
      <c r="I1832" s="786">
        <v>466.9</v>
      </c>
      <c r="J1832" s="786">
        <v>258.18</v>
      </c>
      <c r="K1832" s="3" t="s">
        <v>2661</v>
      </c>
      <c r="L1832" s="761">
        <v>45182</v>
      </c>
      <c r="M1832" s="3" t="s">
        <v>2661</v>
      </c>
      <c r="N1832" s="761">
        <v>45183</v>
      </c>
      <c r="O1832" s="761" t="s">
        <v>62</v>
      </c>
      <c r="P1832" s="3" t="s">
        <v>5242</v>
      </c>
      <c r="Q1832" s="3" t="s">
        <v>5243</v>
      </c>
      <c r="R1832" s="848"/>
      <c r="S1832" s="3" t="s">
        <v>130</v>
      </c>
      <c r="T1832" s="848"/>
      <c r="U1832" s="786">
        <v>281.10000000000002</v>
      </c>
      <c r="V1832" s="848"/>
      <c r="W1832" s="848"/>
      <c r="X1832" s="3" t="s">
        <v>2661</v>
      </c>
      <c r="Y1832" s="761">
        <v>45184</v>
      </c>
      <c r="Z1832" s="3" t="s">
        <v>62</v>
      </c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</row>
    <row r="1833" spans="1:39">
      <c r="B1833" s="799">
        <v>9</v>
      </c>
      <c r="C1833" s="949" t="s">
        <v>4303</v>
      </c>
      <c r="D1833" s="3">
        <v>200103353</v>
      </c>
      <c r="E1833" s="1469" t="s">
        <v>5244</v>
      </c>
      <c r="F1833" s="749">
        <v>16</v>
      </c>
      <c r="G1833" s="3" t="s">
        <v>60</v>
      </c>
      <c r="H1833" s="3" t="s">
        <v>128</v>
      </c>
      <c r="I1833" s="786">
        <v>466.5</v>
      </c>
      <c r="J1833" s="786">
        <v>260.82</v>
      </c>
      <c r="K1833" s="3" t="s">
        <v>2661</v>
      </c>
      <c r="L1833" s="761">
        <v>45184</v>
      </c>
      <c r="M1833" s="3" t="s">
        <v>2661</v>
      </c>
      <c r="N1833" s="761">
        <v>45183</v>
      </c>
      <c r="O1833" s="761" t="s">
        <v>62</v>
      </c>
      <c r="P1833" s="3" t="s">
        <v>5245</v>
      </c>
      <c r="Q1833" s="3" t="s">
        <v>5246</v>
      </c>
      <c r="R1833" s="848"/>
      <c r="S1833" s="3" t="s">
        <v>130</v>
      </c>
      <c r="T1833" s="848"/>
      <c r="U1833" s="786">
        <v>283.3</v>
      </c>
      <c r="V1833" s="848"/>
      <c r="W1833" s="848"/>
      <c r="X1833" s="3" t="s">
        <v>2661</v>
      </c>
      <c r="Y1833" s="761">
        <v>45184</v>
      </c>
      <c r="Z1833" s="3" t="s">
        <v>62</v>
      </c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</row>
    <row r="1834" spans="1:39" s="707" customFormat="1">
      <c r="A1834"/>
      <c r="B1834" s="951" t="s">
        <v>13</v>
      </c>
      <c r="C1834" s="952" t="s">
        <v>1899</v>
      </c>
      <c r="D1834" s="862"/>
      <c r="E1834" s="807"/>
      <c r="F1834" s="808"/>
      <c r="G1834" s="807"/>
      <c r="H1834" s="807"/>
      <c r="I1834" s="820"/>
      <c r="J1834" s="837"/>
      <c r="K1834" s="807"/>
      <c r="L1834" s="819"/>
      <c r="M1834" s="819"/>
      <c r="N1834" s="819"/>
      <c r="O1834" s="819"/>
      <c r="P1834" s="807"/>
      <c r="Q1834" s="807"/>
      <c r="R1834" s="807"/>
      <c r="S1834" s="807"/>
      <c r="T1834" s="807"/>
      <c r="U1834" s="837"/>
      <c r="V1834" s="807"/>
      <c r="W1834" s="807"/>
      <c r="X1834" s="819"/>
      <c r="Y1834" s="819"/>
      <c r="Z1834" s="819"/>
      <c r="AA1834" s="710"/>
      <c r="AB1834" s="710"/>
      <c r="AC1834" s="710"/>
      <c r="AD1834" s="710"/>
      <c r="AE1834" s="710"/>
      <c r="AF1834" s="710"/>
      <c r="AG1834" s="710"/>
      <c r="AH1834" s="710"/>
      <c r="AI1834" s="710"/>
      <c r="AJ1834" s="710"/>
      <c r="AK1834" s="710"/>
      <c r="AL1834" s="710"/>
      <c r="AM1834" s="710"/>
    </row>
    <row r="1835" spans="1:39">
      <c r="B1835" s="799">
        <v>10</v>
      </c>
      <c r="C1835" s="949" t="s">
        <v>4303</v>
      </c>
      <c r="D1835" s="3">
        <v>200103515</v>
      </c>
      <c r="E1835" s="3">
        <v>100273</v>
      </c>
      <c r="F1835" s="749">
        <v>1</v>
      </c>
      <c r="G1835" s="3" t="s">
        <v>60</v>
      </c>
      <c r="H1835" s="3" t="s">
        <v>128</v>
      </c>
      <c r="I1835" s="786">
        <v>461.3</v>
      </c>
      <c r="J1835" s="786">
        <v>254.65</v>
      </c>
      <c r="K1835" s="3" t="s">
        <v>2661</v>
      </c>
      <c r="L1835" s="761">
        <v>45184</v>
      </c>
      <c r="M1835" s="3" t="s">
        <v>2661</v>
      </c>
      <c r="N1835" s="761">
        <v>45184</v>
      </c>
      <c r="O1835" s="761" t="s">
        <v>62</v>
      </c>
      <c r="P1835" s="3" t="s">
        <v>5247</v>
      </c>
      <c r="Q1835" s="3" t="s">
        <v>5248</v>
      </c>
      <c r="R1835" s="848"/>
      <c r="S1835" s="3" t="s">
        <v>130</v>
      </c>
      <c r="T1835" s="848"/>
      <c r="U1835" s="786">
        <v>277.7</v>
      </c>
      <c r="V1835" s="848"/>
      <c r="W1835" s="848"/>
      <c r="X1835" s="3" t="s">
        <v>2661</v>
      </c>
      <c r="Y1835" s="761">
        <v>45187</v>
      </c>
      <c r="Z1835" s="3" t="s">
        <v>62</v>
      </c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</row>
    <row r="1836" spans="1:39">
      <c r="B1836" s="799">
        <v>10</v>
      </c>
      <c r="C1836" s="949" t="s">
        <v>4303</v>
      </c>
      <c r="D1836" s="3">
        <v>200103516</v>
      </c>
      <c r="E1836" s="3">
        <v>100283</v>
      </c>
      <c r="F1836" s="749">
        <v>2</v>
      </c>
      <c r="G1836" s="3" t="s">
        <v>128</v>
      </c>
      <c r="H1836" s="3" t="s">
        <v>128</v>
      </c>
      <c r="I1836" s="3">
        <v>465.6</v>
      </c>
      <c r="J1836" s="762">
        <v>255.2</v>
      </c>
      <c r="K1836" s="3" t="s">
        <v>2661</v>
      </c>
      <c r="L1836" s="761">
        <v>45191</v>
      </c>
      <c r="M1836" s="3" t="s">
        <v>2661</v>
      </c>
      <c r="N1836" s="761">
        <v>45196</v>
      </c>
      <c r="O1836" s="761" t="s">
        <v>62</v>
      </c>
      <c r="P1836" s="784" t="s">
        <v>5249</v>
      </c>
      <c r="Q1836" s="3" t="s">
        <v>5250</v>
      </c>
      <c r="R1836" s="848"/>
      <c r="S1836" s="3" t="s">
        <v>130</v>
      </c>
      <c r="T1836" s="848"/>
      <c r="U1836" s="3">
        <v>278.39999999999998</v>
      </c>
      <c r="V1836" s="848"/>
      <c r="W1836" s="848"/>
      <c r="X1836" s="3" t="s">
        <v>2661</v>
      </c>
      <c r="Y1836" s="761">
        <v>45196</v>
      </c>
      <c r="Z1836" s="3" t="s">
        <v>62</v>
      </c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</row>
    <row r="1837" spans="1:39">
      <c r="B1837" s="799">
        <v>10</v>
      </c>
      <c r="C1837" s="949" t="s">
        <v>4303</v>
      </c>
      <c r="D1837" s="3">
        <v>200103517</v>
      </c>
      <c r="E1837" s="3">
        <v>100293</v>
      </c>
      <c r="F1837" s="749">
        <v>3</v>
      </c>
      <c r="G1837" s="3" t="s">
        <v>128</v>
      </c>
      <c r="H1837" s="3" t="s">
        <v>128</v>
      </c>
      <c r="I1837" s="762">
        <v>464.1</v>
      </c>
      <c r="J1837" s="762">
        <v>256.52</v>
      </c>
      <c r="K1837" s="3" t="s">
        <v>2661</v>
      </c>
      <c r="L1837" s="761">
        <v>45196</v>
      </c>
      <c r="M1837" s="3" t="s">
        <v>2661</v>
      </c>
      <c r="N1837" s="761">
        <v>45196</v>
      </c>
      <c r="O1837" s="761" t="s">
        <v>62</v>
      </c>
      <c r="P1837" s="3" t="s">
        <v>5251</v>
      </c>
      <c r="Q1837" s="3" t="s">
        <v>5252</v>
      </c>
      <c r="R1837" s="848"/>
      <c r="S1837" s="3" t="s">
        <v>130</v>
      </c>
      <c r="T1837" s="848"/>
      <c r="U1837" s="3">
        <v>279.7</v>
      </c>
      <c r="V1837" s="848"/>
      <c r="W1837" s="848"/>
      <c r="X1837" s="3" t="s">
        <v>2661</v>
      </c>
      <c r="Y1837" s="761">
        <v>45196</v>
      </c>
      <c r="Z1837" s="3" t="s">
        <v>62</v>
      </c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</row>
    <row r="1838" spans="1:39">
      <c r="B1838" s="799">
        <v>10</v>
      </c>
      <c r="C1838" s="949" t="s">
        <v>4303</v>
      </c>
      <c r="D1838" s="3">
        <v>200103518</v>
      </c>
      <c r="E1838" s="3">
        <v>100303</v>
      </c>
      <c r="F1838" s="749">
        <v>4</v>
      </c>
      <c r="G1838" s="3" t="s">
        <v>60</v>
      </c>
      <c r="H1838" s="3" t="s">
        <v>128</v>
      </c>
      <c r="I1838" s="786">
        <v>465.6</v>
      </c>
      <c r="J1838" s="786">
        <v>254.79</v>
      </c>
      <c r="K1838" s="3" t="s">
        <v>2716</v>
      </c>
      <c r="L1838" s="761">
        <v>45201</v>
      </c>
      <c r="M1838" s="3" t="s">
        <v>2661</v>
      </c>
      <c r="N1838" s="761">
        <v>45198</v>
      </c>
      <c r="O1838" s="761" t="s">
        <v>62</v>
      </c>
      <c r="P1838" s="3" t="s">
        <v>5253</v>
      </c>
      <c r="Q1838" s="3" t="s">
        <v>5254</v>
      </c>
      <c r="R1838" s="848"/>
      <c r="S1838" s="3" t="s">
        <v>130</v>
      </c>
      <c r="T1838" s="848"/>
      <c r="U1838" s="3">
        <v>277.60000000000002</v>
      </c>
      <c r="V1838" s="848"/>
      <c r="W1838" s="848"/>
      <c r="X1838" s="3" t="s">
        <v>2661</v>
      </c>
      <c r="Y1838" s="761">
        <v>45198</v>
      </c>
      <c r="Z1838" s="3" t="s">
        <v>62</v>
      </c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</row>
    <row r="1839" spans="1:39">
      <c r="B1839" s="799">
        <v>10</v>
      </c>
      <c r="C1839" s="949" t="s">
        <v>4303</v>
      </c>
      <c r="D1839" s="3">
        <v>200103519</v>
      </c>
      <c r="E1839" s="3">
        <v>100313</v>
      </c>
      <c r="F1839" s="749">
        <v>5</v>
      </c>
      <c r="G1839" s="3" t="s">
        <v>60</v>
      </c>
      <c r="H1839" s="3" t="s">
        <v>128</v>
      </c>
      <c r="I1839" s="786">
        <v>469.11</v>
      </c>
      <c r="J1839" s="762">
        <v>259.02999999999997</v>
      </c>
      <c r="K1839" s="3" t="s">
        <v>2716</v>
      </c>
      <c r="L1839" s="761">
        <v>45201</v>
      </c>
      <c r="M1839" s="3" t="s">
        <v>2740</v>
      </c>
      <c r="N1839" s="761">
        <v>45203</v>
      </c>
      <c r="O1839" s="761" t="s">
        <v>62</v>
      </c>
      <c r="P1839" s="3" t="s">
        <v>5255</v>
      </c>
      <c r="Q1839" s="3" t="s">
        <v>4709</v>
      </c>
      <c r="R1839" s="848"/>
      <c r="S1839" s="3" t="s">
        <v>130</v>
      </c>
      <c r="T1839" s="848"/>
      <c r="U1839" s="762">
        <v>281.5</v>
      </c>
      <c r="V1839" s="848"/>
      <c r="W1839" s="848"/>
      <c r="X1839" s="3" t="s">
        <v>2698</v>
      </c>
      <c r="Y1839" s="761">
        <v>45203</v>
      </c>
      <c r="Z1839" s="3" t="s">
        <v>62</v>
      </c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</row>
    <row r="1840" spans="1:39">
      <c r="B1840" s="799">
        <v>10</v>
      </c>
      <c r="C1840" s="949" t="s">
        <v>4303</v>
      </c>
      <c r="D1840" s="3">
        <v>200103723</v>
      </c>
      <c r="E1840" s="3">
        <v>101463</v>
      </c>
      <c r="F1840" s="749">
        <v>6</v>
      </c>
      <c r="G1840" s="3" t="s">
        <v>60</v>
      </c>
      <c r="H1840" s="3" t="s">
        <v>128</v>
      </c>
      <c r="I1840" s="762">
        <v>467.74</v>
      </c>
      <c r="J1840" s="762">
        <v>254.84</v>
      </c>
      <c r="K1840" s="3" t="s">
        <v>2716</v>
      </c>
      <c r="L1840" s="761">
        <v>45201</v>
      </c>
      <c r="M1840" s="3" t="s">
        <v>2740</v>
      </c>
      <c r="N1840" s="761">
        <v>45202</v>
      </c>
      <c r="O1840" s="761" t="s">
        <v>62</v>
      </c>
      <c r="P1840" s="3" t="s">
        <v>5256</v>
      </c>
      <c r="Q1840" s="3" t="s">
        <v>5257</v>
      </c>
      <c r="R1840" s="848"/>
      <c r="S1840" s="3" t="s">
        <v>130</v>
      </c>
      <c r="T1840" s="848"/>
      <c r="U1840" s="762">
        <v>277.3</v>
      </c>
      <c r="V1840" s="848"/>
      <c r="W1840" s="848"/>
      <c r="X1840" s="3" t="s">
        <v>2698</v>
      </c>
      <c r="Y1840" s="761">
        <v>45202</v>
      </c>
      <c r="Z1840" s="3" t="s">
        <v>62</v>
      </c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</row>
    <row r="1841" spans="1:39">
      <c r="B1841" s="799">
        <v>10</v>
      </c>
      <c r="C1841" s="949" t="s">
        <v>4303</v>
      </c>
      <c r="D1841" s="3">
        <v>200103724</v>
      </c>
      <c r="E1841" s="3">
        <v>101473</v>
      </c>
      <c r="F1841" s="749">
        <v>7</v>
      </c>
      <c r="G1841" s="3" t="s">
        <v>60</v>
      </c>
      <c r="H1841" s="3" t="s">
        <v>128</v>
      </c>
      <c r="I1841" s="762">
        <v>469.01</v>
      </c>
      <c r="J1841" s="762">
        <v>260.2</v>
      </c>
      <c r="K1841" s="3" t="s">
        <v>2716</v>
      </c>
      <c r="L1841" s="761">
        <v>45201</v>
      </c>
      <c r="M1841" s="3" t="s">
        <v>2740</v>
      </c>
      <c r="N1841" s="761">
        <v>45202</v>
      </c>
      <c r="O1841" s="761" t="s">
        <v>62</v>
      </c>
      <c r="P1841" s="3" t="s">
        <v>5258</v>
      </c>
      <c r="Q1841" s="3" t="s">
        <v>5259</v>
      </c>
      <c r="R1841" s="848"/>
      <c r="S1841" s="3" t="s">
        <v>130</v>
      </c>
      <c r="T1841" s="848"/>
      <c r="U1841" s="762">
        <v>282.5</v>
      </c>
      <c r="V1841" s="848"/>
      <c r="W1841" s="848"/>
      <c r="X1841" s="3" t="s">
        <v>2698</v>
      </c>
      <c r="Y1841" s="761">
        <v>45202</v>
      </c>
      <c r="Z1841" s="3" t="s">
        <v>62</v>
      </c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</row>
    <row r="1842" spans="1:39">
      <c r="B1842" s="799">
        <v>10</v>
      </c>
      <c r="C1842" s="949" t="s">
        <v>4303</v>
      </c>
      <c r="D1842" s="3">
        <v>200103725</v>
      </c>
      <c r="E1842" s="3">
        <v>101483</v>
      </c>
      <c r="F1842" s="749">
        <v>8</v>
      </c>
      <c r="G1842" s="3" t="s">
        <v>60</v>
      </c>
      <c r="H1842" s="3" t="s">
        <v>128</v>
      </c>
      <c r="I1842" s="786">
        <v>463.9</v>
      </c>
      <c r="J1842" s="3">
        <v>260.83</v>
      </c>
      <c r="K1842" s="3" t="s">
        <v>2716</v>
      </c>
      <c r="L1842" s="761">
        <v>45202</v>
      </c>
      <c r="M1842" s="3" t="s">
        <v>2740</v>
      </c>
      <c r="N1842" s="761">
        <v>45202</v>
      </c>
      <c r="O1842" s="761" t="s">
        <v>62</v>
      </c>
      <c r="P1842" s="3" t="s">
        <v>5260</v>
      </c>
      <c r="Q1842" s="784" t="s">
        <v>5261</v>
      </c>
      <c r="R1842" s="848"/>
      <c r="S1842" s="3" t="s">
        <v>130</v>
      </c>
      <c r="T1842" s="848"/>
      <c r="U1842" s="762">
        <v>283.39999999999998</v>
      </c>
      <c r="V1842" s="848"/>
      <c r="W1842" s="848"/>
      <c r="X1842" s="3" t="s">
        <v>2698</v>
      </c>
      <c r="Y1842" s="761">
        <v>45202</v>
      </c>
      <c r="Z1842" s="3" t="s">
        <v>62</v>
      </c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</row>
    <row r="1843" spans="1:39">
      <c r="B1843" s="799">
        <v>10</v>
      </c>
      <c r="C1843" s="949" t="s">
        <v>4303</v>
      </c>
      <c r="D1843" s="3">
        <v>200103726</v>
      </c>
      <c r="E1843" s="3">
        <v>101493</v>
      </c>
      <c r="F1843" s="749">
        <v>9</v>
      </c>
      <c r="G1843" s="3" t="s">
        <v>60</v>
      </c>
      <c r="H1843" s="3" t="s">
        <v>128</v>
      </c>
      <c r="I1843" s="3">
        <v>461.28</v>
      </c>
      <c r="J1843" s="786">
        <v>254.61</v>
      </c>
      <c r="K1843" s="3" t="s">
        <v>2716</v>
      </c>
      <c r="L1843" s="761">
        <v>45202</v>
      </c>
      <c r="M1843" s="3" t="s">
        <v>2740</v>
      </c>
      <c r="N1843" s="761">
        <v>45203</v>
      </c>
      <c r="O1843" s="761" t="s">
        <v>62</v>
      </c>
      <c r="P1843" s="3" t="s">
        <v>5262</v>
      </c>
      <c r="Q1843" s="3" t="s">
        <v>5263</v>
      </c>
      <c r="R1843" s="848"/>
      <c r="S1843" s="3" t="s">
        <v>130</v>
      </c>
      <c r="T1843" s="848"/>
      <c r="U1843" s="762">
        <v>277.2</v>
      </c>
      <c r="V1843" s="848"/>
      <c r="W1843" s="848"/>
      <c r="X1843" s="3" t="s">
        <v>2698</v>
      </c>
      <c r="Y1843" s="761">
        <v>45203</v>
      </c>
      <c r="Z1843" s="3" t="s">
        <v>62</v>
      </c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</row>
    <row r="1844" spans="1:39">
      <c r="B1844" s="799">
        <v>10</v>
      </c>
      <c r="C1844" s="949" t="s">
        <v>4303</v>
      </c>
      <c r="D1844" s="3">
        <v>200103727</v>
      </c>
      <c r="E1844" s="3">
        <v>101503</v>
      </c>
      <c r="F1844" s="749">
        <v>10</v>
      </c>
      <c r="G1844" s="3" t="s">
        <v>60</v>
      </c>
      <c r="H1844" s="3" t="s">
        <v>128</v>
      </c>
      <c r="I1844" s="3">
        <v>470.98</v>
      </c>
      <c r="J1844" s="762">
        <v>261.31</v>
      </c>
      <c r="K1844" s="3" t="s">
        <v>2716</v>
      </c>
      <c r="L1844" s="761">
        <v>45202</v>
      </c>
      <c r="M1844" s="3" t="s">
        <v>2740</v>
      </c>
      <c r="N1844" s="761">
        <v>45203</v>
      </c>
      <c r="O1844" s="761" t="s">
        <v>62</v>
      </c>
      <c r="P1844" s="784" t="s">
        <v>5264</v>
      </c>
      <c r="Q1844" s="3" t="s">
        <v>5265</v>
      </c>
      <c r="R1844" s="848"/>
      <c r="S1844" s="3" t="s">
        <v>130</v>
      </c>
      <c r="T1844" s="848"/>
      <c r="U1844" s="762">
        <v>283.7</v>
      </c>
      <c r="V1844" s="848"/>
      <c r="W1844" s="848"/>
      <c r="X1844" s="3" t="s">
        <v>2698</v>
      </c>
      <c r="Y1844" s="761">
        <v>45203</v>
      </c>
      <c r="Z1844" s="3" t="s">
        <v>62</v>
      </c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</row>
    <row r="1845" spans="1:39" s="707" customFormat="1">
      <c r="A1845"/>
      <c r="B1845" s="951" t="s">
        <v>13</v>
      </c>
      <c r="C1845" s="952" t="s">
        <v>1756</v>
      </c>
      <c r="D1845" s="862"/>
      <c r="E1845" s="807"/>
      <c r="F1845" s="808"/>
      <c r="G1845" s="807"/>
      <c r="H1845" s="807"/>
      <c r="I1845" s="820"/>
      <c r="J1845" s="837"/>
      <c r="K1845" s="807"/>
      <c r="L1845" s="819"/>
      <c r="M1845" s="819"/>
      <c r="N1845" s="819"/>
      <c r="O1845" s="819"/>
      <c r="P1845" s="807"/>
      <c r="Q1845" s="807"/>
      <c r="R1845" s="807"/>
      <c r="S1845" s="807"/>
      <c r="T1845" s="807"/>
      <c r="U1845" s="837"/>
      <c r="V1845" s="807"/>
      <c r="W1845" s="807"/>
      <c r="X1845" s="819"/>
      <c r="Y1845" s="819"/>
      <c r="Z1845" s="819"/>
      <c r="AA1845" s="710"/>
      <c r="AB1845" s="710"/>
      <c r="AC1845" s="710"/>
      <c r="AD1845" s="710"/>
      <c r="AE1845" s="710"/>
      <c r="AF1845" s="710"/>
      <c r="AG1845" s="710"/>
      <c r="AH1845" s="710"/>
      <c r="AI1845" s="710"/>
      <c r="AJ1845" s="710"/>
      <c r="AK1845" s="710"/>
      <c r="AL1845" s="710"/>
      <c r="AM1845" s="710"/>
    </row>
    <row r="1846" spans="1:39">
      <c r="B1846" s="799">
        <v>11</v>
      </c>
      <c r="C1846" s="949" t="s">
        <v>4303</v>
      </c>
      <c r="D1846" s="3">
        <v>200103827</v>
      </c>
      <c r="E1846" s="3">
        <v>110673</v>
      </c>
      <c r="F1846" s="749">
        <v>1</v>
      </c>
      <c r="G1846" s="3" t="s">
        <v>128</v>
      </c>
      <c r="H1846" s="3" t="s">
        <v>128</v>
      </c>
      <c r="I1846" s="786">
        <v>461.57</v>
      </c>
      <c r="J1846" s="786">
        <v>252.7</v>
      </c>
      <c r="K1846" s="3" t="s">
        <v>2716</v>
      </c>
      <c r="L1846" s="761">
        <v>45226</v>
      </c>
      <c r="M1846" s="3" t="s">
        <v>2740</v>
      </c>
      <c r="N1846" s="761">
        <v>45224</v>
      </c>
      <c r="O1846" s="761" t="s">
        <v>62</v>
      </c>
      <c r="P1846" s="784" t="s">
        <v>5266</v>
      </c>
      <c r="Q1846" s="784" t="s">
        <v>5267</v>
      </c>
      <c r="R1846" s="848"/>
      <c r="S1846" s="3" t="s">
        <v>130</v>
      </c>
      <c r="T1846" s="848"/>
      <c r="U1846" s="786">
        <v>275.3</v>
      </c>
      <c r="V1846" s="848"/>
      <c r="W1846" s="848"/>
      <c r="X1846" s="3" t="s">
        <v>2698</v>
      </c>
      <c r="Y1846" s="761">
        <v>45226</v>
      </c>
      <c r="Z1846" s="3" t="s">
        <v>62</v>
      </c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</row>
    <row r="1847" spans="1:39">
      <c r="B1847" s="799">
        <v>11</v>
      </c>
      <c r="C1847" s="949" t="s">
        <v>4303</v>
      </c>
      <c r="D1847" s="3">
        <v>200103828</v>
      </c>
      <c r="E1847" s="3">
        <v>110683</v>
      </c>
      <c r="F1847" s="749">
        <v>2</v>
      </c>
      <c r="G1847" s="3" t="s">
        <v>128</v>
      </c>
      <c r="H1847" s="3" t="s">
        <v>128</v>
      </c>
      <c r="I1847" s="786">
        <v>462.93</v>
      </c>
      <c r="J1847" s="8">
        <v>256.45</v>
      </c>
      <c r="K1847" s="3" t="s">
        <v>2716</v>
      </c>
      <c r="L1847" s="761">
        <v>45226</v>
      </c>
      <c r="M1847" s="3" t="s">
        <v>2740</v>
      </c>
      <c r="N1847" s="761">
        <v>45225</v>
      </c>
      <c r="O1847" s="761" t="s">
        <v>62</v>
      </c>
      <c r="P1847" s="784" t="s">
        <v>5268</v>
      </c>
      <c r="Q1847" s="928" t="s">
        <v>5269</v>
      </c>
      <c r="R1847" s="848"/>
      <c r="S1847" s="3" t="s">
        <v>130</v>
      </c>
      <c r="T1847" s="848"/>
      <c r="U1847" s="786">
        <v>279.3</v>
      </c>
      <c r="V1847" s="848"/>
      <c r="W1847" s="848"/>
      <c r="X1847" s="3" t="s">
        <v>2698</v>
      </c>
      <c r="Y1847" s="761">
        <v>45226</v>
      </c>
      <c r="Z1847" s="3" t="s">
        <v>62</v>
      </c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</row>
    <row r="1848" spans="1:39">
      <c r="B1848" s="799">
        <v>11</v>
      </c>
      <c r="C1848" s="949" t="s">
        <v>4303</v>
      </c>
      <c r="D1848" s="3">
        <v>200103829</v>
      </c>
      <c r="E1848" s="3">
        <v>110693</v>
      </c>
      <c r="F1848" s="749">
        <v>3</v>
      </c>
      <c r="G1848" s="3" t="s">
        <v>60</v>
      </c>
      <c r="H1848" s="3" t="s">
        <v>128</v>
      </c>
      <c r="I1848" s="786">
        <v>459.39</v>
      </c>
      <c r="J1848" s="786">
        <v>256.60000000000002</v>
      </c>
      <c r="K1848" s="3" t="s">
        <v>2716</v>
      </c>
      <c r="L1848" s="761">
        <v>45226</v>
      </c>
      <c r="M1848" s="3" t="s">
        <v>2740</v>
      </c>
      <c r="N1848" s="761">
        <v>45225</v>
      </c>
      <c r="O1848" s="761" t="s">
        <v>62</v>
      </c>
      <c r="P1848" s="3" t="s">
        <v>5270</v>
      </c>
      <c r="Q1848" s="3" t="s">
        <v>5271</v>
      </c>
      <c r="R1848" s="848"/>
      <c r="S1848" s="3" t="s">
        <v>130</v>
      </c>
      <c r="T1848" s="848"/>
      <c r="U1848" s="786">
        <v>279.2</v>
      </c>
      <c r="V1848" s="848"/>
      <c r="W1848" s="848"/>
      <c r="X1848" s="3" t="s">
        <v>2698</v>
      </c>
      <c r="Y1848" s="761">
        <v>45226</v>
      </c>
      <c r="Z1848" s="3" t="s">
        <v>62</v>
      </c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</row>
    <row r="1849" spans="1:39">
      <c r="B1849" s="799">
        <v>11</v>
      </c>
      <c r="C1849" s="949" t="s">
        <v>4303</v>
      </c>
      <c r="D1849" s="3">
        <v>200104021</v>
      </c>
      <c r="E1849" s="3">
        <v>110993</v>
      </c>
      <c r="F1849" s="749">
        <v>4</v>
      </c>
      <c r="G1849" s="3" t="s">
        <v>60</v>
      </c>
      <c r="H1849" s="3" t="s">
        <v>128</v>
      </c>
      <c r="I1849" s="786">
        <v>466.86</v>
      </c>
      <c r="J1849" s="786">
        <v>258.55</v>
      </c>
      <c r="K1849" s="3" t="s">
        <v>2716</v>
      </c>
      <c r="L1849" s="761">
        <v>45226</v>
      </c>
      <c r="M1849" s="3" t="s">
        <v>2740</v>
      </c>
      <c r="N1849" s="761">
        <v>45225</v>
      </c>
      <c r="O1849" s="761" t="s">
        <v>62</v>
      </c>
      <c r="P1849" s="784" t="s">
        <v>5272</v>
      </c>
      <c r="Q1849" s="3" t="s">
        <v>5273</v>
      </c>
      <c r="R1849" s="848"/>
      <c r="S1849" s="3" t="s">
        <v>130</v>
      </c>
      <c r="T1849" s="848"/>
      <c r="U1849" s="786">
        <v>281.2</v>
      </c>
      <c r="V1849" s="848"/>
      <c r="W1849" s="848"/>
      <c r="X1849" s="3" t="s">
        <v>2698</v>
      </c>
      <c r="Y1849" s="761">
        <v>45230</v>
      </c>
      <c r="Z1849" s="3" t="s">
        <v>62</v>
      </c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</row>
    <row r="1850" spans="1:39">
      <c r="B1850" s="799">
        <v>11</v>
      </c>
      <c r="C1850" s="949" t="s">
        <v>4303</v>
      </c>
      <c r="D1850" s="3">
        <v>200104060</v>
      </c>
      <c r="E1850" s="3">
        <v>111023</v>
      </c>
      <c r="F1850" s="749">
        <v>5</v>
      </c>
      <c r="G1850" s="3" t="s">
        <v>60</v>
      </c>
      <c r="H1850" s="3" t="s">
        <v>128</v>
      </c>
      <c r="I1850" s="786">
        <v>466.86</v>
      </c>
      <c r="J1850" s="786">
        <v>254.59</v>
      </c>
      <c r="K1850" s="3" t="s">
        <v>2716</v>
      </c>
      <c r="L1850" s="761">
        <v>45226</v>
      </c>
      <c r="M1850" s="3" t="s">
        <v>2740</v>
      </c>
      <c r="N1850" s="761">
        <v>45229</v>
      </c>
      <c r="O1850" s="761" t="s">
        <v>62</v>
      </c>
      <c r="P1850" s="784" t="s">
        <v>5274</v>
      </c>
      <c r="Q1850" s="3" t="s">
        <v>4665</v>
      </c>
      <c r="R1850" s="848"/>
      <c r="S1850" s="3" t="s">
        <v>130</v>
      </c>
      <c r="T1850" s="848"/>
      <c r="U1850" s="786">
        <v>277.5</v>
      </c>
      <c r="V1850" s="848"/>
      <c r="W1850" s="848"/>
      <c r="X1850" s="3" t="s">
        <v>2698</v>
      </c>
      <c r="Y1850" s="761">
        <v>45230</v>
      </c>
      <c r="Z1850" s="3" t="s">
        <v>62</v>
      </c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</row>
    <row r="1851" spans="1:39">
      <c r="B1851" s="799">
        <v>11</v>
      </c>
      <c r="C1851" s="949" t="s">
        <v>4303</v>
      </c>
      <c r="D1851" s="3">
        <v>200104061</v>
      </c>
      <c r="E1851" s="3">
        <v>111033</v>
      </c>
      <c r="F1851" s="749">
        <v>6</v>
      </c>
      <c r="G1851" s="3" t="s">
        <v>128</v>
      </c>
      <c r="H1851" s="3" t="s">
        <v>128</v>
      </c>
      <c r="I1851" s="786">
        <v>472.97</v>
      </c>
      <c r="J1851" s="786">
        <v>255.65</v>
      </c>
      <c r="K1851" s="3" t="s">
        <v>2716</v>
      </c>
      <c r="L1851" s="761">
        <v>45226</v>
      </c>
      <c r="M1851" s="3" t="s">
        <v>2740</v>
      </c>
      <c r="N1851" s="761">
        <v>45229</v>
      </c>
      <c r="O1851" s="761" t="s">
        <v>62</v>
      </c>
      <c r="P1851" s="784" t="s">
        <v>5275</v>
      </c>
      <c r="Q1851" s="3" t="s">
        <v>5276</v>
      </c>
      <c r="R1851" s="848"/>
      <c r="S1851" s="3" t="s">
        <v>130</v>
      </c>
      <c r="T1851" s="848"/>
      <c r="U1851" s="786">
        <v>278.3</v>
      </c>
      <c r="V1851" s="848"/>
      <c r="W1851" s="848"/>
      <c r="X1851" s="3" t="s">
        <v>2698</v>
      </c>
      <c r="Y1851" s="761">
        <v>45230</v>
      </c>
      <c r="Z1851" s="3" t="s">
        <v>62</v>
      </c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</row>
    <row r="1852" spans="1:39">
      <c r="B1852" s="799">
        <v>11</v>
      </c>
      <c r="C1852" s="949" t="s">
        <v>4303</v>
      </c>
      <c r="D1852" s="3">
        <v>200104062</v>
      </c>
      <c r="E1852" s="3">
        <v>111053</v>
      </c>
      <c r="F1852" s="749">
        <v>7</v>
      </c>
      <c r="G1852" s="3" t="s">
        <v>128</v>
      </c>
      <c r="H1852" s="3" t="s">
        <v>128</v>
      </c>
      <c r="I1852" s="760">
        <v>468.76</v>
      </c>
      <c r="J1852" s="786">
        <v>259.16000000000003</v>
      </c>
      <c r="K1852" s="3" t="s">
        <v>2716</v>
      </c>
      <c r="L1852" s="761">
        <v>45229</v>
      </c>
      <c r="M1852" s="3" t="s">
        <v>2740</v>
      </c>
      <c r="N1852" s="761">
        <v>45229</v>
      </c>
      <c r="O1852" s="761" t="s">
        <v>62</v>
      </c>
      <c r="P1852" s="928" t="s">
        <v>5277</v>
      </c>
      <c r="Q1852" s="3" t="s">
        <v>5278</v>
      </c>
      <c r="R1852" s="848"/>
      <c r="S1852" s="3" t="s">
        <v>130</v>
      </c>
      <c r="T1852" s="848"/>
      <c r="U1852" s="786">
        <v>282.10000000000002</v>
      </c>
      <c r="V1852" s="848"/>
      <c r="W1852" s="848"/>
      <c r="X1852" s="3" t="s">
        <v>2698</v>
      </c>
      <c r="Y1852" s="761">
        <v>45230</v>
      </c>
      <c r="Z1852" s="3" t="s">
        <v>62</v>
      </c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</row>
    <row r="1853" spans="1:39">
      <c r="B1853" s="799">
        <v>11</v>
      </c>
      <c r="C1853" s="949" t="s">
        <v>4303</v>
      </c>
      <c r="D1853" s="3">
        <v>200104063</v>
      </c>
      <c r="E1853" s="3">
        <v>111063</v>
      </c>
      <c r="F1853" s="749">
        <v>8</v>
      </c>
      <c r="G1853" s="3" t="s">
        <v>60</v>
      </c>
      <c r="H1853" s="3" t="s">
        <v>60</v>
      </c>
      <c r="I1853" s="786">
        <v>459.55</v>
      </c>
      <c r="J1853" s="955">
        <v>277.8</v>
      </c>
      <c r="K1853" s="3" t="s">
        <v>2716</v>
      </c>
      <c r="L1853" s="761">
        <v>45230</v>
      </c>
      <c r="M1853" s="3" t="s">
        <v>1756</v>
      </c>
      <c r="N1853" s="761">
        <v>45233</v>
      </c>
      <c r="O1853" s="761" t="s">
        <v>62</v>
      </c>
      <c r="P1853" s="784" t="s">
        <v>5279</v>
      </c>
      <c r="Q1853" s="3" t="s">
        <v>5280</v>
      </c>
      <c r="R1853" s="848"/>
      <c r="S1853" s="3" t="s">
        <v>130</v>
      </c>
      <c r="T1853" s="848"/>
      <c r="U1853" s="762">
        <v>277.8</v>
      </c>
      <c r="V1853" s="848"/>
      <c r="W1853" s="848"/>
      <c r="X1853" s="3" t="s">
        <v>1756</v>
      </c>
      <c r="Y1853" s="761">
        <v>45233</v>
      </c>
      <c r="Z1853" s="3" t="s">
        <v>62</v>
      </c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</row>
    <row r="1854" spans="1:39">
      <c r="B1854" s="799">
        <v>11</v>
      </c>
      <c r="C1854" s="949" t="s">
        <v>4303</v>
      </c>
      <c r="D1854" s="784">
        <v>200104106</v>
      </c>
      <c r="E1854" s="954">
        <v>111393</v>
      </c>
      <c r="F1854" s="749">
        <v>9</v>
      </c>
      <c r="G1854" s="856" t="s">
        <v>1621</v>
      </c>
      <c r="H1854" s="856" t="s">
        <v>1621</v>
      </c>
      <c r="I1854" s="856">
        <v>459.56</v>
      </c>
      <c r="J1854" s="856">
        <v>248.6</v>
      </c>
      <c r="K1854" s="3" t="s">
        <v>1756</v>
      </c>
      <c r="L1854" s="761">
        <v>45250</v>
      </c>
      <c r="M1854" s="3" t="s">
        <v>1756</v>
      </c>
      <c r="N1854" s="761">
        <v>45250</v>
      </c>
      <c r="O1854" s="761" t="s">
        <v>62</v>
      </c>
      <c r="P1854" s="784" t="s">
        <v>5281</v>
      </c>
      <c r="Q1854" s="828" t="s">
        <v>5282</v>
      </c>
      <c r="R1854" s="848"/>
      <c r="S1854" s="856" t="s">
        <v>5283</v>
      </c>
      <c r="T1854" s="848"/>
      <c r="U1854" s="856">
        <v>271.56</v>
      </c>
      <c r="V1854" s="848"/>
      <c r="W1854" s="848"/>
      <c r="X1854" s="3" t="s">
        <v>1756</v>
      </c>
      <c r="Y1854" s="761">
        <v>45250</v>
      </c>
      <c r="Z1854" s="3" t="s">
        <v>62</v>
      </c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</row>
    <row r="1855" spans="1:39">
      <c r="B1855" s="799">
        <v>11</v>
      </c>
      <c r="C1855" s="949" t="s">
        <v>4303</v>
      </c>
      <c r="D1855" s="3">
        <v>200104107</v>
      </c>
      <c r="E1855" s="3">
        <v>111403</v>
      </c>
      <c r="F1855" s="749">
        <v>10</v>
      </c>
      <c r="G1855" s="3" t="s">
        <v>128</v>
      </c>
      <c r="H1855" s="3" t="s">
        <v>932</v>
      </c>
      <c r="I1855" s="762">
        <v>464.7</v>
      </c>
      <c r="J1855" s="786">
        <v>255.02</v>
      </c>
      <c r="K1855" s="3" t="s">
        <v>1756</v>
      </c>
      <c r="L1855" s="761">
        <v>45252</v>
      </c>
      <c r="M1855" s="3" t="s">
        <v>1756</v>
      </c>
      <c r="N1855" s="761">
        <v>45252</v>
      </c>
      <c r="O1855" s="761" t="s">
        <v>62</v>
      </c>
      <c r="P1855" s="3" t="s">
        <v>5284</v>
      </c>
      <c r="Q1855" s="786" t="s">
        <v>5285</v>
      </c>
      <c r="R1855" s="848"/>
      <c r="S1855" s="3" t="s">
        <v>130</v>
      </c>
      <c r="T1855" s="848"/>
      <c r="U1855" s="762">
        <v>277.3</v>
      </c>
      <c r="V1855" s="848"/>
      <c r="W1855" s="848"/>
      <c r="X1855" s="3" t="s">
        <v>1756</v>
      </c>
      <c r="Y1855" s="761">
        <v>45252</v>
      </c>
      <c r="Z1855" s="3" t="s">
        <v>62</v>
      </c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</row>
    <row r="1856" spans="1:39">
      <c r="B1856" s="799">
        <v>11</v>
      </c>
      <c r="C1856" s="949" t="s">
        <v>4303</v>
      </c>
      <c r="D1856" s="3">
        <v>200104108</v>
      </c>
      <c r="E1856" s="3">
        <v>111413</v>
      </c>
      <c r="F1856" s="749">
        <v>11</v>
      </c>
      <c r="G1856" s="3" t="s">
        <v>60</v>
      </c>
      <c r="H1856" s="3" t="s">
        <v>932</v>
      </c>
      <c r="I1856" s="762">
        <v>464.8</v>
      </c>
      <c r="J1856" s="786">
        <v>259.70999999999998</v>
      </c>
      <c r="K1856" s="3" t="s">
        <v>1756</v>
      </c>
      <c r="L1856" s="761">
        <v>45253</v>
      </c>
      <c r="M1856" s="3" t="s">
        <v>1756</v>
      </c>
      <c r="N1856" s="761">
        <v>45252</v>
      </c>
      <c r="O1856" s="761" t="s">
        <v>62</v>
      </c>
      <c r="P1856" s="3" t="s">
        <v>5286</v>
      </c>
      <c r="Q1856" s="786" t="s">
        <v>5287</v>
      </c>
      <c r="R1856" s="848"/>
      <c r="S1856" s="3" t="s">
        <v>130</v>
      </c>
      <c r="T1856" s="848"/>
      <c r="U1856" s="786">
        <v>282.3</v>
      </c>
      <c r="V1856" s="848"/>
      <c r="W1856" s="848"/>
      <c r="X1856" s="3" t="s">
        <v>1756</v>
      </c>
      <c r="Y1856" s="761">
        <v>45252</v>
      </c>
      <c r="Z1856" s="3" t="s">
        <v>62</v>
      </c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</row>
    <row r="1857" spans="1:39" s="707" customFormat="1">
      <c r="A1857"/>
      <c r="B1857" s="951" t="s">
        <v>13</v>
      </c>
      <c r="C1857" s="952" t="s">
        <v>1710</v>
      </c>
      <c r="D1857" s="862"/>
      <c r="E1857" s="807"/>
      <c r="F1857" s="808"/>
      <c r="G1857" s="807"/>
      <c r="H1857" s="807"/>
      <c r="I1857" s="820"/>
      <c r="J1857" s="837"/>
      <c r="K1857" s="807"/>
      <c r="L1857" s="819"/>
      <c r="M1857" s="819"/>
      <c r="N1857" s="819"/>
      <c r="O1857" s="819"/>
      <c r="P1857" s="807"/>
      <c r="Q1857" s="807"/>
      <c r="R1857" s="807"/>
      <c r="S1857" s="807"/>
      <c r="T1857" s="807"/>
      <c r="U1857" s="837"/>
      <c r="V1857" s="807"/>
      <c r="W1857" s="807"/>
      <c r="X1857" s="819"/>
      <c r="Y1857" s="819"/>
      <c r="Z1857" s="819"/>
      <c r="AA1857" s="710"/>
      <c r="AB1857" s="710"/>
      <c r="AC1857" s="710"/>
      <c r="AD1857" s="710"/>
      <c r="AE1857" s="710"/>
      <c r="AF1857" s="710"/>
      <c r="AG1857" s="710"/>
      <c r="AH1857" s="710"/>
      <c r="AI1857" s="710"/>
      <c r="AJ1857" s="710"/>
      <c r="AK1857" s="710"/>
      <c r="AL1857" s="710"/>
      <c r="AM1857" s="710"/>
    </row>
    <row r="1858" spans="1:39">
      <c r="B1858" s="799">
        <v>12</v>
      </c>
      <c r="C1858" s="949" t="s">
        <v>4303</v>
      </c>
      <c r="D1858" s="3">
        <v>200104330</v>
      </c>
      <c r="E1858" s="3">
        <v>120953</v>
      </c>
      <c r="F1858" s="749">
        <v>1</v>
      </c>
      <c r="G1858" s="3" t="s">
        <v>1726</v>
      </c>
      <c r="H1858" s="3" t="s">
        <v>1726</v>
      </c>
      <c r="I1858" s="762">
        <v>461.3</v>
      </c>
      <c r="J1858" s="786">
        <v>253.22</v>
      </c>
      <c r="K1858" s="3" t="s">
        <v>2067</v>
      </c>
      <c r="L1858" s="761">
        <v>45261</v>
      </c>
      <c r="M1858" s="3" t="s">
        <v>2067</v>
      </c>
      <c r="N1858" s="761">
        <v>45261</v>
      </c>
      <c r="O1858" s="761" t="s">
        <v>62</v>
      </c>
      <c r="P1858" s="3" t="s">
        <v>5288</v>
      </c>
      <c r="Q1858" s="3" t="s">
        <v>5289</v>
      </c>
      <c r="R1858" s="848"/>
      <c r="S1858" s="3" t="s">
        <v>130</v>
      </c>
      <c r="T1858" s="848"/>
      <c r="U1858" s="786">
        <v>276.3</v>
      </c>
      <c r="V1858" s="848"/>
      <c r="W1858" s="848"/>
      <c r="X1858" s="3" t="s">
        <v>2067</v>
      </c>
      <c r="Y1858" s="761">
        <v>45261</v>
      </c>
      <c r="Z1858" s="3" t="s">
        <v>62</v>
      </c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</row>
    <row r="1859" spans="1:39">
      <c r="B1859" s="799">
        <v>12</v>
      </c>
      <c r="C1859" s="949" t="s">
        <v>4303</v>
      </c>
      <c r="D1859" s="3">
        <v>200104331</v>
      </c>
      <c r="E1859" s="3">
        <v>120963</v>
      </c>
      <c r="F1859" s="749">
        <v>2</v>
      </c>
      <c r="G1859" s="3" t="s">
        <v>1726</v>
      </c>
      <c r="H1859" s="3" t="s">
        <v>1726</v>
      </c>
      <c r="I1859" s="786">
        <v>465.9</v>
      </c>
      <c r="J1859" s="786">
        <v>257.45</v>
      </c>
      <c r="K1859" s="3" t="s">
        <v>2067</v>
      </c>
      <c r="L1859" s="761">
        <v>45264</v>
      </c>
      <c r="M1859" s="3" t="s">
        <v>2067</v>
      </c>
      <c r="N1859" s="761">
        <v>45261</v>
      </c>
      <c r="O1859" s="761" t="s">
        <v>62</v>
      </c>
      <c r="P1859" s="3" t="s">
        <v>5290</v>
      </c>
      <c r="Q1859" s="3" t="s">
        <v>5051</v>
      </c>
      <c r="R1859" s="848"/>
      <c r="S1859" s="3" t="s">
        <v>130</v>
      </c>
      <c r="T1859" s="848"/>
      <c r="U1859" s="762">
        <v>280.10000000000002</v>
      </c>
      <c r="V1859" s="848"/>
      <c r="W1859" s="848"/>
      <c r="X1859" s="3" t="s">
        <v>2067</v>
      </c>
      <c r="Y1859" s="761">
        <v>45261</v>
      </c>
      <c r="Z1859" s="3" t="s">
        <v>62</v>
      </c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</row>
    <row r="1860" spans="1:39">
      <c r="B1860" s="799">
        <v>12</v>
      </c>
      <c r="C1860" s="949" t="s">
        <v>4303</v>
      </c>
      <c r="D1860" s="3">
        <v>200104332</v>
      </c>
      <c r="E1860" s="3">
        <v>120973</v>
      </c>
      <c r="F1860" s="749">
        <v>3</v>
      </c>
      <c r="G1860" s="3" t="s">
        <v>128</v>
      </c>
      <c r="H1860" s="3" t="s">
        <v>128</v>
      </c>
      <c r="I1860" s="786">
        <v>461</v>
      </c>
      <c r="J1860" s="786">
        <v>238.71</v>
      </c>
      <c r="K1860" s="3" t="s">
        <v>2067</v>
      </c>
      <c r="L1860" s="761">
        <v>45265</v>
      </c>
      <c r="M1860" s="3" t="s">
        <v>2067</v>
      </c>
      <c r="N1860" s="761">
        <v>45264</v>
      </c>
      <c r="O1860" s="761" t="s">
        <v>62</v>
      </c>
      <c r="P1860" s="3" t="s">
        <v>5291</v>
      </c>
      <c r="Q1860" s="3" t="s">
        <v>5292</v>
      </c>
      <c r="R1860" s="848"/>
      <c r="S1860" s="3" t="s">
        <v>130</v>
      </c>
      <c r="T1860" s="848"/>
      <c r="U1860" s="762">
        <v>260.10000000000002</v>
      </c>
      <c r="V1860" s="848"/>
      <c r="W1860" s="848"/>
      <c r="X1860" s="3" t="s">
        <v>2067</v>
      </c>
      <c r="Y1860" s="761">
        <v>45264</v>
      </c>
      <c r="Z1860" s="3" t="s">
        <v>62</v>
      </c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</row>
    <row r="1861" spans="1:39">
      <c r="B1861" s="799">
        <v>12</v>
      </c>
      <c r="C1861" s="949" t="s">
        <v>4303</v>
      </c>
      <c r="D1861" s="3">
        <v>200104333</v>
      </c>
      <c r="E1861" s="3">
        <v>120983</v>
      </c>
      <c r="F1861" s="749">
        <v>4</v>
      </c>
      <c r="G1861" s="3" t="s">
        <v>128</v>
      </c>
      <c r="H1861" s="3" t="s">
        <v>128</v>
      </c>
      <c r="I1861" s="786">
        <v>473.6</v>
      </c>
      <c r="J1861" s="786">
        <v>248.67</v>
      </c>
      <c r="K1861" s="3" t="s">
        <v>2067</v>
      </c>
      <c r="L1861" s="761">
        <v>45266</v>
      </c>
      <c r="M1861" s="3" t="s">
        <v>2067</v>
      </c>
      <c r="N1861" s="761">
        <v>45264</v>
      </c>
      <c r="O1861" s="761" t="s">
        <v>62</v>
      </c>
      <c r="P1861" s="3" t="s">
        <v>5293</v>
      </c>
      <c r="Q1861" s="3" t="s">
        <v>5294</v>
      </c>
      <c r="R1861" s="848"/>
      <c r="S1861" s="3" t="s">
        <v>130</v>
      </c>
      <c r="T1861" s="848"/>
      <c r="U1861" s="762">
        <v>271.5</v>
      </c>
      <c r="V1861" s="848"/>
      <c r="W1861" s="848"/>
      <c r="X1861" s="3" t="s">
        <v>2067</v>
      </c>
      <c r="Y1861" s="761">
        <v>45264</v>
      </c>
      <c r="Z1861" s="3" t="s">
        <v>62</v>
      </c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</row>
    <row r="1862" spans="1:39">
      <c r="B1862" s="799">
        <v>12</v>
      </c>
      <c r="C1862" s="949" t="s">
        <v>4303</v>
      </c>
      <c r="D1862" s="3">
        <v>200104334</v>
      </c>
      <c r="E1862" s="3">
        <v>120993</v>
      </c>
      <c r="F1862" s="749">
        <v>5</v>
      </c>
      <c r="G1862" s="3" t="s">
        <v>128</v>
      </c>
      <c r="H1862" s="3" t="s">
        <v>128</v>
      </c>
      <c r="I1862" s="786">
        <v>467.3</v>
      </c>
      <c r="J1862" s="786">
        <v>255.7</v>
      </c>
      <c r="K1862" s="3" t="s">
        <v>2067</v>
      </c>
      <c r="L1862" s="761">
        <v>45266</v>
      </c>
      <c r="M1862" s="3" t="s">
        <v>2067</v>
      </c>
      <c r="N1862" s="761">
        <v>45266</v>
      </c>
      <c r="O1862" s="761" t="s">
        <v>62</v>
      </c>
      <c r="P1862" s="3" t="s">
        <v>5295</v>
      </c>
      <c r="Q1862" s="3" t="s">
        <v>5296</v>
      </c>
      <c r="R1862" s="848"/>
      <c r="S1862" s="3" t="s">
        <v>130</v>
      </c>
      <c r="T1862" s="848"/>
      <c r="U1862" s="762">
        <v>278.10000000000002</v>
      </c>
      <c r="V1862" s="848"/>
      <c r="W1862" s="848"/>
      <c r="X1862" s="3" t="s">
        <v>2067</v>
      </c>
      <c r="Y1862" s="761">
        <v>45266</v>
      </c>
      <c r="Z1862" s="3" t="s">
        <v>62</v>
      </c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</row>
    <row r="1863" spans="1:39" s="707" customFormat="1">
      <c r="A1863"/>
      <c r="B1863" s="951" t="s">
        <v>13</v>
      </c>
      <c r="C1863" s="952" t="s">
        <v>1712</v>
      </c>
      <c r="D1863" s="862"/>
      <c r="E1863" s="807"/>
      <c r="F1863" s="808"/>
      <c r="G1863" s="807"/>
      <c r="H1863" s="807"/>
      <c r="I1863" s="820"/>
      <c r="J1863" s="837"/>
      <c r="K1863" s="807"/>
      <c r="L1863" s="819"/>
      <c r="M1863" s="819"/>
      <c r="N1863" s="819"/>
      <c r="O1863" s="819"/>
      <c r="P1863" s="807"/>
      <c r="Q1863" s="807"/>
      <c r="R1863" s="807"/>
      <c r="S1863" s="807"/>
      <c r="T1863" s="807"/>
      <c r="U1863" s="837"/>
      <c r="V1863" s="807"/>
      <c r="W1863" s="807"/>
      <c r="X1863" s="819"/>
      <c r="Y1863" s="819"/>
      <c r="Z1863" s="819"/>
      <c r="AA1863" s="710"/>
      <c r="AB1863" s="710"/>
      <c r="AC1863" s="710"/>
      <c r="AD1863" s="710"/>
      <c r="AE1863" s="710"/>
      <c r="AF1863" s="710"/>
      <c r="AG1863" s="710"/>
      <c r="AH1863" s="710"/>
      <c r="AI1863" s="710"/>
      <c r="AJ1863" s="710"/>
      <c r="AK1863" s="710"/>
      <c r="AL1863" s="710"/>
      <c r="AM1863" s="710"/>
    </row>
    <row r="1864" spans="1:39">
      <c r="B1864" s="799" t="s">
        <v>125</v>
      </c>
      <c r="C1864" s="949" t="s">
        <v>4303</v>
      </c>
      <c r="D1864" s="6">
        <v>200104474</v>
      </c>
      <c r="E1864" s="1469" t="s">
        <v>923</v>
      </c>
      <c r="F1864" s="749">
        <v>1</v>
      </c>
      <c r="G1864" s="7"/>
      <c r="H1864" s="7"/>
      <c r="I1864" s="942"/>
      <c r="J1864" s="942"/>
      <c r="K1864" s="7"/>
      <c r="L1864" s="957"/>
      <c r="M1864" s="7"/>
      <c r="N1864" s="957"/>
      <c r="O1864" s="957"/>
      <c r="P1864" s="7"/>
      <c r="Q1864" s="7"/>
      <c r="R1864" s="7"/>
      <c r="S1864" s="7"/>
      <c r="T1864" s="7"/>
      <c r="U1864" s="942"/>
      <c r="V1864" s="848"/>
      <c r="W1864" s="848"/>
      <c r="X1864" s="848"/>
      <c r="Y1864" s="848"/>
      <c r="Z1864" s="848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</row>
    <row r="1865" spans="1:39">
      <c r="B1865" s="799" t="s">
        <v>125</v>
      </c>
      <c r="C1865" s="949" t="s">
        <v>4303</v>
      </c>
      <c r="D1865" s="6">
        <v>200104475</v>
      </c>
      <c r="E1865" s="1469" t="s">
        <v>925</v>
      </c>
      <c r="F1865" s="749">
        <v>2</v>
      </c>
      <c r="G1865" s="7"/>
      <c r="H1865" s="7"/>
      <c r="I1865" s="942"/>
      <c r="J1865" s="942"/>
      <c r="K1865" s="7"/>
      <c r="L1865" s="957"/>
      <c r="M1865" s="7"/>
      <c r="N1865" s="957"/>
      <c r="O1865" s="957"/>
      <c r="P1865" s="7"/>
      <c r="Q1865" s="7"/>
      <c r="R1865" s="7"/>
      <c r="S1865" s="7"/>
      <c r="T1865" s="7"/>
      <c r="U1865" s="942"/>
      <c r="V1865" s="848"/>
      <c r="W1865" s="848"/>
      <c r="X1865" s="848"/>
      <c r="Y1865" s="848"/>
      <c r="Z1865" s="848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</row>
    <row r="1866" spans="1:39">
      <c r="B1866" s="799" t="s">
        <v>125</v>
      </c>
      <c r="C1866" s="949" t="s">
        <v>4303</v>
      </c>
      <c r="D1866" s="6">
        <v>200104476</v>
      </c>
      <c r="E1866" s="1469" t="s">
        <v>926</v>
      </c>
      <c r="F1866" s="749">
        <v>3</v>
      </c>
      <c r="G1866" s="7"/>
      <c r="H1866" s="3" t="s">
        <v>128</v>
      </c>
      <c r="I1866" s="942"/>
      <c r="J1866" s="786">
        <v>255.54</v>
      </c>
      <c r="K1866" s="7"/>
      <c r="L1866" s="957"/>
      <c r="M1866" s="3" t="s">
        <v>2094</v>
      </c>
      <c r="N1866" s="761">
        <v>45299</v>
      </c>
      <c r="O1866" s="761" t="s">
        <v>62</v>
      </c>
      <c r="P1866" s="7"/>
      <c r="Q1866" s="3" t="s">
        <v>927</v>
      </c>
      <c r="R1866" s="848"/>
      <c r="S1866" s="3" t="s">
        <v>130</v>
      </c>
      <c r="T1866" s="848"/>
      <c r="U1866" s="786">
        <v>277.89999999999998</v>
      </c>
      <c r="V1866" s="848"/>
      <c r="W1866" s="848"/>
      <c r="X1866" s="3" t="s">
        <v>2094</v>
      </c>
      <c r="Y1866" s="892">
        <v>45299</v>
      </c>
      <c r="Z1866" s="3" t="s">
        <v>62</v>
      </c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</row>
    <row r="1867" spans="1:39">
      <c r="B1867" s="799" t="s">
        <v>125</v>
      </c>
      <c r="C1867" s="949" t="s">
        <v>4303</v>
      </c>
      <c r="D1867" s="6">
        <v>200104477</v>
      </c>
      <c r="E1867" s="1469" t="s">
        <v>928</v>
      </c>
      <c r="F1867" s="749">
        <v>4</v>
      </c>
      <c r="G1867" s="3" t="s">
        <v>128</v>
      </c>
      <c r="H1867" s="3" t="s">
        <v>128</v>
      </c>
      <c r="I1867" s="786">
        <v>462.9</v>
      </c>
      <c r="J1867" s="786">
        <v>258.26</v>
      </c>
      <c r="K1867" s="3" t="s">
        <v>2094</v>
      </c>
      <c r="L1867" s="958">
        <v>45299</v>
      </c>
      <c r="M1867" s="958" t="s">
        <v>2094</v>
      </c>
      <c r="N1867" s="958">
        <v>45299</v>
      </c>
      <c r="O1867" s="761" t="s">
        <v>62</v>
      </c>
      <c r="P1867" s="3" t="s">
        <v>929</v>
      </c>
      <c r="Q1867" s="3" t="s">
        <v>930</v>
      </c>
      <c r="R1867" s="848"/>
      <c r="S1867" s="3" t="s">
        <v>130</v>
      </c>
      <c r="T1867" s="848"/>
      <c r="U1867" s="786">
        <v>281.3</v>
      </c>
      <c r="V1867" s="848"/>
      <c r="W1867" s="848"/>
      <c r="X1867" s="3" t="s">
        <v>2094</v>
      </c>
      <c r="Y1867" s="892">
        <v>45299</v>
      </c>
      <c r="Z1867" s="3" t="s">
        <v>62</v>
      </c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</row>
    <row r="1868" spans="1:39">
      <c r="B1868" s="799" t="s">
        <v>125</v>
      </c>
      <c r="C1868" s="949" t="s">
        <v>4303</v>
      </c>
      <c r="D1868" s="6">
        <v>200104644</v>
      </c>
      <c r="E1868" s="1469" t="s">
        <v>931</v>
      </c>
      <c r="F1868" s="749">
        <v>5</v>
      </c>
      <c r="G1868" s="3" t="s">
        <v>932</v>
      </c>
      <c r="H1868" s="3" t="s">
        <v>128</v>
      </c>
      <c r="I1868" s="762">
        <f>151.3+153.8+157.3</f>
        <v>462.40000000000003</v>
      </c>
      <c r="J1868" s="786">
        <v>253.1</v>
      </c>
      <c r="K1868" s="3" t="s">
        <v>2094</v>
      </c>
      <c r="L1868" s="958">
        <v>45301</v>
      </c>
      <c r="M1868" s="958" t="s">
        <v>2094</v>
      </c>
      <c r="N1868" s="958">
        <v>45300</v>
      </c>
      <c r="O1868" s="761" t="s">
        <v>62</v>
      </c>
      <c r="P1868" s="3" t="s">
        <v>933</v>
      </c>
      <c r="Q1868" s="3" t="s">
        <v>934</v>
      </c>
      <c r="R1868" s="848"/>
      <c r="S1868" s="3" t="s">
        <v>130</v>
      </c>
      <c r="T1868" s="848"/>
      <c r="U1868" s="786">
        <v>276.3</v>
      </c>
      <c r="V1868" s="848"/>
      <c r="W1868" s="848"/>
      <c r="X1868" s="3" t="s">
        <v>2094</v>
      </c>
      <c r="Y1868" s="892">
        <v>45301</v>
      </c>
      <c r="Z1868" s="3" t="s">
        <v>62</v>
      </c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</row>
    <row r="1869" spans="1:39">
      <c r="B1869" s="799" t="s">
        <v>125</v>
      </c>
      <c r="C1869" s="949" t="s">
        <v>4303</v>
      </c>
      <c r="D1869" s="6">
        <v>200104645</v>
      </c>
      <c r="E1869" s="1469" t="s">
        <v>935</v>
      </c>
      <c r="F1869" s="749">
        <v>6</v>
      </c>
      <c r="G1869" s="3" t="s">
        <v>932</v>
      </c>
      <c r="H1869" s="3" t="s">
        <v>128</v>
      </c>
      <c r="I1869" s="786">
        <v>461.8</v>
      </c>
      <c r="J1869" s="786">
        <v>256.63</v>
      </c>
      <c r="K1869" s="3" t="s">
        <v>2094</v>
      </c>
      <c r="L1869" s="958">
        <v>45302</v>
      </c>
      <c r="M1869" s="958" t="s">
        <v>2094</v>
      </c>
      <c r="N1869" s="958">
        <v>45302</v>
      </c>
      <c r="O1869" s="761" t="s">
        <v>62</v>
      </c>
      <c r="P1869" s="3" t="s">
        <v>936</v>
      </c>
      <c r="Q1869" s="3" t="s">
        <v>937</v>
      </c>
      <c r="R1869" s="848"/>
      <c r="S1869" s="3" t="s">
        <v>130</v>
      </c>
      <c r="T1869" s="848"/>
      <c r="U1869" s="786">
        <v>279.60000000000002</v>
      </c>
      <c r="V1869" s="848"/>
      <c r="W1869" s="848"/>
      <c r="X1869" s="3" t="s">
        <v>2094</v>
      </c>
      <c r="Y1869" s="892">
        <v>45302</v>
      </c>
      <c r="Z1869" s="3" t="s">
        <v>62</v>
      </c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</row>
    <row r="1870" spans="1:39">
      <c r="B1870" s="799" t="s">
        <v>125</v>
      </c>
      <c r="C1870" s="949" t="s">
        <v>4303</v>
      </c>
      <c r="D1870" s="6">
        <v>200104646</v>
      </c>
      <c r="E1870" s="1469" t="s">
        <v>938</v>
      </c>
      <c r="F1870" s="749">
        <v>7</v>
      </c>
      <c r="G1870" s="3" t="s">
        <v>932</v>
      </c>
      <c r="H1870" s="3" t="s">
        <v>128</v>
      </c>
      <c r="I1870" s="762">
        <v>460.7</v>
      </c>
      <c r="J1870" s="762">
        <v>255.48</v>
      </c>
      <c r="K1870" s="3" t="s">
        <v>2094</v>
      </c>
      <c r="L1870" s="958">
        <v>45303</v>
      </c>
      <c r="M1870" s="958" t="s">
        <v>2094</v>
      </c>
      <c r="N1870" s="958">
        <v>45303</v>
      </c>
      <c r="O1870" s="761" t="s">
        <v>62</v>
      </c>
      <c r="P1870" s="3" t="s">
        <v>939</v>
      </c>
      <c r="Q1870" s="3" t="s">
        <v>940</v>
      </c>
      <c r="R1870" s="848"/>
      <c r="S1870" s="3" t="s">
        <v>130</v>
      </c>
      <c r="T1870" s="848"/>
      <c r="U1870" s="786">
        <v>278.7</v>
      </c>
      <c r="V1870" s="848"/>
      <c r="W1870" s="848"/>
      <c r="X1870" s="3" t="s">
        <v>2094</v>
      </c>
      <c r="Y1870" s="892">
        <v>45303</v>
      </c>
      <c r="Z1870" s="3" t="s">
        <v>62</v>
      </c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</row>
    <row r="1871" spans="1:39" s="707" customFormat="1">
      <c r="A1871"/>
      <c r="B1871" s="951" t="s">
        <v>13</v>
      </c>
      <c r="C1871" s="952" t="s">
        <v>1723</v>
      </c>
      <c r="D1871" s="862"/>
      <c r="E1871" s="807"/>
      <c r="F1871" s="808"/>
      <c r="G1871" s="807"/>
      <c r="H1871" s="807"/>
      <c r="I1871" s="820"/>
      <c r="J1871" s="837"/>
      <c r="K1871" s="807"/>
      <c r="L1871" s="819"/>
      <c r="M1871" s="819"/>
      <c r="N1871" s="819"/>
      <c r="O1871" s="819"/>
      <c r="P1871" s="807"/>
      <c r="Q1871" s="807"/>
      <c r="R1871" s="807"/>
      <c r="S1871" s="807"/>
      <c r="T1871" s="807"/>
      <c r="U1871" s="837"/>
      <c r="V1871" s="807"/>
      <c r="W1871" s="807"/>
      <c r="X1871" s="819"/>
      <c r="Y1871" s="819"/>
      <c r="Z1871" s="819"/>
      <c r="AA1871" s="710"/>
      <c r="AB1871" s="710"/>
      <c r="AC1871" s="710"/>
      <c r="AD1871" s="710"/>
      <c r="AE1871" s="710"/>
      <c r="AF1871" s="710"/>
      <c r="AG1871" s="710"/>
      <c r="AH1871" s="710"/>
      <c r="AI1871" s="710"/>
      <c r="AJ1871" s="710"/>
      <c r="AK1871" s="710"/>
      <c r="AL1871" s="710"/>
      <c r="AM1871" s="710"/>
    </row>
    <row r="1872" spans="1:39">
      <c r="B1872" s="799" t="s">
        <v>163</v>
      </c>
      <c r="C1872" s="949" t="s">
        <v>4303</v>
      </c>
      <c r="D1872" s="6">
        <v>200104802</v>
      </c>
      <c r="E1872" s="1469" t="s">
        <v>941</v>
      </c>
      <c r="F1872" s="749">
        <v>1</v>
      </c>
      <c r="G1872" s="3" t="s">
        <v>932</v>
      </c>
      <c r="H1872" s="3" t="s">
        <v>128</v>
      </c>
      <c r="I1872" s="785">
        <v>464.8</v>
      </c>
      <c r="J1872" s="786">
        <v>253.03</v>
      </c>
      <c r="K1872" s="3" t="s">
        <v>2094</v>
      </c>
      <c r="L1872" s="958">
        <v>45323</v>
      </c>
      <c r="M1872" s="958" t="s">
        <v>2094</v>
      </c>
      <c r="N1872" s="958">
        <v>45323</v>
      </c>
      <c r="O1872" s="761" t="s">
        <v>62</v>
      </c>
      <c r="P1872" s="3" t="s">
        <v>942</v>
      </c>
      <c r="Q1872" s="3" t="s">
        <v>934</v>
      </c>
      <c r="R1872" s="848"/>
      <c r="S1872" s="3" t="s">
        <v>130</v>
      </c>
      <c r="T1872" s="848"/>
      <c r="U1872" s="762">
        <v>275.3</v>
      </c>
      <c r="V1872" s="848"/>
      <c r="W1872" s="848"/>
      <c r="X1872" s="3" t="s">
        <v>2125</v>
      </c>
      <c r="Y1872" s="890">
        <v>45324</v>
      </c>
      <c r="Z1872" s="3" t="s">
        <v>62</v>
      </c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</row>
    <row r="1873" spans="1:39">
      <c r="B1873" s="799" t="s">
        <v>163</v>
      </c>
      <c r="C1873" s="949" t="s">
        <v>4303</v>
      </c>
      <c r="D1873" s="6">
        <v>200104803</v>
      </c>
      <c r="E1873" s="1469" t="s">
        <v>943</v>
      </c>
      <c r="F1873" s="749">
        <v>2</v>
      </c>
      <c r="G1873" s="3" t="s">
        <v>932</v>
      </c>
      <c r="H1873" s="3" t="s">
        <v>128</v>
      </c>
      <c r="I1873" s="762">
        <v>464.2</v>
      </c>
      <c r="J1873" s="786">
        <f>127.24+130.26</f>
        <v>257.5</v>
      </c>
      <c r="K1873" s="3" t="s">
        <v>2125</v>
      </c>
      <c r="L1873" s="958">
        <v>45324</v>
      </c>
      <c r="M1873" s="958" t="s">
        <v>2094</v>
      </c>
      <c r="N1873" s="958">
        <v>45323</v>
      </c>
      <c r="O1873" s="761" t="s">
        <v>62</v>
      </c>
      <c r="P1873" s="3" t="s">
        <v>944</v>
      </c>
      <c r="Q1873" s="3" t="s">
        <v>945</v>
      </c>
      <c r="R1873" s="848"/>
      <c r="S1873" s="3" t="s">
        <v>130</v>
      </c>
      <c r="T1873" s="848"/>
      <c r="U1873" s="762">
        <v>280.89999999999998</v>
      </c>
      <c r="V1873" s="848"/>
      <c r="W1873" s="848"/>
      <c r="X1873" s="3" t="s">
        <v>2125</v>
      </c>
      <c r="Y1873" s="890">
        <v>45324</v>
      </c>
      <c r="Z1873" s="3" t="s">
        <v>62</v>
      </c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</row>
    <row r="1874" spans="1:39">
      <c r="B1874" s="799" t="s">
        <v>163</v>
      </c>
      <c r="C1874" s="949" t="s">
        <v>4303</v>
      </c>
      <c r="D1874" s="6">
        <v>200104804</v>
      </c>
      <c r="E1874" s="1469" t="s">
        <v>946</v>
      </c>
      <c r="F1874" s="749">
        <v>3</v>
      </c>
      <c r="G1874" s="3" t="s">
        <v>932</v>
      </c>
      <c r="H1874" s="3" t="s">
        <v>128</v>
      </c>
      <c r="I1874" s="786">
        <v>466.9</v>
      </c>
      <c r="J1874" s="786">
        <v>259.95999999999998</v>
      </c>
      <c r="K1874" s="3" t="s">
        <v>2125</v>
      </c>
      <c r="L1874" s="958">
        <v>45327</v>
      </c>
      <c r="M1874" s="958" t="s">
        <v>2094</v>
      </c>
      <c r="N1874" s="958">
        <v>45323</v>
      </c>
      <c r="O1874" s="761" t="s">
        <v>62</v>
      </c>
      <c r="P1874" s="3" t="s">
        <v>947</v>
      </c>
      <c r="Q1874" s="3" t="s">
        <v>948</v>
      </c>
      <c r="R1874" s="848"/>
      <c r="S1874" s="3" t="s">
        <v>130</v>
      </c>
      <c r="T1874" s="848"/>
      <c r="U1874" s="762">
        <v>282.3</v>
      </c>
      <c r="V1874" s="848"/>
      <c r="W1874" s="848"/>
      <c r="X1874" s="3" t="s">
        <v>2125</v>
      </c>
      <c r="Y1874" s="890">
        <v>45324</v>
      </c>
      <c r="Z1874" s="3" t="s">
        <v>62</v>
      </c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</row>
    <row r="1875" spans="1:39">
      <c r="B1875" s="799" t="s">
        <v>163</v>
      </c>
      <c r="C1875" s="949" t="s">
        <v>4303</v>
      </c>
      <c r="D1875" s="6">
        <v>200104805</v>
      </c>
      <c r="E1875" s="1469" t="s">
        <v>949</v>
      </c>
      <c r="F1875" s="749">
        <v>4</v>
      </c>
      <c r="G1875" s="3" t="s">
        <v>932</v>
      </c>
      <c r="H1875" s="3" t="s">
        <v>128</v>
      </c>
      <c r="I1875" s="786">
        <v>466.8</v>
      </c>
      <c r="J1875" s="786">
        <v>259.25</v>
      </c>
      <c r="K1875" s="3" t="s">
        <v>2125</v>
      </c>
      <c r="L1875" s="958">
        <v>45327</v>
      </c>
      <c r="M1875" s="958" t="s">
        <v>2125</v>
      </c>
      <c r="N1875" s="958">
        <v>45324</v>
      </c>
      <c r="O1875" s="761" t="s">
        <v>62</v>
      </c>
      <c r="P1875" s="3" t="s">
        <v>950</v>
      </c>
      <c r="Q1875" s="3" t="s">
        <v>951</v>
      </c>
      <c r="R1875" s="848"/>
      <c r="S1875" s="3" t="s">
        <v>130</v>
      </c>
      <c r="T1875" s="848"/>
      <c r="U1875" s="3">
        <v>282.39999999999998</v>
      </c>
      <c r="V1875" s="848"/>
      <c r="W1875" s="848"/>
      <c r="X1875" s="3" t="s">
        <v>2125</v>
      </c>
      <c r="Y1875" s="890">
        <v>45328</v>
      </c>
      <c r="Z1875" s="3" t="s">
        <v>62</v>
      </c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</row>
    <row r="1876" spans="1:39">
      <c r="B1876" s="799" t="s">
        <v>163</v>
      </c>
      <c r="C1876" s="949" t="s">
        <v>4303</v>
      </c>
      <c r="D1876" s="6">
        <v>200104806</v>
      </c>
      <c r="E1876" s="1469" t="s">
        <v>952</v>
      </c>
      <c r="F1876" s="749">
        <v>5</v>
      </c>
      <c r="G1876" s="3" t="s">
        <v>932</v>
      </c>
      <c r="H1876" s="3" t="s">
        <v>128</v>
      </c>
      <c r="I1876" s="762">
        <v>462.04</v>
      </c>
      <c r="J1876" s="762">
        <v>251.84</v>
      </c>
      <c r="K1876" s="3" t="s">
        <v>2125</v>
      </c>
      <c r="L1876" s="958">
        <v>45328</v>
      </c>
      <c r="M1876" s="958" t="s">
        <v>2125</v>
      </c>
      <c r="N1876" s="958">
        <v>45327</v>
      </c>
      <c r="O1876" s="761" t="s">
        <v>62</v>
      </c>
      <c r="P1876" s="3" t="s">
        <v>953</v>
      </c>
      <c r="Q1876" s="3" t="s">
        <v>954</v>
      </c>
      <c r="R1876" s="848"/>
      <c r="S1876" s="3" t="s">
        <v>130</v>
      </c>
      <c r="T1876" s="848"/>
      <c r="U1876" s="762">
        <v>274.7</v>
      </c>
      <c r="V1876" s="848"/>
      <c r="W1876" s="848"/>
      <c r="X1876" s="3" t="s">
        <v>2125</v>
      </c>
      <c r="Y1876" s="890">
        <v>45329</v>
      </c>
      <c r="Z1876" s="3" t="s">
        <v>62</v>
      </c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</row>
    <row r="1877" spans="1:39">
      <c r="B1877" s="799" t="s">
        <v>163</v>
      </c>
      <c r="C1877" s="949" t="s">
        <v>4303</v>
      </c>
      <c r="D1877" s="6">
        <v>200104905</v>
      </c>
      <c r="E1877" s="1469" t="s">
        <v>955</v>
      </c>
      <c r="F1877" s="749">
        <v>6</v>
      </c>
      <c r="G1877" s="3" t="s">
        <v>932</v>
      </c>
      <c r="H1877" s="3" t="s">
        <v>128</v>
      </c>
      <c r="I1877" s="762">
        <v>462.09</v>
      </c>
      <c r="J1877" s="762">
        <v>255.01</v>
      </c>
      <c r="K1877" s="3" t="s">
        <v>2125</v>
      </c>
      <c r="L1877" s="958">
        <v>45328</v>
      </c>
      <c r="M1877" s="958" t="s">
        <v>2125</v>
      </c>
      <c r="N1877" s="958">
        <v>45329</v>
      </c>
      <c r="O1877" s="761" t="s">
        <v>62</v>
      </c>
      <c r="P1877" s="3" t="s">
        <v>956</v>
      </c>
      <c r="Q1877" s="3" t="s">
        <v>957</v>
      </c>
      <c r="R1877" s="848"/>
      <c r="S1877" s="3" t="s">
        <v>130</v>
      </c>
      <c r="T1877" s="848"/>
      <c r="U1877" s="762">
        <v>277.60000000000002</v>
      </c>
      <c r="V1877" s="848"/>
      <c r="W1877" s="848"/>
      <c r="X1877" s="3" t="s">
        <v>2125</v>
      </c>
      <c r="Y1877" s="890">
        <v>45331</v>
      </c>
      <c r="Z1877" s="3" t="s">
        <v>62</v>
      </c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</row>
    <row r="1878" spans="1:39">
      <c r="B1878" s="799" t="s">
        <v>163</v>
      </c>
      <c r="C1878" s="949" t="s">
        <v>4303</v>
      </c>
      <c r="D1878" s="6">
        <v>200104906</v>
      </c>
      <c r="E1878" s="1469" t="s">
        <v>958</v>
      </c>
      <c r="F1878" s="749">
        <v>7</v>
      </c>
      <c r="G1878" s="3" t="s">
        <v>932</v>
      </c>
      <c r="H1878" s="3" t="s">
        <v>128</v>
      </c>
      <c r="I1878" s="762">
        <v>461.4</v>
      </c>
      <c r="J1878" s="762">
        <v>259.95999999999998</v>
      </c>
      <c r="K1878" s="3" t="s">
        <v>2125</v>
      </c>
      <c r="L1878" s="958">
        <v>45329</v>
      </c>
      <c r="M1878" s="958" t="s">
        <v>2125</v>
      </c>
      <c r="N1878" s="958">
        <v>45329</v>
      </c>
      <c r="O1878" s="761" t="s">
        <v>62</v>
      </c>
      <c r="P1878" s="3" t="s">
        <v>959</v>
      </c>
      <c r="Q1878" s="3" t="s">
        <v>960</v>
      </c>
      <c r="R1878" s="848"/>
      <c r="S1878" s="3" t="s">
        <v>130</v>
      </c>
      <c r="T1878" s="848"/>
      <c r="U1878" s="762">
        <v>282.8</v>
      </c>
      <c r="V1878" s="848"/>
      <c r="W1878" s="848"/>
      <c r="X1878" s="3" t="s">
        <v>2125</v>
      </c>
      <c r="Y1878" s="890">
        <v>45331</v>
      </c>
      <c r="Z1878" s="3" t="s">
        <v>62</v>
      </c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</row>
    <row r="1879" spans="1:39">
      <c r="B1879" s="799" t="s">
        <v>163</v>
      </c>
      <c r="C1879" s="949" t="s">
        <v>4303</v>
      </c>
      <c r="D1879" s="6">
        <v>200104907</v>
      </c>
      <c r="E1879" s="1469" t="s">
        <v>961</v>
      </c>
      <c r="F1879" s="749">
        <v>8</v>
      </c>
      <c r="G1879" s="3" t="s">
        <v>932</v>
      </c>
      <c r="H1879" s="3" t="s">
        <v>128</v>
      </c>
      <c r="I1879" s="762">
        <v>467.2</v>
      </c>
      <c r="J1879" s="762">
        <v>258.79000000000002</v>
      </c>
      <c r="K1879" s="3" t="s">
        <v>2125</v>
      </c>
      <c r="L1879" s="958">
        <v>45329</v>
      </c>
      <c r="M1879" s="958" t="s">
        <v>2125</v>
      </c>
      <c r="N1879" s="958">
        <v>45329</v>
      </c>
      <c r="O1879" s="761" t="s">
        <v>62</v>
      </c>
      <c r="P1879" s="3" t="s">
        <v>962</v>
      </c>
      <c r="Q1879" s="3" t="s">
        <v>963</v>
      </c>
      <c r="R1879" s="848"/>
      <c r="S1879" s="3" t="s">
        <v>130</v>
      </c>
      <c r="T1879" s="848"/>
      <c r="U1879" s="762">
        <v>277.60000000000002</v>
      </c>
      <c r="V1879" s="848"/>
      <c r="W1879" s="848"/>
      <c r="X1879" s="3" t="s">
        <v>2125</v>
      </c>
      <c r="Y1879" s="890">
        <v>45331</v>
      </c>
      <c r="Z1879" s="3" t="s">
        <v>62</v>
      </c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</row>
    <row r="1880" spans="1:39">
      <c r="B1880" s="799" t="s">
        <v>163</v>
      </c>
      <c r="C1880" s="949" t="s">
        <v>4303</v>
      </c>
      <c r="D1880" s="6">
        <v>200104908</v>
      </c>
      <c r="E1880" s="1469" t="s">
        <v>964</v>
      </c>
      <c r="F1880" s="749">
        <v>9</v>
      </c>
      <c r="G1880" s="3" t="s">
        <v>932</v>
      </c>
      <c r="H1880" s="3" t="s">
        <v>128</v>
      </c>
      <c r="I1880" s="762">
        <v>457.46</v>
      </c>
      <c r="J1880" s="762">
        <v>258.81</v>
      </c>
      <c r="K1880" s="3" t="s">
        <v>2125</v>
      </c>
      <c r="L1880" s="958">
        <v>45331</v>
      </c>
      <c r="M1880" s="958" t="s">
        <v>2125</v>
      </c>
      <c r="N1880" s="958">
        <v>45329</v>
      </c>
      <c r="O1880" s="761" t="s">
        <v>62</v>
      </c>
      <c r="P1880" s="3" t="s">
        <v>965</v>
      </c>
      <c r="Q1880" s="3" t="s">
        <v>966</v>
      </c>
      <c r="R1880" s="848"/>
      <c r="S1880" s="3" t="s">
        <v>130</v>
      </c>
      <c r="T1880" s="848"/>
      <c r="U1880" s="762">
        <v>281.7</v>
      </c>
      <c r="V1880" s="848"/>
      <c r="W1880" s="848"/>
      <c r="X1880" s="3" t="s">
        <v>2125</v>
      </c>
      <c r="Y1880" s="890">
        <v>45331</v>
      </c>
      <c r="Z1880" s="3" t="s">
        <v>62</v>
      </c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</row>
    <row r="1881" spans="1:39">
      <c r="B1881" s="799" t="s">
        <v>163</v>
      </c>
      <c r="C1881" s="949" t="s">
        <v>4303</v>
      </c>
      <c r="D1881" s="6">
        <v>200104924</v>
      </c>
      <c r="E1881" s="1469" t="s">
        <v>967</v>
      </c>
      <c r="F1881" s="749">
        <v>10</v>
      </c>
      <c r="G1881" s="3" t="s">
        <v>932</v>
      </c>
      <c r="H1881" s="3" t="s">
        <v>128</v>
      </c>
      <c r="I1881" s="762">
        <v>469.94</v>
      </c>
      <c r="J1881" s="762">
        <v>252.79</v>
      </c>
      <c r="K1881" s="3" t="s">
        <v>2125</v>
      </c>
      <c r="L1881" s="958">
        <v>45331</v>
      </c>
      <c r="M1881" s="958" t="s">
        <v>2125</v>
      </c>
      <c r="N1881" s="958">
        <v>45334</v>
      </c>
      <c r="O1881" s="761" t="s">
        <v>62</v>
      </c>
      <c r="P1881" s="3" t="s">
        <v>968</v>
      </c>
      <c r="Q1881" s="3" t="s">
        <v>969</v>
      </c>
      <c r="R1881" s="848"/>
      <c r="S1881" s="3" t="s">
        <v>130</v>
      </c>
      <c r="T1881" s="848"/>
      <c r="U1881" s="3">
        <v>275.8</v>
      </c>
      <c r="V1881" s="848"/>
      <c r="W1881" s="848"/>
      <c r="X1881" s="3" t="s">
        <v>2125</v>
      </c>
      <c r="Y1881" s="890">
        <v>45334</v>
      </c>
      <c r="Z1881" s="3" t="s">
        <v>62</v>
      </c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</row>
    <row r="1882" spans="1:39">
      <c r="B1882" s="799" t="s">
        <v>163</v>
      </c>
      <c r="C1882" s="949" t="s">
        <v>4303</v>
      </c>
      <c r="D1882" s="6">
        <v>200104925</v>
      </c>
      <c r="E1882" s="1469" t="s">
        <v>970</v>
      </c>
      <c r="F1882" s="749">
        <v>11</v>
      </c>
      <c r="G1882" s="3" t="s">
        <v>932</v>
      </c>
      <c r="H1882" s="3" t="s">
        <v>128</v>
      </c>
      <c r="I1882" s="762">
        <v>462.6</v>
      </c>
      <c r="J1882" s="762">
        <v>254.97</v>
      </c>
      <c r="K1882" s="3" t="s">
        <v>2125</v>
      </c>
      <c r="L1882" s="958">
        <v>45334</v>
      </c>
      <c r="M1882" s="958" t="s">
        <v>2125</v>
      </c>
      <c r="N1882" s="958">
        <v>45334</v>
      </c>
      <c r="O1882" s="761" t="s">
        <v>62</v>
      </c>
      <c r="P1882" s="3" t="s">
        <v>971</v>
      </c>
      <c r="Q1882" s="3" t="s">
        <v>972</v>
      </c>
      <c r="R1882" s="848"/>
      <c r="S1882" s="3" t="s">
        <v>130</v>
      </c>
      <c r="T1882" s="848"/>
      <c r="U1882" s="3">
        <v>277.89999999999998</v>
      </c>
      <c r="V1882" s="848"/>
      <c r="W1882" s="848"/>
      <c r="X1882" s="3" t="s">
        <v>2125</v>
      </c>
      <c r="Y1882" s="890">
        <v>45334</v>
      </c>
      <c r="Z1882" s="3" t="s">
        <v>62</v>
      </c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</row>
    <row r="1883" spans="1:39">
      <c r="B1883" s="799" t="s">
        <v>163</v>
      </c>
      <c r="C1883" s="949" t="s">
        <v>4303</v>
      </c>
      <c r="D1883" s="6">
        <v>200104926</v>
      </c>
      <c r="E1883" s="1469" t="s">
        <v>973</v>
      </c>
      <c r="F1883" s="749">
        <v>12</v>
      </c>
      <c r="G1883" s="3" t="s">
        <v>932</v>
      </c>
      <c r="H1883" s="3" t="s">
        <v>128</v>
      </c>
      <c r="I1883" s="762">
        <v>466.9</v>
      </c>
      <c r="J1883" s="762">
        <v>257.25</v>
      </c>
      <c r="K1883" s="3" t="s">
        <v>2125</v>
      </c>
      <c r="L1883" s="958">
        <v>45334</v>
      </c>
      <c r="M1883" s="958" t="s">
        <v>2125</v>
      </c>
      <c r="N1883" s="958">
        <v>45334</v>
      </c>
      <c r="O1883" s="761" t="s">
        <v>62</v>
      </c>
      <c r="P1883" s="3" t="s">
        <v>974</v>
      </c>
      <c r="Q1883" s="3" t="s">
        <v>4678</v>
      </c>
      <c r="R1883" s="848"/>
      <c r="S1883" s="3" t="s">
        <v>130</v>
      </c>
      <c r="T1883" s="848"/>
      <c r="U1883" s="3">
        <v>280.39999999999998</v>
      </c>
      <c r="V1883" s="848"/>
      <c r="W1883" s="848"/>
      <c r="X1883" s="3" t="s">
        <v>2125</v>
      </c>
      <c r="Y1883" s="890">
        <v>45334</v>
      </c>
      <c r="Z1883" s="3" t="s">
        <v>62</v>
      </c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</row>
    <row r="1884" spans="1:39" s="707" customFormat="1">
      <c r="A1884"/>
      <c r="B1884" s="951" t="s">
        <v>13</v>
      </c>
      <c r="C1884" s="952" t="s">
        <v>1716</v>
      </c>
      <c r="D1884" s="862"/>
      <c r="E1884" s="807"/>
      <c r="F1884" s="808"/>
      <c r="G1884" s="807"/>
      <c r="H1884" s="807"/>
      <c r="I1884" s="820"/>
      <c r="J1884" s="837"/>
      <c r="K1884" s="807"/>
      <c r="L1884" s="819"/>
      <c r="M1884" s="819"/>
      <c r="N1884" s="819"/>
      <c r="O1884" s="819"/>
      <c r="P1884" s="807"/>
      <c r="Q1884" s="807"/>
      <c r="R1884" s="807"/>
      <c r="S1884" s="807"/>
      <c r="T1884" s="807"/>
      <c r="U1884" s="837"/>
      <c r="V1884" s="807"/>
      <c r="W1884" s="807"/>
      <c r="X1884" s="819"/>
      <c r="Y1884" s="819"/>
      <c r="Z1884" s="819"/>
      <c r="AA1884" s="710"/>
      <c r="AB1884" s="710"/>
      <c r="AC1884" s="710"/>
      <c r="AD1884" s="710"/>
      <c r="AE1884" s="710"/>
      <c r="AF1884" s="710"/>
      <c r="AG1884" s="710"/>
      <c r="AH1884" s="710"/>
      <c r="AI1884" s="710"/>
      <c r="AJ1884" s="710"/>
      <c r="AK1884" s="710"/>
      <c r="AL1884" s="710"/>
      <c r="AM1884" s="710"/>
    </row>
    <row r="1885" spans="1:39">
      <c r="B1885" s="799" t="s">
        <v>213</v>
      </c>
      <c r="C1885" s="949" t="s">
        <v>4303</v>
      </c>
      <c r="D1885" s="6">
        <v>200104953</v>
      </c>
      <c r="E1885" s="1469" t="s">
        <v>975</v>
      </c>
      <c r="F1885" s="749">
        <v>1</v>
      </c>
      <c r="G1885" s="3" t="s">
        <v>932</v>
      </c>
      <c r="H1885" s="3" t="s">
        <v>128</v>
      </c>
      <c r="I1885" s="3">
        <v>463.7</v>
      </c>
      <c r="J1885" s="762">
        <v>249.51</v>
      </c>
      <c r="K1885" s="3" t="s">
        <v>2125</v>
      </c>
      <c r="L1885" s="958">
        <v>45344</v>
      </c>
      <c r="M1885" s="958" t="s">
        <v>2125</v>
      </c>
      <c r="N1885" s="958">
        <v>45344</v>
      </c>
      <c r="O1885" s="761" t="s">
        <v>62</v>
      </c>
      <c r="P1885" s="3" t="s">
        <v>976</v>
      </c>
      <c r="Q1885" s="3" t="s">
        <v>977</v>
      </c>
      <c r="R1885" s="848"/>
      <c r="S1885" s="3" t="s">
        <v>130</v>
      </c>
      <c r="T1885" s="848"/>
      <c r="U1885" s="762">
        <v>275.10000000000002</v>
      </c>
      <c r="V1885" s="848"/>
      <c r="W1885" s="848"/>
      <c r="X1885" s="3" t="s">
        <v>2125</v>
      </c>
      <c r="Y1885" s="890">
        <v>45345</v>
      </c>
      <c r="Z1885" s="3" t="s">
        <v>62</v>
      </c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</row>
    <row r="1886" spans="1:39">
      <c r="B1886" s="799" t="s">
        <v>213</v>
      </c>
      <c r="C1886" s="949" t="s">
        <v>4303</v>
      </c>
      <c r="D1886" s="6">
        <v>200104954</v>
      </c>
      <c r="E1886" s="1469" t="s">
        <v>978</v>
      </c>
      <c r="F1886" s="749">
        <v>2</v>
      </c>
      <c r="G1886" s="3" t="s">
        <v>932</v>
      </c>
      <c r="H1886" s="3" t="s">
        <v>128</v>
      </c>
      <c r="I1886" s="3">
        <v>466.15</v>
      </c>
      <c r="J1886" s="762">
        <v>251.83</v>
      </c>
      <c r="K1886" s="3" t="s">
        <v>2125</v>
      </c>
      <c r="L1886" s="958">
        <v>45344</v>
      </c>
      <c r="M1886" s="958" t="s">
        <v>2125</v>
      </c>
      <c r="N1886" s="958">
        <v>45344</v>
      </c>
      <c r="O1886" s="761" t="s">
        <v>62</v>
      </c>
      <c r="P1886" s="785" t="s">
        <v>979</v>
      </c>
      <c r="Q1886" s="3" t="s">
        <v>980</v>
      </c>
      <c r="R1886" s="848"/>
      <c r="S1886" s="3" t="s">
        <v>130</v>
      </c>
      <c r="T1886" s="848"/>
      <c r="U1886" s="762">
        <v>274.7</v>
      </c>
      <c r="V1886" s="848"/>
      <c r="W1886" s="848"/>
      <c r="X1886" s="3" t="s">
        <v>2125</v>
      </c>
      <c r="Y1886" s="890">
        <v>45345</v>
      </c>
      <c r="Z1886" s="3" t="s">
        <v>62</v>
      </c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</row>
    <row r="1887" spans="1:39">
      <c r="B1887" s="799" t="s">
        <v>213</v>
      </c>
      <c r="C1887" s="949" t="s">
        <v>4303</v>
      </c>
      <c r="D1887" s="6">
        <v>200104955</v>
      </c>
      <c r="E1887" s="1469" t="s">
        <v>981</v>
      </c>
      <c r="F1887" s="749">
        <v>3</v>
      </c>
      <c r="G1887" s="3" t="s">
        <v>932</v>
      </c>
      <c r="H1887" s="3" t="s">
        <v>128</v>
      </c>
      <c r="I1887" s="762">
        <v>460.8</v>
      </c>
      <c r="J1887" s="762">
        <v>251.12</v>
      </c>
      <c r="K1887" s="3" t="s">
        <v>2125</v>
      </c>
      <c r="L1887" s="958">
        <v>45345</v>
      </c>
      <c r="M1887" s="958" t="s">
        <v>2125</v>
      </c>
      <c r="N1887" s="958">
        <v>45345</v>
      </c>
      <c r="O1887" s="761" t="s">
        <v>62</v>
      </c>
      <c r="P1887" s="3" t="s">
        <v>982</v>
      </c>
      <c r="Q1887" s="3" t="s">
        <v>983</v>
      </c>
      <c r="R1887" s="848"/>
      <c r="S1887" s="3" t="s">
        <v>130</v>
      </c>
      <c r="T1887" s="848"/>
      <c r="U1887" s="762">
        <v>273.8</v>
      </c>
      <c r="V1887" s="848"/>
      <c r="W1887" s="848"/>
      <c r="X1887" s="3" t="s">
        <v>2125</v>
      </c>
      <c r="Y1887" s="890">
        <v>45345</v>
      </c>
      <c r="Z1887" s="3" t="s">
        <v>62</v>
      </c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</row>
    <row r="1888" spans="1:39">
      <c r="B1888" s="799" t="s">
        <v>213</v>
      </c>
      <c r="C1888" s="949" t="s">
        <v>4303</v>
      </c>
      <c r="D1888" s="6">
        <v>200104956</v>
      </c>
      <c r="E1888" s="1469" t="s">
        <v>984</v>
      </c>
      <c r="F1888" s="749">
        <v>4</v>
      </c>
      <c r="G1888" s="3" t="s">
        <v>932</v>
      </c>
      <c r="H1888" s="3" t="s">
        <v>128</v>
      </c>
      <c r="I1888" s="762">
        <v>466</v>
      </c>
      <c r="J1888" s="762">
        <v>253.13</v>
      </c>
      <c r="K1888" s="3" t="s">
        <v>2125</v>
      </c>
      <c r="L1888" s="958">
        <v>45345</v>
      </c>
      <c r="M1888" s="958" t="s">
        <v>2125</v>
      </c>
      <c r="N1888" s="958">
        <v>45345</v>
      </c>
      <c r="O1888" s="761" t="s">
        <v>62</v>
      </c>
      <c r="P1888" s="3" t="s">
        <v>985</v>
      </c>
      <c r="Q1888" s="3" t="s">
        <v>986</v>
      </c>
      <c r="R1888" s="848"/>
      <c r="S1888" s="3" t="s">
        <v>130</v>
      </c>
      <c r="T1888" s="848"/>
      <c r="U1888" s="786">
        <v>275.7</v>
      </c>
      <c r="V1888" s="848"/>
      <c r="W1888" s="848"/>
      <c r="X1888" s="3" t="s">
        <v>2125</v>
      </c>
      <c r="Y1888" s="890">
        <v>45345</v>
      </c>
      <c r="Z1888" s="3" t="s">
        <v>62</v>
      </c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</row>
    <row r="1889" spans="1:39">
      <c r="B1889" s="799" t="s">
        <v>213</v>
      </c>
      <c r="C1889" s="949" t="s">
        <v>4303</v>
      </c>
      <c r="D1889" s="6">
        <v>200104957</v>
      </c>
      <c r="E1889" s="1469" t="s">
        <v>987</v>
      </c>
      <c r="F1889" s="749">
        <v>5</v>
      </c>
      <c r="G1889" s="3" t="s">
        <v>932</v>
      </c>
      <c r="H1889" s="3" t="s">
        <v>128</v>
      </c>
      <c r="I1889" s="786">
        <v>467.3</v>
      </c>
      <c r="J1889" s="786">
        <v>261.93</v>
      </c>
      <c r="K1889" s="3" t="s">
        <v>2125</v>
      </c>
      <c r="L1889" s="958">
        <v>45345</v>
      </c>
      <c r="M1889" s="958" t="s">
        <v>2125</v>
      </c>
      <c r="N1889" s="958">
        <v>45345</v>
      </c>
      <c r="O1889" s="761" t="s">
        <v>62</v>
      </c>
      <c r="P1889" s="3" t="s">
        <v>988</v>
      </c>
      <c r="Q1889" s="3" t="s">
        <v>989</v>
      </c>
      <c r="R1889" s="848"/>
      <c r="S1889" s="3" t="s">
        <v>130</v>
      </c>
      <c r="T1889" s="848"/>
      <c r="U1889" s="786">
        <v>284.7</v>
      </c>
      <c r="V1889" s="848"/>
      <c r="W1889" s="848"/>
      <c r="X1889" s="3" t="s">
        <v>2125</v>
      </c>
      <c r="Y1889" s="890">
        <v>45345</v>
      </c>
      <c r="Z1889" s="3" t="s">
        <v>62</v>
      </c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</row>
    <row r="1890" spans="1:39">
      <c r="B1890" s="799" t="s">
        <v>213</v>
      </c>
      <c r="C1890" s="949" t="s">
        <v>4303</v>
      </c>
      <c r="D1890" s="6">
        <v>200105054</v>
      </c>
      <c r="E1890" s="1469" t="s">
        <v>990</v>
      </c>
      <c r="F1890" s="749">
        <v>6</v>
      </c>
      <c r="G1890" s="3" t="s">
        <v>932</v>
      </c>
      <c r="H1890" s="3" t="s">
        <v>128</v>
      </c>
      <c r="I1890" s="762">
        <v>462.8</v>
      </c>
      <c r="J1890" s="786">
        <v>253.23</v>
      </c>
      <c r="K1890" s="3" t="s">
        <v>2125</v>
      </c>
      <c r="L1890" s="958">
        <v>45350</v>
      </c>
      <c r="M1890" s="958" t="s">
        <v>2125</v>
      </c>
      <c r="N1890" s="958">
        <v>45349</v>
      </c>
      <c r="O1890" s="761" t="s">
        <v>62</v>
      </c>
      <c r="P1890" s="3" t="s">
        <v>991</v>
      </c>
      <c r="Q1890" s="3" t="s">
        <v>992</v>
      </c>
      <c r="R1890" s="848"/>
      <c r="S1890" s="3" t="s">
        <v>130</v>
      </c>
      <c r="T1890" s="848"/>
      <c r="U1890" s="762">
        <v>276</v>
      </c>
      <c r="V1890" s="848"/>
      <c r="W1890" s="848"/>
      <c r="X1890" s="3" t="s">
        <v>2125</v>
      </c>
      <c r="Y1890" s="890">
        <v>45350</v>
      </c>
      <c r="Z1890" s="3" t="s">
        <v>62</v>
      </c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</row>
    <row r="1891" spans="1:39">
      <c r="B1891" s="799" t="s">
        <v>213</v>
      </c>
      <c r="C1891" s="949" t="s">
        <v>4303</v>
      </c>
      <c r="D1891" s="6">
        <v>200105055</v>
      </c>
      <c r="E1891" s="1469" t="s">
        <v>993</v>
      </c>
      <c r="F1891" s="749">
        <v>7</v>
      </c>
      <c r="G1891" s="3" t="s">
        <v>932</v>
      </c>
      <c r="H1891" s="3" t="s">
        <v>128</v>
      </c>
      <c r="I1891" s="762">
        <v>463.1</v>
      </c>
      <c r="J1891" s="786">
        <v>259.66000000000003</v>
      </c>
      <c r="K1891" s="3" t="s">
        <v>2125</v>
      </c>
      <c r="L1891" s="958">
        <v>45350</v>
      </c>
      <c r="M1891" s="958" t="s">
        <v>2125</v>
      </c>
      <c r="N1891" s="958">
        <v>45349</v>
      </c>
      <c r="O1891" s="761" t="s">
        <v>62</v>
      </c>
      <c r="P1891" s="3" t="s">
        <v>994</v>
      </c>
      <c r="Q1891" s="3" t="s">
        <v>995</v>
      </c>
      <c r="R1891" s="848"/>
      <c r="S1891" s="3" t="s">
        <v>130</v>
      </c>
      <c r="T1891" s="848"/>
      <c r="U1891" s="762">
        <v>282.39999999999998</v>
      </c>
      <c r="V1891" s="848"/>
      <c r="W1891" s="848"/>
      <c r="X1891" s="3" t="s">
        <v>2125</v>
      </c>
      <c r="Y1891" s="890">
        <v>45350</v>
      </c>
      <c r="Z1891" s="3" t="s">
        <v>62</v>
      </c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</row>
    <row r="1892" spans="1:39">
      <c r="B1892" s="799" t="s">
        <v>213</v>
      </c>
      <c r="C1892" s="949" t="s">
        <v>4303</v>
      </c>
      <c r="D1892" s="6">
        <v>200105241</v>
      </c>
      <c r="E1892" s="1469" t="s">
        <v>996</v>
      </c>
      <c r="F1892" s="749">
        <v>8</v>
      </c>
      <c r="G1892" s="3" t="s">
        <v>932</v>
      </c>
      <c r="H1892" s="3" t="s">
        <v>128</v>
      </c>
      <c r="I1892" s="786">
        <v>465.5</v>
      </c>
      <c r="J1892" s="786">
        <v>255.39</v>
      </c>
      <c r="K1892" s="3" t="s">
        <v>2185</v>
      </c>
      <c r="L1892" s="958">
        <v>45373</v>
      </c>
      <c r="M1892" s="958" t="s">
        <v>1716</v>
      </c>
      <c r="N1892" s="958">
        <v>45371</v>
      </c>
      <c r="O1892" s="761" t="s">
        <v>62</v>
      </c>
      <c r="P1892" s="785" t="s">
        <v>997</v>
      </c>
      <c r="Q1892" s="785" t="s">
        <v>998</v>
      </c>
      <c r="R1892" s="848"/>
      <c r="S1892" s="3" t="s">
        <v>130</v>
      </c>
      <c r="T1892" s="848"/>
      <c r="U1892" s="762">
        <v>278</v>
      </c>
      <c r="V1892" s="848"/>
      <c r="W1892" s="848"/>
      <c r="X1892" s="3" t="s">
        <v>1716</v>
      </c>
      <c r="Y1892" s="890">
        <v>45376</v>
      </c>
      <c r="Z1892" s="3" t="s">
        <v>62</v>
      </c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</row>
    <row r="1893" spans="1:39">
      <c r="B1893" s="799" t="s">
        <v>213</v>
      </c>
      <c r="C1893" s="949" t="s">
        <v>4303</v>
      </c>
      <c r="D1893" s="6">
        <v>200105242</v>
      </c>
      <c r="E1893" s="1469" t="s">
        <v>999</v>
      </c>
      <c r="F1893" s="749">
        <v>9</v>
      </c>
      <c r="G1893" s="3" t="s">
        <v>932</v>
      </c>
      <c r="H1893" s="3" t="s">
        <v>128</v>
      </c>
      <c r="I1893" s="762">
        <v>464.6</v>
      </c>
      <c r="J1893" s="762">
        <v>254.59</v>
      </c>
      <c r="K1893" s="3" t="s">
        <v>2185</v>
      </c>
      <c r="L1893" s="958">
        <v>45376</v>
      </c>
      <c r="M1893" s="958" t="s">
        <v>1716</v>
      </c>
      <c r="N1893" s="958">
        <v>45376</v>
      </c>
      <c r="O1893" s="761" t="s">
        <v>62</v>
      </c>
      <c r="P1893" s="785" t="s">
        <v>1000</v>
      </c>
      <c r="Q1893" s="3" t="s">
        <v>934</v>
      </c>
      <c r="R1893" s="848"/>
      <c r="S1893" s="3" t="s">
        <v>130</v>
      </c>
      <c r="T1893" s="848"/>
      <c r="U1893" s="762">
        <v>277.39999999999998</v>
      </c>
      <c r="V1893" s="848"/>
      <c r="W1893" s="848"/>
      <c r="X1893" s="3" t="s">
        <v>1716</v>
      </c>
      <c r="Y1893" s="890">
        <v>45376</v>
      </c>
      <c r="Z1893" s="3" t="s">
        <v>62</v>
      </c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</row>
    <row r="1894" spans="1:39" s="707" customFormat="1">
      <c r="A1894"/>
      <c r="B1894" s="951" t="s">
        <v>13</v>
      </c>
      <c r="C1894" s="952" t="s">
        <v>2226</v>
      </c>
      <c r="D1894" s="862"/>
      <c r="E1894" s="807"/>
      <c r="F1894" s="808"/>
      <c r="G1894" s="807"/>
      <c r="H1894" s="807"/>
      <c r="I1894" s="820"/>
      <c r="J1894" s="837"/>
      <c r="K1894" s="807"/>
      <c r="L1894" s="819"/>
      <c r="M1894" s="819"/>
      <c r="N1894" s="819"/>
      <c r="O1894" s="819"/>
      <c r="P1894" s="807"/>
      <c r="Q1894" s="807"/>
      <c r="R1894" s="807"/>
      <c r="S1894" s="807"/>
      <c r="T1894" s="807"/>
      <c r="U1894" s="837"/>
      <c r="V1894" s="807"/>
      <c r="W1894" s="807"/>
      <c r="X1894" s="819"/>
      <c r="Y1894" s="819"/>
      <c r="Z1894" s="819"/>
      <c r="AA1894" s="710"/>
      <c r="AB1894" s="710"/>
      <c r="AC1894" s="710"/>
      <c r="AD1894" s="710"/>
      <c r="AE1894" s="710"/>
      <c r="AF1894" s="710"/>
      <c r="AG1894" s="710"/>
      <c r="AH1894" s="710"/>
      <c r="AI1894" s="710"/>
      <c r="AJ1894" s="710"/>
      <c r="AK1894" s="710"/>
      <c r="AL1894" s="710"/>
      <c r="AM1894" s="710"/>
    </row>
    <row r="1895" spans="1:39">
      <c r="B1895" s="799" t="s">
        <v>277</v>
      </c>
      <c r="C1895" s="949" t="s">
        <v>4303</v>
      </c>
      <c r="D1895" s="6">
        <v>200105354</v>
      </c>
      <c r="E1895" s="1469" t="s">
        <v>1001</v>
      </c>
      <c r="F1895" s="749">
        <v>1</v>
      </c>
      <c r="G1895" s="3" t="s">
        <v>932</v>
      </c>
      <c r="H1895" s="3" t="s">
        <v>128</v>
      </c>
      <c r="I1895" s="762">
        <v>464.6</v>
      </c>
      <c r="J1895" s="762">
        <v>256.08</v>
      </c>
      <c r="K1895" s="3" t="s">
        <v>2185</v>
      </c>
      <c r="L1895" s="958">
        <v>45376</v>
      </c>
      <c r="M1895" s="958" t="s">
        <v>2185</v>
      </c>
      <c r="N1895" s="958">
        <v>45376</v>
      </c>
      <c r="O1895" s="761" t="s">
        <v>62</v>
      </c>
      <c r="P1895" s="3" t="s">
        <v>1002</v>
      </c>
      <c r="Q1895" s="3" t="s">
        <v>1003</v>
      </c>
      <c r="R1895" s="848"/>
      <c r="S1895" s="3" t="s">
        <v>130</v>
      </c>
      <c r="T1895" s="848"/>
      <c r="U1895" s="786">
        <v>279</v>
      </c>
      <c r="V1895" s="848"/>
      <c r="W1895" s="848"/>
      <c r="X1895" s="3" t="s">
        <v>2185</v>
      </c>
      <c r="Y1895" s="892">
        <v>45376</v>
      </c>
      <c r="Z1895" s="3" t="s">
        <v>62</v>
      </c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</row>
    <row r="1896" spans="1:39">
      <c r="B1896" s="799" t="s">
        <v>277</v>
      </c>
      <c r="C1896" s="949" t="s">
        <v>4303</v>
      </c>
      <c r="D1896" s="6">
        <v>200105355</v>
      </c>
      <c r="E1896" s="1469" t="s">
        <v>1004</v>
      </c>
      <c r="F1896" s="749">
        <f t="shared" ref="F1896:F1899" si="26">F1895+1</f>
        <v>2</v>
      </c>
      <c r="G1896" s="3" t="s">
        <v>932</v>
      </c>
      <c r="H1896" s="3" t="s">
        <v>128</v>
      </c>
      <c r="I1896" s="762">
        <v>466</v>
      </c>
      <c r="J1896" s="762">
        <v>261.54000000000002</v>
      </c>
      <c r="K1896" s="3" t="s">
        <v>2185</v>
      </c>
      <c r="L1896" s="958">
        <v>45376</v>
      </c>
      <c r="M1896" s="958" t="s">
        <v>2185</v>
      </c>
      <c r="N1896" s="958">
        <v>45376</v>
      </c>
      <c r="O1896" s="761" t="s">
        <v>62</v>
      </c>
      <c r="P1896" s="3" t="s">
        <v>1005</v>
      </c>
      <c r="Q1896" s="785" t="s">
        <v>1006</v>
      </c>
      <c r="R1896" s="848"/>
      <c r="S1896" s="3" t="s">
        <v>130</v>
      </c>
      <c r="T1896" s="848"/>
      <c r="U1896" s="786">
        <v>284.3</v>
      </c>
      <c r="V1896" s="848"/>
      <c r="W1896" s="848"/>
      <c r="X1896" s="3" t="s">
        <v>2185</v>
      </c>
      <c r="Y1896" s="892">
        <v>45376</v>
      </c>
      <c r="Z1896" s="3" t="s">
        <v>62</v>
      </c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</row>
    <row r="1897" spans="1:39">
      <c r="B1897" s="799" t="s">
        <v>277</v>
      </c>
      <c r="C1897" s="949" t="s">
        <v>4303</v>
      </c>
      <c r="D1897" s="6">
        <v>200105374</v>
      </c>
      <c r="E1897" s="1469" t="s">
        <v>1007</v>
      </c>
      <c r="F1897" s="749">
        <f t="shared" si="26"/>
        <v>3</v>
      </c>
      <c r="G1897" s="3" t="s">
        <v>932</v>
      </c>
      <c r="H1897" s="3" t="s">
        <v>128</v>
      </c>
      <c r="I1897" s="762">
        <v>462.2</v>
      </c>
      <c r="J1897" s="762">
        <v>259.07</v>
      </c>
      <c r="K1897" s="3" t="s">
        <v>2185</v>
      </c>
      <c r="L1897" s="958">
        <v>45377</v>
      </c>
      <c r="M1897" s="958" t="s">
        <v>2185</v>
      </c>
      <c r="N1897" s="958">
        <v>45376</v>
      </c>
      <c r="O1897" s="761" t="s">
        <v>62</v>
      </c>
      <c r="P1897" s="3" t="s">
        <v>1008</v>
      </c>
      <c r="Q1897" s="3" t="s">
        <v>1009</v>
      </c>
      <c r="R1897" s="848"/>
      <c r="S1897" s="3" t="s">
        <v>130</v>
      </c>
      <c r="T1897" s="848"/>
      <c r="U1897" s="762">
        <v>281</v>
      </c>
      <c r="V1897" s="848"/>
      <c r="W1897" s="848"/>
      <c r="X1897" s="3" t="s">
        <v>2185</v>
      </c>
      <c r="Y1897" s="892">
        <v>45377</v>
      </c>
      <c r="Z1897" s="3" t="s">
        <v>62</v>
      </c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</row>
    <row r="1898" spans="1:39">
      <c r="B1898" s="799" t="s">
        <v>277</v>
      </c>
      <c r="C1898" s="949" t="s">
        <v>4303</v>
      </c>
      <c r="D1898" s="6">
        <v>200105375</v>
      </c>
      <c r="E1898" s="1469" t="s">
        <v>1010</v>
      </c>
      <c r="F1898" s="749">
        <f t="shared" si="26"/>
        <v>4</v>
      </c>
      <c r="G1898" s="3" t="s">
        <v>932</v>
      </c>
      <c r="H1898" s="3" t="s">
        <v>128</v>
      </c>
      <c r="I1898" s="762">
        <v>464.2</v>
      </c>
      <c r="J1898" s="762">
        <v>251.2</v>
      </c>
      <c r="K1898" s="3" t="s">
        <v>2185</v>
      </c>
      <c r="L1898" s="958">
        <v>45377</v>
      </c>
      <c r="M1898" s="958" t="s">
        <v>2185</v>
      </c>
      <c r="N1898" s="958">
        <v>45377</v>
      </c>
      <c r="O1898" s="761" t="s">
        <v>62</v>
      </c>
      <c r="P1898" s="3" t="s">
        <v>1011</v>
      </c>
      <c r="Q1898" s="3" t="s">
        <v>1012</v>
      </c>
      <c r="R1898" s="848"/>
      <c r="S1898" s="3" t="s">
        <v>130</v>
      </c>
      <c r="T1898" s="848"/>
      <c r="U1898" s="762">
        <v>274</v>
      </c>
      <c r="V1898" s="848"/>
      <c r="W1898" s="848"/>
      <c r="X1898" s="3" t="s">
        <v>2185</v>
      </c>
      <c r="Y1898" s="892">
        <v>45377</v>
      </c>
      <c r="Z1898" s="3" t="s">
        <v>62</v>
      </c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</row>
    <row r="1899" spans="1:39">
      <c r="B1899" s="799" t="s">
        <v>277</v>
      </c>
      <c r="C1899" s="949" t="s">
        <v>4303</v>
      </c>
      <c r="D1899" s="6">
        <v>200105376</v>
      </c>
      <c r="E1899" s="1469" t="s">
        <v>1013</v>
      </c>
      <c r="F1899" s="749">
        <f t="shared" si="26"/>
        <v>5</v>
      </c>
      <c r="G1899" s="3" t="s">
        <v>932</v>
      </c>
      <c r="H1899" s="3" t="s">
        <v>128</v>
      </c>
      <c r="I1899" s="786">
        <v>466.4</v>
      </c>
      <c r="J1899" s="786">
        <v>258.05</v>
      </c>
      <c r="K1899" s="3" t="s">
        <v>2185</v>
      </c>
      <c r="L1899" s="958">
        <v>45378</v>
      </c>
      <c r="M1899" s="958" t="s">
        <v>2185</v>
      </c>
      <c r="N1899" s="958">
        <v>45377</v>
      </c>
      <c r="O1899" s="761" t="s">
        <v>62</v>
      </c>
      <c r="P1899" s="785" t="s">
        <v>1014</v>
      </c>
      <c r="Q1899" s="785" t="s">
        <v>1015</v>
      </c>
      <c r="R1899" s="848"/>
      <c r="S1899" s="3" t="s">
        <v>130</v>
      </c>
      <c r="T1899" s="848"/>
      <c r="U1899" s="762">
        <v>280.8</v>
      </c>
      <c r="V1899" s="848"/>
      <c r="W1899" s="848"/>
      <c r="X1899" s="3" t="s">
        <v>2185</v>
      </c>
      <c r="Y1899" s="892">
        <v>45377</v>
      </c>
      <c r="Z1899" s="3" t="s">
        <v>62</v>
      </c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</row>
    <row r="1900" spans="1:39">
      <c r="B1900" s="799" t="s">
        <v>277</v>
      </c>
      <c r="C1900" s="949" t="s">
        <v>4303</v>
      </c>
      <c r="D1900" s="6">
        <v>200105422</v>
      </c>
      <c r="E1900" s="1469" t="s">
        <v>1016</v>
      </c>
      <c r="F1900" s="749">
        <f t="shared" ref="F1900:F1905" si="27">F1899+1</f>
        <v>6</v>
      </c>
      <c r="G1900" s="3" t="s">
        <v>932</v>
      </c>
      <c r="H1900" s="3" t="s">
        <v>128</v>
      </c>
      <c r="I1900" s="762">
        <v>467</v>
      </c>
      <c r="J1900" s="762">
        <v>253.78</v>
      </c>
      <c r="K1900" s="3" t="s">
        <v>2185</v>
      </c>
      <c r="L1900" s="958">
        <v>45378</v>
      </c>
      <c r="M1900" s="958" t="s">
        <v>2185</v>
      </c>
      <c r="N1900" s="958">
        <v>45378</v>
      </c>
      <c r="O1900" s="761" t="s">
        <v>62</v>
      </c>
      <c r="P1900" s="785" t="s">
        <v>1017</v>
      </c>
      <c r="Q1900" s="3" t="s">
        <v>1018</v>
      </c>
      <c r="R1900" s="848"/>
      <c r="S1900" s="3" t="s">
        <v>130</v>
      </c>
      <c r="T1900" s="848"/>
      <c r="U1900" s="762">
        <v>276.10000000000002</v>
      </c>
      <c r="V1900" s="848"/>
      <c r="W1900" s="848"/>
      <c r="X1900" s="3" t="s">
        <v>2185</v>
      </c>
      <c r="Y1900" s="892">
        <v>45378</v>
      </c>
      <c r="Z1900" s="3" t="s">
        <v>62</v>
      </c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</row>
    <row r="1901" spans="1:39">
      <c r="B1901" s="799" t="s">
        <v>277</v>
      </c>
      <c r="C1901" s="949" t="s">
        <v>4303</v>
      </c>
      <c r="D1901" s="6">
        <v>200105444</v>
      </c>
      <c r="E1901" s="1469" t="s">
        <v>1019</v>
      </c>
      <c r="F1901" s="749">
        <f t="shared" si="27"/>
        <v>7</v>
      </c>
      <c r="G1901" s="3" t="s">
        <v>932</v>
      </c>
      <c r="H1901" s="3" t="s">
        <v>128</v>
      </c>
      <c r="I1901" s="786">
        <v>467.5</v>
      </c>
      <c r="J1901" s="762">
        <v>258.33999999999997</v>
      </c>
      <c r="K1901" s="3" t="s">
        <v>2185</v>
      </c>
      <c r="L1901" s="958">
        <v>45378</v>
      </c>
      <c r="M1901" s="958" t="s">
        <v>2185</v>
      </c>
      <c r="N1901" s="958">
        <v>45378</v>
      </c>
      <c r="O1901" s="761" t="s">
        <v>62</v>
      </c>
      <c r="P1901" s="3" t="s">
        <v>1020</v>
      </c>
      <c r="Q1901" s="3" t="s">
        <v>1021</v>
      </c>
      <c r="R1901" s="848"/>
      <c r="S1901" s="3" t="s">
        <v>130</v>
      </c>
      <c r="T1901" s="848"/>
      <c r="U1901" s="762">
        <v>281</v>
      </c>
      <c r="V1901" s="848"/>
      <c r="W1901" s="848"/>
      <c r="X1901" s="3" t="s">
        <v>2185</v>
      </c>
      <c r="Y1901" s="892">
        <v>45379</v>
      </c>
      <c r="Z1901" s="3" t="s">
        <v>62</v>
      </c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</row>
    <row r="1902" spans="1:39">
      <c r="B1902" s="799" t="s">
        <v>277</v>
      </c>
      <c r="C1902" s="949" t="s">
        <v>4303</v>
      </c>
      <c r="D1902" s="6">
        <v>200105445</v>
      </c>
      <c r="E1902" s="1469" t="s">
        <v>1022</v>
      </c>
      <c r="F1902" s="749">
        <f t="shared" si="27"/>
        <v>8</v>
      </c>
      <c r="G1902" s="3" t="s">
        <v>932</v>
      </c>
      <c r="H1902" s="3" t="s">
        <v>128</v>
      </c>
      <c r="I1902" s="762">
        <v>464.18</v>
      </c>
      <c r="J1902" s="786">
        <v>256.10000000000002</v>
      </c>
      <c r="K1902" s="3" t="s">
        <v>2185</v>
      </c>
      <c r="L1902" s="958">
        <v>45379</v>
      </c>
      <c r="M1902" s="958" t="s">
        <v>2272</v>
      </c>
      <c r="N1902" s="958">
        <v>45383</v>
      </c>
      <c r="O1902" s="761" t="s">
        <v>62</v>
      </c>
      <c r="P1902" s="785" t="s">
        <v>1023</v>
      </c>
      <c r="Q1902" s="3" t="s">
        <v>1024</v>
      </c>
      <c r="R1902" s="848"/>
      <c r="S1902" s="3" t="s">
        <v>130</v>
      </c>
      <c r="T1902" s="848"/>
      <c r="U1902" s="786">
        <v>278.8</v>
      </c>
      <c r="V1902" s="848"/>
      <c r="W1902" s="848"/>
      <c r="X1902" s="3" t="s">
        <v>2272</v>
      </c>
      <c r="Y1902" s="892">
        <v>45383</v>
      </c>
      <c r="Z1902" s="3" t="s">
        <v>62</v>
      </c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</row>
    <row r="1903" spans="1:39">
      <c r="B1903" s="799" t="s">
        <v>277</v>
      </c>
      <c r="C1903" s="949" t="s">
        <v>4303</v>
      </c>
      <c r="D1903" s="6">
        <v>200105446</v>
      </c>
      <c r="E1903" s="1469" t="s">
        <v>1025</v>
      </c>
      <c r="F1903" s="749">
        <f t="shared" si="27"/>
        <v>9</v>
      </c>
      <c r="G1903" s="3" t="s">
        <v>932</v>
      </c>
      <c r="H1903" s="3" t="s">
        <v>128</v>
      </c>
      <c r="I1903" s="762">
        <v>469.08</v>
      </c>
      <c r="J1903" s="786">
        <v>253.24</v>
      </c>
      <c r="K1903" s="3" t="s">
        <v>2185</v>
      </c>
      <c r="L1903" s="958">
        <v>45379</v>
      </c>
      <c r="M1903" s="958" t="s">
        <v>2272</v>
      </c>
      <c r="N1903" s="958">
        <v>45383</v>
      </c>
      <c r="O1903" s="761" t="s">
        <v>62</v>
      </c>
      <c r="P1903" s="3" t="s">
        <v>1026</v>
      </c>
      <c r="Q1903" s="3" t="s">
        <v>1027</v>
      </c>
      <c r="R1903" s="848"/>
      <c r="S1903" s="3" t="s">
        <v>130</v>
      </c>
      <c r="T1903" s="848"/>
      <c r="U1903" s="786">
        <v>280.7</v>
      </c>
      <c r="V1903" s="848"/>
      <c r="W1903" s="848"/>
      <c r="X1903" s="3" t="s">
        <v>2272</v>
      </c>
      <c r="Y1903" s="892">
        <v>45383</v>
      </c>
      <c r="Z1903" s="3" t="s">
        <v>62</v>
      </c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</row>
    <row r="1904" spans="1:39">
      <c r="B1904" s="799" t="s">
        <v>277</v>
      </c>
      <c r="C1904" s="949" t="s">
        <v>4303</v>
      </c>
      <c r="D1904" s="6">
        <v>200105447</v>
      </c>
      <c r="E1904" s="1469" t="s">
        <v>1028</v>
      </c>
      <c r="F1904" s="749">
        <f t="shared" si="27"/>
        <v>10</v>
      </c>
      <c r="G1904" s="3" t="s">
        <v>932</v>
      </c>
      <c r="H1904" s="3" t="s">
        <v>128</v>
      </c>
      <c r="I1904" s="786">
        <v>464.8</v>
      </c>
      <c r="J1904" s="786">
        <v>257.93</v>
      </c>
      <c r="K1904" s="3" t="s">
        <v>2272</v>
      </c>
      <c r="L1904" s="958">
        <v>45384</v>
      </c>
      <c r="M1904" s="958" t="s">
        <v>2272</v>
      </c>
      <c r="N1904" s="958">
        <v>45383</v>
      </c>
      <c r="O1904" s="761" t="s">
        <v>62</v>
      </c>
      <c r="P1904" s="3" t="s">
        <v>1029</v>
      </c>
      <c r="Q1904" s="3" t="s">
        <v>1030</v>
      </c>
      <c r="R1904" s="848"/>
      <c r="S1904" s="3" t="s">
        <v>130</v>
      </c>
      <c r="T1904" s="848"/>
      <c r="U1904" s="786">
        <v>276</v>
      </c>
      <c r="V1904" s="848"/>
      <c r="W1904" s="848"/>
      <c r="X1904" s="3" t="s">
        <v>2272</v>
      </c>
      <c r="Y1904" s="892">
        <v>45383</v>
      </c>
      <c r="Z1904" s="3" t="s">
        <v>62</v>
      </c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</row>
    <row r="1905" spans="1:39">
      <c r="B1905" s="799" t="s">
        <v>277</v>
      </c>
      <c r="C1905" s="949" t="s">
        <v>4303</v>
      </c>
      <c r="D1905" s="6">
        <v>200105448</v>
      </c>
      <c r="E1905" s="1469" t="s">
        <v>1031</v>
      </c>
      <c r="F1905" s="749">
        <f t="shared" si="27"/>
        <v>11</v>
      </c>
      <c r="G1905" s="3" t="s">
        <v>932</v>
      </c>
      <c r="H1905" s="3" t="s">
        <v>128</v>
      </c>
      <c r="I1905" s="786">
        <v>468.6</v>
      </c>
      <c r="J1905" s="786">
        <v>254.72</v>
      </c>
      <c r="K1905" s="3" t="s">
        <v>2272</v>
      </c>
      <c r="L1905" s="958">
        <v>45384</v>
      </c>
      <c r="M1905" s="958" t="s">
        <v>2272</v>
      </c>
      <c r="N1905" s="958">
        <v>45383</v>
      </c>
      <c r="O1905" s="761" t="s">
        <v>62</v>
      </c>
      <c r="P1905" s="3" t="s">
        <v>1032</v>
      </c>
      <c r="Q1905" s="3" t="s">
        <v>1033</v>
      </c>
      <c r="R1905" s="848"/>
      <c r="S1905" s="3" t="s">
        <v>130</v>
      </c>
      <c r="T1905" s="848"/>
      <c r="U1905" s="786">
        <v>277.8</v>
      </c>
      <c r="V1905" s="848"/>
      <c r="W1905" s="848"/>
      <c r="X1905" s="3" t="s">
        <v>2272</v>
      </c>
      <c r="Y1905" s="892">
        <v>45384</v>
      </c>
      <c r="Z1905" s="3" t="s">
        <v>62</v>
      </c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</row>
    <row r="1906" spans="1:39" s="707" customFormat="1">
      <c r="A1906"/>
      <c r="B1906" s="951" t="s">
        <v>13</v>
      </c>
      <c r="C1906" s="952" t="s">
        <v>1758</v>
      </c>
      <c r="D1906" s="862"/>
      <c r="E1906" s="807"/>
      <c r="F1906" s="808"/>
      <c r="G1906" s="807"/>
      <c r="H1906" s="807"/>
      <c r="I1906" s="820"/>
      <c r="J1906" s="837"/>
      <c r="K1906" s="807"/>
      <c r="L1906" s="819"/>
      <c r="M1906" s="819"/>
      <c r="N1906" s="819"/>
      <c r="O1906" s="819"/>
      <c r="P1906" s="807"/>
      <c r="Q1906" s="807"/>
      <c r="R1906" s="807"/>
      <c r="S1906" s="807"/>
      <c r="T1906" s="807"/>
      <c r="U1906" s="837"/>
      <c r="V1906" s="807"/>
      <c r="W1906" s="807"/>
      <c r="X1906" s="819"/>
      <c r="Y1906" s="819"/>
      <c r="Z1906" s="819"/>
      <c r="AA1906" s="710"/>
      <c r="AB1906" s="710"/>
      <c r="AC1906" s="710"/>
      <c r="AD1906" s="710"/>
      <c r="AE1906" s="710"/>
      <c r="AF1906" s="710"/>
      <c r="AG1906" s="710"/>
      <c r="AH1906" s="710"/>
      <c r="AI1906" s="710"/>
      <c r="AJ1906" s="710"/>
      <c r="AK1906" s="710"/>
      <c r="AL1906" s="710"/>
      <c r="AM1906" s="710"/>
    </row>
    <row r="1907" spans="1:39">
      <c r="B1907" s="799" t="s">
        <v>57</v>
      </c>
      <c r="C1907" s="949" t="s">
        <v>4303</v>
      </c>
      <c r="D1907" s="6">
        <v>200105670</v>
      </c>
      <c r="E1907" s="1469" t="s">
        <v>1034</v>
      </c>
      <c r="F1907" s="749">
        <v>1</v>
      </c>
      <c r="G1907" s="3" t="s">
        <v>60</v>
      </c>
      <c r="H1907" s="3" t="s">
        <v>60</v>
      </c>
      <c r="I1907" s="786">
        <v>465.9</v>
      </c>
      <c r="J1907" s="786">
        <v>253.93</v>
      </c>
      <c r="K1907" s="3" t="s">
        <v>2272</v>
      </c>
      <c r="L1907" s="892">
        <v>45406</v>
      </c>
      <c r="M1907" s="892" t="s">
        <v>2272</v>
      </c>
      <c r="N1907" s="892">
        <v>45406</v>
      </c>
      <c r="O1907" s="761" t="s">
        <v>62</v>
      </c>
      <c r="P1907" s="784" t="s">
        <v>1035</v>
      </c>
      <c r="Q1907" s="784" t="s">
        <v>1036</v>
      </c>
      <c r="R1907" s="848"/>
      <c r="S1907" s="3" t="s">
        <v>130</v>
      </c>
      <c r="T1907" s="848"/>
      <c r="U1907" s="786">
        <v>276.5</v>
      </c>
      <c r="V1907" s="848"/>
      <c r="W1907" s="848"/>
      <c r="X1907" s="3" t="s">
        <v>2272</v>
      </c>
      <c r="Y1907" s="892">
        <v>45406</v>
      </c>
      <c r="Z1907" s="3" t="s">
        <v>62</v>
      </c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</row>
    <row r="1908" spans="1:39">
      <c r="B1908" s="799" t="s">
        <v>57</v>
      </c>
      <c r="C1908" s="949" t="s">
        <v>4303</v>
      </c>
      <c r="D1908" s="6">
        <v>200105671</v>
      </c>
      <c r="E1908" s="1469" t="s">
        <v>1037</v>
      </c>
      <c r="F1908" s="749">
        <v>2</v>
      </c>
      <c r="G1908" s="3" t="s">
        <v>60</v>
      </c>
      <c r="H1908" s="3" t="s">
        <v>60</v>
      </c>
      <c r="I1908" s="786">
        <f>79.9+75.4+79.7+75.6+78.6+77.6</f>
        <v>466.80000000000007</v>
      </c>
      <c r="J1908" s="786">
        <f>121.65+133.91</f>
        <v>255.56</v>
      </c>
      <c r="K1908" s="3" t="s">
        <v>2272</v>
      </c>
      <c r="L1908" s="892">
        <v>45407</v>
      </c>
      <c r="M1908" s="892" t="s">
        <v>2272</v>
      </c>
      <c r="N1908" s="892">
        <v>45406</v>
      </c>
      <c r="O1908" s="761" t="s">
        <v>62</v>
      </c>
      <c r="P1908" s="3" t="s">
        <v>1038</v>
      </c>
      <c r="Q1908" s="784" t="s">
        <v>1039</v>
      </c>
      <c r="R1908" s="848"/>
      <c r="S1908" s="3" t="s">
        <v>130</v>
      </c>
      <c r="T1908" s="848"/>
      <c r="U1908" s="786">
        <v>278.5</v>
      </c>
      <c r="V1908" s="848"/>
      <c r="W1908" s="848"/>
      <c r="X1908" s="3" t="s">
        <v>2272</v>
      </c>
      <c r="Y1908" s="892">
        <v>45406</v>
      </c>
      <c r="Z1908" s="3" t="s">
        <v>62</v>
      </c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</row>
    <row r="1909" spans="1:39">
      <c r="B1909" s="799" t="s">
        <v>57</v>
      </c>
      <c r="C1909" s="949" t="s">
        <v>4303</v>
      </c>
      <c r="D1909" s="6">
        <v>200105697</v>
      </c>
      <c r="E1909" s="1469" t="s">
        <v>1040</v>
      </c>
      <c r="F1909" s="749">
        <v>3</v>
      </c>
      <c r="G1909" s="3" t="s">
        <v>60</v>
      </c>
      <c r="H1909" s="3" t="s">
        <v>1041</v>
      </c>
      <c r="I1909" s="786">
        <v>464.2</v>
      </c>
      <c r="J1909" s="786">
        <f>124.76+129</f>
        <v>253.76</v>
      </c>
      <c r="K1909" s="3" t="s">
        <v>2327</v>
      </c>
      <c r="L1909" s="892">
        <v>45414</v>
      </c>
      <c r="M1909" s="892" t="s">
        <v>2327</v>
      </c>
      <c r="N1909" s="892">
        <v>45414</v>
      </c>
      <c r="O1909" s="761" t="s">
        <v>62</v>
      </c>
      <c r="P1909" s="3" t="s">
        <v>1042</v>
      </c>
      <c r="Q1909" s="3" t="s">
        <v>1043</v>
      </c>
      <c r="R1909" s="848"/>
      <c r="S1909" s="3" t="s">
        <v>130</v>
      </c>
      <c r="T1909" s="848"/>
      <c r="U1909" s="786">
        <v>276.7</v>
      </c>
      <c r="V1909" s="848"/>
      <c r="W1909" s="848"/>
      <c r="X1909" s="3" t="s">
        <v>2327</v>
      </c>
      <c r="Y1909" s="892">
        <v>45414</v>
      </c>
      <c r="Z1909" s="3" t="s">
        <v>62</v>
      </c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</row>
    <row r="1910" spans="1:39">
      <c r="B1910" s="799" t="s">
        <v>57</v>
      </c>
      <c r="C1910" s="949" t="s">
        <v>4303</v>
      </c>
      <c r="D1910" s="6">
        <v>200105698</v>
      </c>
      <c r="E1910" s="1469" t="s">
        <v>1044</v>
      </c>
      <c r="F1910" s="749">
        <v>4</v>
      </c>
      <c r="G1910" s="3" t="s">
        <v>60</v>
      </c>
      <c r="H1910" s="3" t="s">
        <v>1041</v>
      </c>
      <c r="I1910" s="786">
        <v>467.8</v>
      </c>
      <c r="J1910" s="786">
        <v>260.17</v>
      </c>
      <c r="K1910" s="3" t="s">
        <v>2327</v>
      </c>
      <c r="L1910" s="892">
        <v>45414</v>
      </c>
      <c r="M1910" s="892" t="s">
        <v>2327</v>
      </c>
      <c r="N1910" s="892">
        <v>45414</v>
      </c>
      <c r="O1910" s="761" t="s">
        <v>62</v>
      </c>
      <c r="P1910" s="3" t="s">
        <v>1045</v>
      </c>
      <c r="Q1910" s="3" t="s">
        <v>1046</v>
      </c>
      <c r="R1910" s="848"/>
      <c r="S1910" s="3" t="s">
        <v>130</v>
      </c>
      <c r="T1910" s="848"/>
      <c r="U1910" s="786">
        <v>283</v>
      </c>
      <c r="V1910" s="848"/>
      <c r="W1910" s="848"/>
      <c r="X1910" s="3" t="s">
        <v>2327</v>
      </c>
      <c r="Y1910" s="892">
        <v>45414</v>
      </c>
      <c r="Z1910" s="3" t="s">
        <v>62</v>
      </c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</row>
    <row r="1911" spans="1:39">
      <c r="B1911" s="799" t="s">
        <v>57</v>
      </c>
      <c r="C1911" s="949" t="s">
        <v>4303</v>
      </c>
      <c r="D1911" s="6">
        <v>200105699</v>
      </c>
      <c r="E1911" s="1469" t="s">
        <v>1047</v>
      </c>
      <c r="F1911" s="749">
        <v>5</v>
      </c>
      <c r="G1911" s="3" t="s">
        <v>60</v>
      </c>
      <c r="H1911" s="3" t="s">
        <v>1041</v>
      </c>
      <c r="I1911" s="786">
        <f>151.6+146.5+165.6</f>
        <v>463.70000000000005</v>
      </c>
      <c r="J1911" s="786">
        <f>125.95+128.4</f>
        <v>254.35000000000002</v>
      </c>
      <c r="K1911" s="3" t="s">
        <v>2327</v>
      </c>
      <c r="L1911" s="892">
        <v>45415</v>
      </c>
      <c r="M1911" s="892" t="s">
        <v>2327</v>
      </c>
      <c r="N1911" s="892">
        <v>45415</v>
      </c>
      <c r="O1911" s="761" t="s">
        <v>62</v>
      </c>
      <c r="P1911" s="3" t="s">
        <v>1048</v>
      </c>
      <c r="Q1911" s="3" t="s">
        <v>1049</v>
      </c>
      <c r="R1911" s="848"/>
      <c r="S1911" s="3" t="s">
        <v>130</v>
      </c>
      <c r="T1911" s="848"/>
      <c r="U1911" s="786">
        <v>277.2</v>
      </c>
      <c r="V1911" s="848"/>
      <c r="W1911" s="848"/>
      <c r="X1911" s="3" t="s">
        <v>2327</v>
      </c>
      <c r="Y1911" s="892">
        <v>45418</v>
      </c>
      <c r="Z1911" s="3" t="s">
        <v>62</v>
      </c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</row>
    <row r="1912" spans="1:39">
      <c r="B1912" s="799" t="s">
        <v>57</v>
      </c>
      <c r="C1912" s="949" t="s">
        <v>4303</v>
      </c>
      <c r="D1912" s="6">
        <v>200105701</v>
      </c>
      <c r="E1912" s="1469" t="s">
        <v>1051</v>
      </c>
      <c r="F1912" s="749">
        <v>6</v>
      </c>
      <c r="G1912" s="3" t="s">
        <v>60</v>
      </c>
      <c r="H1912" s="3" t="s">
        <v>1041</v>
      </c>
      <c r="I1912" s="786">
        <v>466.3</v>
      </c>
      <c r="J1912" s="785">
        <v>256.23</v>
      </c>
      <c r="K1912" s="3" t="s">
        <v>2327</v>
      </c>
      <c r="L1912" s="892">
        <v>45419</v>
      </c>
      <c r="M1912" s="892" t="s">
        <v>2327</v>
      </c>
      <c r="N1912" s="892">
        <v>45418</v>
      </c>
      <c r="O1912" s="761" t="s">
        <v>62</v>
      </c>
      <c r="P1912" s="3" t="s">
        <v>1052</v>
      </c>
      <c r="Q1912" s="3" t="s">
        <v>1053</v>
      </c>
      <c r="R1912" s="848"/>
      <c r="S1912" s="3" t="s">
        <v>130</v>
      </c>
      <c r="T1912" s="848"/>
      <c r="U1912" s="786">
        <v>277.2</v>
      </c>
      <c r="V1912" s="848"/>
      <c r="W1912" s="848"/>
      <c r="X1912" s="3" t="s">
        <v>2327</v>
      </c>
      <c r="Y1912" s="892">
        <v>45419</v>
      </c>
      <c r="Z1912" s="3" t="s">
        <v>62</v>
      </c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</row>
    <row r="1913" spans="1:39">
      <c r="B1913" s="799" t="s">
        <v>57</v>
      </c>
      <c r="C1913" s="949" t="s">
        <v>4303</v>
      </c>
      <c r="D1913" s="6">
        <v>200105871</v>
      </c>
      <c r="E1913" s="1469" t="s">
        <v>1054</v>
      </c>
      <c r="F1913" s="749">
        <v>7</v>
      </c>
      <c r="G1913" s="3" t="s">
        <v>60</v>
      </c>
      <c r="H1913" s="3" t="s">
        <v>1041</v>
      </c>
      <c r="I1913" s="785">
        <f>149.6+158.9+155.4</f>
        <v>463.9</v>
      </c>
      <c r="J1913" s="786">
        <v>254.64</v>
      </c>
      <c r="K1913" s="3" t="s">
        <v>2327</v>
      </c>
      <c r="L1913" s="892">
        <v>45422</v>
      </c>
      <c r="M1913" s="892" t="s">
        <v>2327</v>
      </c>
      <c r="N1913" s="892">
        <v>45422</v>
      </c>
      <c r="O1913" s="761" t="s">
        <v>62</v>
      </c>
      <c r="P1913" s="3" t="s">
        <v>1055</v>
      </c>
      <c r="Q1913" s="3" t="s">
        <v>1056</v>
      </c>
      <c r="R1913" s="848"/>
      <c r="S1913" s="3" t="s">
        <v>130</v>
      </c>
      <c r="T1913" s="848"/>
      <c r="U1913" s="786">
        <v>277.60000000000002</v>
      </c>
      <c r="V1913" s="848"/>
      <c r="W1913" s="848"/>
      <c r="X1913" s="3" t="s">
        <v>2327</v>
      </c>
      <c r="Y1913" s="892">
        <v>45422</v>
      </c>
      <c r="Z1913" s="3" t="s">
        <v>62</v>
      </c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</row>
    <row r="1914" spans="1:39">
      <c r="B1914" s="799" t="s">
        <v>57</v>
      </c>
      <c r="C1914" s="949" t="s">
        <v>4303</v>
      </c>
      <c r="D1914" s="6">
        <v>200105872</v>
      </c>
      <c r="E1914" s="1469" t="s">
        <v>1057</v>
      </c>
      <c r="F1914" s="749">
        <v>8</v>
      </c>
      <c r="G1914" s="3" t="s">
        <v>60</v>
      </c>
      <c r="H1914" s="3" t="s">
        <v>1041</v>
      </c>
      <c r="I1914" s="786">
        <v>467</v>
      </c>
      <c r="J1914" s="786">
        <v>252.84</v>
      </c>
      <c r="K1914" s="3" t="s">
        <v>2327</v>
      </c>
      <c r="L1914" s="892">
        <v>45425</v>
      </c>
      <c r="M1914" s="892" t="s">
        <v>2327</v>
      </c>
      <c r="N1914" s="892">
        <v>45422</v>
      </c>
      <c r="O1914" s="761" t="s">
        <v>62</v>
      </c>
      <c r="P1914" s="3" t="s">
        <v>1058</v>
      </c>
      <c r="Q1914" s="3" t="s">
        <v>1059</v>
      </c>
      <c r="R1914" s="848"/>
      <c r="S1914" s="3" t="s">
        <v>130</v>
      </c>
      <c r="T1914" s="848"/>
      <c r="U1914" s="786">
        <v>276</v>
      </c>
      <c r="V1914" s="848"/>
      <c r="W1914" s="848"/>
      <c r="X1914" s="3" t="s">
        <v>2327</v>
      </c>
      <c r="Y1914" s="892">
        <v>45422</v>
      </c>
      <c r="Z1914" s="3" t="s">
        <v>62</v>
      </c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</row>
    <row r="1915" spans="1:39">
      <c r="B1915" s="799" t="s">
        <v>57</v>
      </c>
      <c r="C1915" s="949" t="s">
        <v>4303</v>
      </c>
      <c r="D1915" s="6">
        <v>200105873</v>
      </c>
      <c r="E1915" s="1469" t="s">
        <v>1060</v>
      </c>
      <c r="F1915" s="749">
        <v>9</v>
      </c>
      <c r="G1915" s="3" t="s">
        <v>60</v>
      </c>
      <c r="H1915" s="3" t="s">
        <v>1041</v>
      </c>
      <c r="I1915" s="786">
        <v>468.4</v>
      </c>
      <c r="J1915" s="786">
        <v>252.24</v>
      </c>
      <c r="K1915" s="3" t="s">
        <v>2327</v>
      </c>
      <c r="L1915" s="892">
        <v>45425</v>
      </c>
      <c r="M1915" s="892" t="s">
        <v>2327</v>
      </c>
      <c r="N1915" s="892">
        <v>45425</v>
      </c>
      <c r="O1915" s="761" t="s">
        <v>62</v>
      </c>
      <c r="P1915" s="3" t="s">
        <v>1061</v>
      </c>
      <c r="Q1915" s="3" t="s">
        <v>1062</v>
      </c>
      <c r="R1915" s="848"/>
      <c r="S1915" s="3" t="s">
        <v>130</v>
      </c>
      <c r="T1915" s="848"/>
      <c r="U1915" s="786">
        <v>275</v>
      </c>
      <c r="V1915" s="848"/>
      <c r="W1915" s="848"/>
      <c r="X1915" s="3" t="s">
        <v>2327</v>
      </c>
      <c r="Y1915" s="892">
        <v>45425</v>
      </c>
      <c r="Z1915" s="3" t="s">
        <v>62</v>
      </c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</row>
    <row r="1916" spans="1:39">
      <c r="B1916" s="799" t="s">
        <v>57</v>
      </c>
      <c r="C1916" s="949" t="s">
        <v>4303</v>
      </c>
      <c r="D1916" s="6">
        <v>200106026</v>
      </c>
      <c r="E1916" s="1469" t="s">
        <v>1063</v>
      </c>
      <c r="F1916" s="749">
        <v>10</v>
      </c>
      <c r="G1916" s="3" t="s">
        <v>60</v>
      </c>
      <c r="H1916" s="3" t="s">
        <v>1041</v>
      </c>
      <c r="I1916" s="786">
        <v>462.7</v>
      </c>
      <c r="J1916" s="786">
        <v>255.83</v>
      </c>
      <c r="K1916" s="3" t="s">
        <v>2327</v>
      </c>
      <c r="L1916" s="892">
        <v>45425</v>
      </c>
      <c r="M1916" s="892" t="s">
        <v>2327</v>
      </c>
      <c r="N1916" s="892">
        <v>45425</v>
      </c>
      <c r="O1916" s="761" t="s">
        <v>62</v>
      </c>
      <c r="P1916" s="3" t="s">
        <v>1064</v>
      </c>
      <c r="Q1916" s="3" t="s">
        <v>1065</v>
      </c>
      <c r="R1916" s="848"/>
      <c r="S1916" s="3" t="s">
        <v>130</v>
      </c>
      <c r="T1916" s="848"/>
      <c r="U1916" s="786">
        <v>278.89999999999998</v>
      </c>
      <c r="V1916" s="848"/>
      <c r="W1916" s="848"/>
      <c r="X1916" s="3" t="s">
        <v>2327</v>
      </c>
      <c r="Y1916" s="892">
        <v>45425</v>
      </c>
      <c r="Z1916" s="3" t="s">
        <v>62</v>
      </c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</row>
    <row r="1917" spans="1:39">
      <c r="B1917" s="799" t="s">
        <v>57</v>
      </c>
      <c r="C1917" s="949" t="s">
        <v>4303</v>
      </c>
      <c r="D1917" s="6">
        <v>200106027</v>
      </c>
      <c r="E1917" s="1469" t="s">
        <v>1066</v>
      </c>
      <c r="F1917" s="749">
        <v>11</v>
      </c>
      <c r="G1917" s="3" t="s">
        <v>60</v>
      </c>
      <c r="H1917" s="3" t="s">
        <v>1041</v>
      </c>
      <c r="I1917" s="786">
        <v>470.6</v>
      </c>
      <c r="J1917" s="786">
        <v>257.39999999999998</v>
      </c>
      <c r="K1917" s="3" t="s">
        <v>2327</v>
      </c>
      <c r="L1917" s="892">
        <v>45425</v>
      </c>
      <c r="M1917" s="892" t="s">
        <v>2327</v>
      </c>
      <c r="N1917" s="892">
        <v>45425</v>
      </c>
      <c r="O1917" s="761" t="s">
        <v>62</v>
      </c>
      <c r="P1917" s="3" t="s">
        <v>1067</v>
      </c>
      <c r="Q1917" s="3" t="s">
        <v>1068</v>
      </c>
      <c r="R1917" s="848"/>
      <c r="S1917" s="3" t="s">
        <v>130</v>
      </c>
      <c r="T1917" s="848"/>
      <c r="U1917" s="786">
        <v>280.3</v>
      </c>
      <c r="V1917" s="848"/>
      <c r="W1917" s="848"/>
      <c r="X1917" s="3" t="s">
        <v>2327</v>
      </c>
      <c r="Y1917" s="892">
        <v>45426</v>
      </c>
      <c r="Z1917" s="3" t="s">
        <v>62</v>
      </c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</row>
    <row r="1918" spans="1:39">
      <c r="B1918" s="799" t="s">
        <v>57</v>
      </c>
      <c r="C1918" s="949" t="s">
        <v>4303</v>
      </c>
      <c r="D1918" s="6">
        <v>200106028</v>
      </c>
      <c r="E1918" s="1469" t="s">
        <v>1069</v>
      </c>
      <c r="F1918" s="749">
        <v>12</v>
      </c>
      <c r="G1918" s="3" t="s">
        <v>60</v>
      </c>
      <c r="H1918" s="3" t="s">
        <v>1041</v>
      </c>
      <c r="I1918" s="786">
        <v>463</v>
      </c>
      <c r="J1918" s="786">
        <v>250.88</v>
      </c>
      <c r="K1918" s="3" t="s">
        <v>2327</v>
      </c>
      <c r="L1918" s="892">
        <v>45426</v>
      </c>
      <c r="M1918" s="892" t="s">
        <v>2327</v>
      </c>
      <c r="N1918" s="892">
        <v>45426</v>
      </c>
      <c r="O1918" s="761" t="s">
        <v>62</v>
      </c>
      <c r="P1918" s="3" t="s">
        <v>1070</v>
      </c>
      <c r="Q1918" s="3" t="s">
        <v>1071</v>
      </c>
      <c r="R1918" s="848"/>
      <c r="S1918" s="786" t="s">
        <v>130</v>
      </c>
      <c r="T1918" s="848"/>
      <c r="U1918" s="786">
        <v>273.7</v>
      </c>
      <c r="V1918" s="848"/>
      <c r="W1918" s="848"/>
      <c r="X1918" s="3" t="s">
        <v>2327</v>
      </c>
      <c r="Y1918" s="892">
        <v>45426</v>
      </c>
      <c r="Z1918" s="3" t="s">
        <v>62</v>
      </c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</row>
    <row r="1919" spans="1:39">
      <c r="B1919" s="799" t="s">
        <v>57</v>
      </c>
      <c r="C1919" s="949" t="s">
        <v>4303</v>
      </c>
      <c r="D1919" s="6">
        <v>200106029</v>
      </c>
      <c r="E1919" s="1469" t="s">
        <v>1072</v>
      </c>
      <c r="F1919" s="749">
        <v>13</v>
      </c>
      <c r="G1919" s="3" t="s">
        <v>60</v>
      </c>
      <c r="H1919" s="3" t="s">
        <v>1041</v>
      </c>
      <c r="I1919" s="786">
        <v>468</v>
      </c>
      <c r="J1919" s="786">
        <v>258.54000000000002</v>
      </c>
      <c r="K1919" s="3" t="s">
        <v>2327</v>
      </c>
      <c r="L1919" s="892">
        <v>45426</v>
      </c>
      <c r="M1919" s="892" t="s">
        <v>2327</v>
      </c>
      <c r="N1919" s="892">
        <v>45426</v>
      </c>
      <c r="O1919" s="761" t="s">
        <v>62</v>
      </c>
      <c r="P1919" s="3" t="s">
        <v>1073</v>
      </c>
      <c r="Q1919" s="3" t="s">
        <v>1074</v>
      </c>
      <c r="R1919" s="848"/>
      <c r="S1919" s="786" t="s">
        <v>130</v>
      </c>
      <c r="T1919" s="848"/>
      <c r="U1919" s="786">
        <v>281.39999999999998</v>
      </c>
      <c r="V1919" s="848"/>
      <c r="W1919" s="848"/>
      <c r="X1919" s="3" t="s">
        <v>2327</v>
      </c>
      <c r="Y1919" s="892">
        <v>45426</v>
      </c>
      <c r="Z1919" s="3" t="s">
        <v>62</v>
      </c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</row>
    <row r="1920" spans="1:39" s="707" customFormat="1">
      <c r="A1920"/>
      <c r="B1920" s="951" t="s">
        <v>13</v>
      </c>
      <c r="C1920" s="952" t="s">
        <v>1759</v>
      </c>
      <c r="D1920" s="862"/>
      <c r="E1920" s="807"/>
      <c r="F1920" s="808"/>
      <c r="G1920" s="807"/>
      <c r="H1920" s="807"/>
      <c r="I1920" s="820"/>
      <c r="J1920" s="837"/>
      <c r="K1920" s="807"/>
      <c r="L1920" s="819"/>
      <c r="M1920" s="819"/>
      <c r="N1920" s="819"/>
      <c r="O1920" s="819"/>
      <c r="P1920" s="807"/>
      <c r="Q1920" s="807"/>
      <c r="R1920" s="807"/>
      <c r="S1920" s="807"/>
      <c r="T1920" s="807"/>
      <c r="U1920" s="837"/>
      <c r="V1920" s="807"/>
      <c r="W1920" s="807"/>
      <c r="X1920" s="819"/>
      <c r="Y1920" s="819"/>
      <c r="Z1920" s="819"/>
      <c r="AA1920" s="710"/>
      <c r="AB1920" s="710"/>
      <c r="AC1920" s="710"/>
      <c r="AD1920" s="710"/>
      <c r="AE1920" s="710"/>
      <c r="AF1920" s="710"/>
      <c r="AG1920" s="710"/>
      <c r="AH1920" s="710"/>
      <c r="AI1920" s="710"/>
      <c r="AJ1920" s="710"/>
      <c r="AK1920" s="710"/>
      <c r="AL1920" s="710"/>
      <c r="AM1920" s="710"/>
    </row>
    <row r="1921" spans="1:39">
      <c r="B1921" s="799" t="s">
        <v>72</v>
      </c>
      <c r="C1921" s="949" t="s">
        <v>4303</v>
      </c>
      <c r="D1921" s="6">
        <v>200105910</v>
      </c>
      <c r="E1921" s="1469" t="s">
        <v>1075</v>
      </c>
      <c r="F1921" s="749">
        <v>1</v>
      </c>
      <c r="G1921" s="3" t="s">
        <v>60</v>
      </c>
      <c r="H1921" s="3" t="s">
        <v>128</v>
      </c>
      <c r="I1921" s="762">
        <v>462.4</v>
      </c>
      <c r="J1921" s="762">
        <v>253.36</v>
      </c>
      <c r="K1921" s="3" t="s">
        <v>2327</v>
      </c>
      <c r="L1921" s="958">
        <v>45432</v>
      </c>
      <c r="M1921" s="958" t="s">
        <v>2327</v>
      </c>
      <c r="N1921" s="958">
        <v>45432</v>
      </c>
      <c r="O1921" s="761" t="s">
        <v>62</v>
      </c>
      <c r="P1921" s="3" t="s">
        <v>1076</v>
      </c>
      <c r="Q1921" s="3" t="s">
        <v>1077</v>
      </c>
      <c r="R1921" s="848"/>
      <c r="S1921" s="786" t="s">
        <v>130</v>
      </c>
      <c r="T1921" s="848"/>
      <c r="U1921" s="786">
        <v>276.3</v>
      </c>
      <c r="V1921" s="848"/>
      <c r="W1921" s="848"/>
      <c r="X1921" s="3" t="s">
        <v>2327</v>
      </c>
      <c r="Y1921" s="892">
        <v>45432</v>
      </c>
      <c r="Z1921" s="3" t="s">
        <v>62</v>
      </c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</row>
    <row r="1922" spans="1:39">
      <c r="B1922" s="799" t="s">
        <v>72</v>
      </c>
      <c r="C1922" s="949" t="s">
        <v>4303</v>
      </c>
      <c r="D1922" s="6">
        <v>200105911</v>
      </c>
      <c r="E1922" s="1469" t="s">
        <v>1078</v>
      </c>
      <c r="F1922" s="749">
        <v>2</v>
      </c>
      <c r="G1922" s="3" t="s">
        <v>60</v>
      </c>
      <c r="H1922" s="3" t="s">
        <v>128</v>
      </c>
      <c r="I1922" s="786">
        <v>466</v>
      </c>
      <c r="J1922" s="786">
        <v>255.99</v>
      </c>
      <c r="K1922" s="3" t="s">
        <v>2327</v>
      </c>
      <c r="L1922" s="958">
        <v>45432</v>
      </c>
      <c r="M1922" s="958" t="s">
        <v>2327</v>
      </c>
      <c r="N1922" s="958">
        <v>45432</v>
      </c>
      <c r="O1922" s="761" t="s">
        <v>62</v>
      </c>
      <c r="P1922" s="3" t="s">
        <v>1079</v>
      </c>
      <c r="Q1922" s="3" t="s">
        <v>1080</v>
      </c>
      <c r="R1922" s="848"/>
      <c r="S1922" s="786" t="s">
        <v>130</v>
      </c>
      <c r="T1922" s="848"/>
      <c r="U1922" s="786">
        <v>278.8</v>
      </c>
      <c r="V1922" s="848"/>
      <c r="W1922" s="848"/>
      <c r="X1922" s="3" t="s">
        <v>2327</v>
      </c>
      <c r="Y1922" s="892">
        <v>45432</v>
      </c>
      <c r="Z1922" s="3" t="s">
        <v>62</v>
      </c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</row>
    <row r="1923" spans="1:39">
      <c r="B1923" s="799" t="s">
        <v>72</v>
      </c>
      <c r="C1923" s="949" t="s">
        <v>4303</v>
      </c>
      <c r="D1923" s="6">
        <v>200105912</v>
      </c>
      <c r="E1923" s="1469" t="s">
        <v>1081</v>
      </c>
      <c r="F1923" s="749">
        <v>3</v>
      </c>
      <c r="G1923" s="3" t="s">
        <v>60</v>
      </c>
      <c r="H1923" s="3" t="s">
        <v>128</v>
      </c>
      <c r="I1923" s="786">
        <v>467.9</v>
      </c>
      <c r="J1923" s="786">
        <v>258.23</v>
      </c>
      <c r="K1923" s="3" t="s">
        <v>2327</v>
      </c>
      <c r="L1923" s="958">
        <v>45432</v>
      </c>
      <c r="M1923" s="958" t="s">
        <v>2327</v>
      </c>
      <c r="N1923" s="958">
        <v>45432</v>
      </c>
      <c r="O1923" s="761" t="s">
        <v>62</v>
      </c>
      <c r="P1923" s="3" t="s">
        <v>1082</v>
      </c>
      <c r="Q1923" s="3" t="s">
        <v>1083</v>
      </c>
      <c r="R1923" s="848"/>
      <c r="S1923" s="786" t="s">
        <v>130</v>
      </c>
      <c r="T1923" s="848"/>
      <c r="U1923" s="786">
        <v>281</v>
      </c>
      <c r="V1923" s="848"/>
      <c r="W1923" s="848"/>
      <c r="X1923" s="3" t="s">
        <v>2327</v>
      </c>
      <c r="Y1923" s="892">
        <v>45432</v>
      </c>
      <c r="Z1923" s="3" t="s">
        <v>62</v>
      </c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</row>
    <row r="1924" spans="1:39">
      <c r="B1924" s="799" t="s">
        <v>72</v>
      </c>
      <c r="C1924" s="949" t="s">
        <v>4303</v>
      </c>
      <c r="D1924" s="6">
        <v>200105913</v>
      </c>
      <c r="E1924" s="1469" t="s">
        <v>1084</v>
      </c>
      <c r="F1924" s="749">
        <v>4</v>
      </c>
      <c r="G1924" s="3" t="s">
        <v>60</v>
      </c>
      <c r="H1924" s="3" t="s">
        <v>128</v>
      </c>
      <c r="I1924" s="762">
        <v>461.3</v>
      </c>
      <c r="J1924" s="762">
        <v>253.1</v>
      </c>
      <c r="K1924" s="3" t="s">
        <v>2327</v>
      </c>
      <c r="L1924" s="958">
        <v>45433</v>
      </c>
      <c r="M1924" s="958" t="s">
        <v>2327</v>
      </c>
      <c r="N1924" s="958">
        <v>45433</v>
      </c>
      <c r="O1924" s="761" t="s">
        <v>62</v>
      </c>
      <c r="P1924" s="3" t="s">
        <v>1085</v>
      </c>
      <c r="Q1924" s="3" t="s">
        <v>1086</v>
      </c>
      <c r="R1924" s="848"/>
      <c r="S1924" s="786" t="s">
        <v>130</v>
      </c>
      <c r="T1924" s="848"/>
      <c r="U1924" s="762">
        <v>276.10000000000002</v>
      </c>
      <c r="V1924" s="848"/>
      <c r="W1924" s="848"/>
      <c r="X1924" s="3" t="s">
        <v>2327</v>
      </c>
      <c r="Y1924" s="892">
        <v>45433</v>
      </c>
      <c r="Z1924" s="3" t="s">
        <v>62</v>
      </c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</row>
    <row r="1925" spans="1:39">
      <c r="B1925" s="799" t="s">
        <v>72</v>
      </c>
      <c r="C1925" s="949" t="s">
        <v>4303</v>
      </c>
      <c r="D1925" s="6">
        <v>200105914</v>
      </c>
      <c r="E1925" s="1469" t="s">
        <v>1087</v>
      </c>
      <c r="F1925" s="749">
        <v>5</v>
      </c>
      <c r="G1925" s="3" t="s">
        <v>60</v>
      </c>
      <c r="H1925" s="3" t="s">
        <v>128</v>
      </c>
      <c r="I1925" s="762">
        <v>464.4</v>
      </c>
      <c r="J1925" s="762">
        <v>257.63</v>
      </c>
      <c r="K1925" s="3" t="s">
        <v>2327</v>
      </c>
      <c r="L1925" s="958">
        <v>45433</v>
      </c>
      <c r="M1925" s="958" t="s">
        <v>2327</v>
      </c>
      <c r="N1925" s="958">
        <v>45433</v>
      </c>
      <c r="O1925" s="761" t="s">
        <v>62</v>
      </c>
      <c r="P1925" s="3" t="s">
        <v>1088</v>
      </c>
      <c r="Q1925" s="3" t="s">
        <v>1089</v>
      </c>
      <c r="R1925" s="848"/>
      <c r="S1925" s="786" t="s">
        <v>130</v>
      </c>
      <c r="T1925" s="848"/>
      <c r="U1925" s="786">
        <v>280.39999999999998</v>
      </c>
      <c r="V1925" s="848"/>
      <c r="W1925" s="848"/>
      <c r="X1925" s="3" t="s">
        <v>2327</v>
      </c>
      <c r="Y1925" s="892">
        <v>45433</v>
      </c>
      <c r="Z1925" s="3" t="s">
        <v>62</v>
      </c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</row>
    <row r="1926" spans="1:39">
      <c r="B1926" s="799" t="s">
        <v>72</v>
      </c>
      <c r="C1926" s="949" t="s">
        <v>4303</v>
      </c>
      <c r="D1926" s="6">
        <v>200105915</v>
      </c>
      <c r="E1926" s="1469" t="s">
        <v>1090</v>
      </c>
      <c r="F1926" s="749">
        <v>6</v>
      </c>
      <c r="G1926" s="3" t="s">
        <v>60</v>
      </c>
      <c r="H1926" s="3" t="s">
        <v>128</v>
      </c>
      <c r="I1926" s="762">
        <v>459.1</v>
      </c>
      <c r="J1926" s="786">
        <v>254</v>
      </c>
      <c r="K1926" s="3" t="s">
        <v>2327</v>
      </c>
      <c r="L1926" s="958">
        <v>45433</v>
      </c>
      <c r="M1926" s="958" t="s">
        <v>2327</v>
      </c>
      <c r="N1926" s="958">
        <v>45433</v>
      </c>
      <c r="O1926" s="761" t="s">
        <v>62</v>
      </c>
      <c r="P1926" s="3" t="s">
        <v>1091</v>
      </c>
      <c r="Q1926" s="3" t="s">
        <v>1092</v>
      </c>
      <c r="R1926" s="848"/>
      <c r="S1926" s="786" t="s">
        <v>130</v>
      </c>
      <c r="T1926" s="848"/>
      <c r="U1926" s="762">
        <v>276.89999999999998</v>
      </c>
      <c r="V1926" s="848"/>
      <c r="W1926" s="848"/>
      <c r="X1926" s="3" t="s">
        <v>2327</v>
      </c>
      <c r="Y1926" s="892">
        <v>45434</v>
      </c>
      <c r="Z1926" s="3" t="s">
        <v>62</v>
      </c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</row>
    <row r="1927" spans="1:39">
      <c r="B1927" s="799" t="s">
        <v>72</v>
      </c>
      <c r="C1927" s="949" t="s">
        <v>4303</v>
      </c>
      <c r="D1927" s="6">
        <v>200106130</v>
      </c>
      <c r="E1927" s="1469" t="s">
        <v>1093</v>
      </c>
      <c r="F1927" s="749">
        <v>7</v>
      </c>
      <c r="G1927" s="3" t="s">
        <v>60</v>
      </c>
      <c r="H1927" s="3" t="s">
        <v>128</v>
      </c>
      <c r="I1927" s="786">
        <v>463.6</v>
      </c>
      <c r="J1927" s="858">
        <v>253.35</v>
      </c>
      <c r="K1927" s="3" t="s">
        <v>2327</v>
      </c>
      <c r="L1927" s="958">
        <v>45436</v>
      </c>
      <c r="M1927" s="958" t="s">
        <v>2327</v>
      </c>
      <c r="N1927" s="958">
        <v>45439</v>
      </c>
      <c r="O1927" s="761" t="s">
        <v>62</v>
      </c>
      <c r="P1927" s="3" t="s">
        <v>1094</v>
      </c>
      <c r="Q1927" s="3" t="s">
        <v>1095</v>
      </c>
      <c r="R1927" s="848"/>
      <c r="S1927" s="786" t="s">
        <v>130</v>
      </c>
      <c r="T1927" s="848"/>
      <c r="U1927" s="865">
        <v>276.10000000000002</v>
      </c>
      <c r="V1927" s="848"/>
      <c r="W1927" s="848"/>
      <c r="X1927" s="3" t="s">
        <v>2327</v>
      </c>
      <c r="Y1927" s="892">
        <v>45439</v>
      </c>
      <c r="Z1927" s="3" t="s">
        <v>62</v>
      </c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</row>
    <row r="1928" spans="1:39">
      <c r="B1928" s="799" t="s">
        <v>72</v>
      </c>
      <c r="C1928" s="949" t="s">
        <v>4303</v>
      </c>
      <c r="D1928" s="6">
        <v>200106131</v>
      </c>
      <c r="E1928" s="1469" t="s">
        <v>1096</v>
      </c>
      <c r="F1928" s="749">
        <v>8</v>
      </c>
      <c r="G1928" s="3" t="s">
        <v>60</v>
      </c>
      <c r="H1928" s="3" t="s">
        <v>128</v>
      </c>
      <c r="I1928" s="786">
        <v>467.7</v>
      </c>
      <c r="J1928" s="858">
        <v>256.45</v>
      </c>
      <c r="K1928" s="3" t="s">
        <v>2327</v>
      </c>
      <c r="L1928" s="958">
        <v>45436</v>
      </c>
      <c r="M1928" s="958" t="s">
        <v>2327</v>
      </c>
      <c r="N1928" s="958">
        <v>45439</v>
      </c>
      <c r="O1928" s="761" t="s">
        <v>62</v>
      </c>
      <c r="P1928" s="3" t="s">
        <v>1097</v>
      </c>
      <c r="Q1928" s="3" t="s">
        <v>1098</v>
      </c>
      <c r="R1928" s="848"/>
      <c r="S1928" s="786" t="s">
        <v>130</v>
      </c>
      <c r="T1928" s="848"/>
      <c r="U1928" s="865">
        <v>279.60000000000002</v>
      </c>
      <c r="V1928" s="848"/>
      <c r="W1928" s="848"/>
      <c r="X1928" s="3" t="s">
        <v>2327</v>
      </c>
      <c r="Y1928" s="892">
        <v>45439</v>
      </c>
      <c r="Z1928" s="3" t="s">
        <v>62</v>
      </c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</row>
    <row r="1929" spans="1:39">
      <c r="B1929" s="799" t="s">
        <v>72</v>
      </c>
      <c r="C1929" s="949" t="s">
        <v>4303</v>
      </c>
      <c r="D1929" s="6">
        <v>200106222</v>
      </c>
      <c r="E1929" s="1469" t="s">
        <v>1099</v>
      </c>
      <c r="F1929" s="749">
        <v>9</v>
      </c>
      <c r="G1929" s="3" t="s">
        <v>60</v>
      </c>
      <c r="H1929" s="3" t="s">
        <v>128</v>
      </c>
      <c r="I1929" s="865">
        <v>462.4</v>
      </c>
      <c r="J1929" s="858">
        <v>255.21</v>
      </c>
      <c r="K1929" s="3" t="s">
        <v>2327</v>
      </c>
      <c r="L1929" s="958">
        <v>45440</v>
      </c>
      <c r="M1929" s="958" t="s">
        <v>2327</v>
      </c>
      <c r="N1929" s="958">
        <v>45440</v>
      </c>
      <c r="O1929" s="761" t="s">
        <v>62</v>
      </c>
      <c r="P1929" s="3" t="s">
        <v>1100</v>
      </c>
      <c r="Q1929" s="3" t="s">
        <v>1101</v>
      </c>
      <c r="R1929" s="848"/>
      <c r="S1929" s="786" t="s">
        <v>130</v>
      </c>
      <c r="T1929" s="848"/>
      <c r="U1929" s="865">
        <v>277.89999999999998</v>
      </c>
      <c r="V1929" s="848"/>
      <c r="W1929" s="848"/>
      <c r="X1929" s="3" t="s">
        <v>2327</v>
      </c>
      <c r="Y1929" s="892">
        <v>45440</v>
      </c>
      <c r="Z1929" s="3" t="s">
        <v>62</v>
      </c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</row>
    <row r="1930" spans="1:39">
      <c r="B1930" s="799" t="s">
        <v>72</v>
      </c>
      <c r="C1930" s="949" t="s">
        <v>4303</v>
      </c>
      <c r="D1930" s="6">
        <v>200106223</v>
      </c>
      <c r="E1930" s="1469" t="s">
        <v>1102</v>
      </c>
      <c r="F1930" s="749">
        <v>9</v>
      </c>
      <c r="G1930" s="3" t="s">
        <v>60</v>
      </c>
      <c r="H1930" s="3" t="s">
        <v>128</v>
      </c>
      <c r="I1930" s="786">
        <v>466.2</v>
      </c>
      <c r="J1930" s="858">
        <f>127.49+128.9</f>
        <v>256.39</v>
      </c>
      <c r="K1930" s="3" t="s">
        <v>2327</v>
      </c>
      <c r="L1930" s="958">
        <v>45440</v>
      </c>
      <c r="M1930" s="958" t="s">
        <v>2327</v>
      </c>
      <c r="N1930" s="958">
        <v>45440</v>
      </c>
      <c r="O1930" s="761" t="s">
        <v>62</v>
      </c>
      <c r="P1930" s="3" t="s">
        <v>1103</v>
      </c>
      <c r="Q1930" s="3" t="s">
        <v>1104</v>
      </c>
      <c r="R1930" s="848"/>
      <c r="S1930" s="786" t="s">
        <v>130</v>
      </c>
      <c r="T1930" s="848"/>
      <c r="U1930" s="785">
        <v>279.5</v>
      </c>
      <c r="V1930" s="848"/>
      <c r="W1930" s="848"/>
      <c r="X1930" s="3" t="s">
        <v>2327</v>
      </c>
      <c r="Y1930" s="892">
        <v>45440</v>
      </c>
      <c r="Z1930" s="3" t="s">
        <v>62</v>
      </c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</row>
    <row r="1931" spans="1:39">
      <c r="B1931" s="799" t="s">
        <v>72</v>
      </c>
      <c r="C1931" s="949" t="s">
        <v>4303</v>
      </c>
      <c r="D1931" s="6">
        <v>200106224</v>
      </c>
      <c r="E1931" s="1469" t="s">
        <v>1105</v>
      </c>
      <c r="F1931" s="749">
        <v>11</v>
      </c>
      <c r="G1931" s="3" t="s">
        <v>60</v>
      </c>
      <c r="H1931" s="3" t="s">
        <v>128</v>
      </c>
      <c r="I1931" s="858">
        <v>466.7</v>
      </c>
      <c r="J1931" s="858">
        <v>254.11</v>
      </c>
      <c r="K1931" s="3" t="s">
        <v>2327</v>
      </c>
      <c r="L1931" s="958">
        <v>45441</v>
      </c>
      <c r="M1931" s="958" t="s">
        <v>2327</v>
      </c>
      <c r="N1931" s="958">
        <v>45441</v>
      </c>
      <c r="O1931" s="761" t="s">
        <v>62</v>
      </c>
      <c r="P1931" s="3" t="s">
        <v>1106</v>
      </c>
      <c r="Q1931" s="3" t="s">
        <v>1107</v>
      </c>
      <c r="R1931" s="848"/>
      <c r="S1931" s="786" t="s">
        <v>130</v>
      </c>
      <c r="T1931" s="848"/>
      <c r="U1931" s="3">
        <v>277.2</v>
      </c>
      <c r="V1931" s="848"/>
      <c r="W1931" s="848"/>
      <c r="X1931" s="3" t="s">
        <v>2327</v>
      </c>
      <c r="Y1931" s="892">
        <v>45441</v>
      </c>
      <c r="Z1931" s="3" t="s">
        <v>62</v>
      </c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</row>
    <row r="1932" spans="1:39">
      <c r="B1932" s="799" t="s">
        <v>72</v>
      </c>
      <c r="C1932" s="949" t="s">
        <v>4303</v>
      </c>
      <c r="D1932" s="6">
        <v>200106485</v>
      </c>
      <c r="E1932" s="1469" t="s">
        <v>1108</v>
      </c>
      <c r="F1932" s="749">
        <v>12</v>
      </c>
      <c r="G1932" s="3" t="s">
        <v>60</v>
      </c>
      <c r="H1932" s="3" t="s">
        <v>128</v>
      </c>
      <c r="I1932" s="786">
        <v>464.3</v>
      </c>
      <c r="J1932" s="786">
        <v>256.32</v>
      </c>
      <c r="K1932" s="3" t="s">
        <v>2411</v>
      </c>
      <c r="L1932" s="958">
        <v>45470</v>
      </c>
      <c r="M1932" s="958" t="s">
        <v>2411</v>
      </c>
      <c r="N1932" s="958">
        <v>45470</v>
      </c>
      <c r="O1932" s="761" t="s">
        <v>62</v>
      </c>
      <c r="P1932" s="3" t="s">
        <v>1109</v>
      </c>
      <c r="Q1932" s="3" t="s">
        <v>1110</v>
      </c>
      <c r="R1932" s="848"/>
      <c r="S1932" s="786" t="s">
        <v>130</v>
      </c>
      <c r="T1932" s="848"/>
      <c r="U1932" s="785">
        <v>279</v>
      </c>
      <c r="V1932" s="848"/>
      <c r="W1932" s="848"/>
      <c r="X1932" s="3" t="s">
        <v>2411</v>
      </c>
      <c r="Y1932" s="892">
        <v>45470</v>
      </c>
      <c r="Z1932" s="3" t="s">
        <v>62</v>
      </c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</row>
    <row r="1933" spans="1:39" s="707" customFormat="1">
      <c r="A1933"/>
      <c r="B1933" s="951" t="s">
        <v>13</v>
      </c>
      <c r="C1933" s="952" t="s">
        <v>1764</v>
      </c>
      <c r="D1933" s="862"/>
      <c r="E1933" s="807"/>
      <c r="F1933" s="808"/>
      <c r="G1933" s="807"/>
      <c r="H1933" s="807"/>
      <c r="I1933" s="820"/>
      <c r="J1933" s="837"/>
      <c r="K1933" s="807"/>
      <c r="L1933" s="819"/>
      <c r="M1933" s="819"/>
      <c r="N1933" s="819"/>
      <c r="O1933" s="819"/>
      <c r="P1933" s="807"/>
      <c r="Q1933" s="807"/>
      <c r="R1933" s="807"/>
      <c r="S1933" s="807"/>
      <c r="T1933" s="807"/>
      <c r="U1933" s="837"/>
      <c r="V1933" s="807"/>
      <c r="W1933" s="807"/>
      <c r="X1933" s="819"/>
      <c r="Y1933" s="819"/>
      <c r="Z1933" s="819"/>
      <c r="AA1933" s="710"/>
      <c r="AB1933" s="710"/>
      <c r="AC1933" s="710"/>
      <c r="AD1933" s="710"/>
      <c r="AE1933" s="710"/>
      <c r="AF1933" s="710"/>
      <c r="AG1933" s="710"/>
      <c r="AH1933" s="710"/>
      <c r="AI1933" s="710"/>
      <c r="AJ1933" s="710"/>
      <c r="AK1933" s="710"/>
      <c r="AL1933" s="710"/>
      <c r="AM1933" s="710"/>
    </row>
    <row r="1934" spans="1:39">
      <c r="B1934" s="799" t="s">
        <v>433</v>
      </c>
      <c r="C1934" s="949" t="s">
        <v>4303</v>
      </c>
      <c r="D1934" s="6">
        <v>200106486</v>
      </c>
      <c r="E1934" s="1469" t="s">
        <v>1111</v>
      </c>
      <c r="F1934" s="749">
        <v>1</v>
      </c>
      <c r="G1934" s="3" t="s">
        <v>128</v>
      </c>
      <c r="H1934" s="3" t="s">
        <v>128</v>
      </c>
      <c r="I1934" s="786">
        <v>457</v>
      </c>
      <c r="J1934" s="786">
        <v>262.12</v>
      </c>
      <c r="K1934" s="3" t="s">
        <v>2411</v>
      </c>
      <c r="L1934" s="958">
        <v>45470</v>
      </c>
      <c r="M1934" s="958" t="s">
        <v>2411</v>
      </c>
      <c r="N1934" s="958">
        <v>45470</v>
      </c>
      <c r="O1934" s="761" t="s">
        <v>62</v>
      </c>
      <c r="P1934" s="3" t="s">
        <v>1112</v>
      </c>
      <c r="Q1934" s="785" t="s">
        <v>1113</v>
      </c>
      <c r="R1934" s="848"/>
      <c r="S1934" s="786" t="s">
        <v>130</v>
      </c>
      <c r="T1934" s="848"/>
      <c r="U1934" s="785">
        <v>284.8</v>
      </c>
      <c r="V1934" s="848"/>
      <c r="W1934" s="848"/>
      <c r="X1934" s="3" t="s">
        <v>2411</v>
      </c>
      <c r="Y1934" s="892">
        <v>45470</v>
      </c>
      <c r="Z1934" s="3" t="s">
        <v>62</v>
      </c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</row>
    <row r="1935" spans="1:39">
      <c r="B1935" s="799" t="s">
        <v>433</v>
      </c>
      <c r="C1935" s="949" t="s">
        <v>4303</v>
      </c>
      <c r="D1935" s="6">
        <v>200106487</v>
      </c>
      <c r="E1935" s="1469" t="s">
        <v>1114</v>
      </c>
      <c r="F1935" s="749">
        <v>2</v>
      </c>
      <c r="G1935" s="3" t="s">
        <v>128</v>
      </c>
      <c r="H1935" s="3" t="s">
        <v>60</v>
      </c>
      <c r="I1935" s="786">
        <v>475.1</v>
      </c>
      <c r="J1935" s="865">
        <v>256.42</v>
      </c>
      <c r="K1935" s="3" t="s">
        <v>2411</v>
      </c>
      <c r="L1935" s="958">
        <v>45470</v>
      </c>
      <c r="M1935" s="958" t="s">
        <v>2512</v>
      </c>
      <c r="N1935" s="958">
        <v>45474</v>
      </c>
      <c r="O1935" s="761" t="s">
        <v>62</v>
      </c>
      <c r="P1935" s="3" t="s">
        <v>1115</v>
      </c>
      <c r="Q1935" s="3" t="s">
        <v>1116</v>
      </c>
      <c r="R1935" s="848"/>
      <c r="S1935" s="786" t="s">
        <v>130</v>
      </c>
      <c r="T1935" s="848"/>
      <c r="U1935" s="3">
        <v>277.60000000000002</v>
      </c>
      <c r="V1935" s="848"/>
      <c r="W1935" s="848"/>
      <c r="X1935" s="3" t="s">
        <v>2512</v>
      </c>
      <c r="Y1935" s="892">
        <v>45475</v>
      </c>
      <c r="Z1935" s="3" t="s">
        <v>62</v>
      </c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</row>
    <row r="1936" spans="1:39">
      <c r="B1936" s="799" t="s">
        <v>433</v>
      </c>
      <c r="C1936" s="949" t="s">
        <v>4303</v>
      </c>
      <c r="D1936" s="6">
        <v>200106488</v>
      </c>
      <c r="E1936" s="1469" t="s">
        <v>1117</v>
      </c>
      <c r="F1936" s="749">
        <v>3</v>
      </c>
      <c r="G1936" s="3" t="s">
        <v>60</v>
      </c>
      <c r="H1936" s="3" t="s">
        <v>60</v>
      </c>
      <c r="I1936" s="762">
        <v>459.23</v>
      </c>
      <c r="J1936" s="865">
        <v>258.3</v>
      </c>
      <c r="K1936" s="3" t="s">
        <v>2512</v>
      </c>
      <c r="L1936" s="958">
        <v>45475</v>
      </c>
      <c r="M1936" s="958" t="s">
        <v>2512</v>
      </c>
      <c r="N1936" s="958">
        <v>45474</v>
      </c>
      <c r="O1936" s="761" t="s">
        <v>62</v>
      </c>
      <c r="P1936" s="3" t="s">
        <v>1118</v>
      </c>
      <c r="Q1936" s="3" t="s">
        <v>1119</v>
      </c>
      <c r="R1936" s="848"/>
      <c r="S1936" s="786" t="s">
        <v>130</v>
      </c>
      <c r="T1936" s="848"/>
      <c r="U1936" s="3">
        <v>281.3</v>
      </c>
      <c r="V1936" s="848"/>
      <c r="W1936" s="848"/>
      <c r="X1936" s="3" t="s">
        <v>2512</v>
      </c>
      <c r="Y1936" s="892">
        <v>45475</v>
      </c>
      <c r="Z1936" s="3" t="s">
        <v>62</v>
      </c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</row>
    <row r="1937" spans="1:39">
      <c r="B1937" s="799" t="s">
        <v>433</v>
      </c>
      <c r="C1937" s="949" t="s">
        <v>4303</v>
      </c>
      <c r="D1937" s="6">
        <v>200106489</v>
      </c>
      <c r="E1937" s="1469" t="s">
        <v>1120</v>
      </c>
      <c r="F1937" s="749">
        <v>4</v>
      </c>
      <c r="G1937" s="3" t="s">
        <v>60</v>
      </c>
      <c r="H1937" s="3" t="s">
        <v>128</v>
      </c>
      <c r="I1937" s="762">
        <v>466.5</v>
      </c>
      <c r="J1937" s="858">
        <v>253.78</v>
      </c>
      <c r="K1937" s="3" t="s">
        <v>2512</v>
      </c>
      <c r="L1937" s="958">
        <v>45475</v>
      </c>
      <c r="M1937" s="958" t="s">
        <v>2512</v>
      </c>
      <c r="N1937" s="958">
        <v>45475</v>
      </c>
      <c r="O1937" s="761" t="s">
        <v>62</v>
      </c>
      <c r="P1937" s="3" t="s">
        <v>1121</v>
      </c>
      <c r="Q1937" s="785" t="s">
        <v>1122</v>
      </c>
      <c r="R1937" s="848"/>
      <c r="S1937" s="786" t="s">
        <v>130</v>
      </c>
      <c r="T1937" s="848"/>
      <c r="U1937" s="3">
        <v>276.89999999999998</v>
      </c>
      <c r="V1937" s="848"/>
      <c r="W1937" s="848"/>
      <c r="X1937" s="3" t="s">
        <v>2512</v>
      </c>
      <c r="Y1937" s="892">
        <v>45476</v>
      </c>
      <c r="Z1937" s="3" t="s">
        <v>62</v>
      </c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</row>
    <row r="1938" spans="1:39">
      <c r="B1938" s="799" t="s">
        <v>433</v>
      </c>
      <c r="C1938" s="949" t="s">
        <v>4303</v>
      </c>
      <c r="D1938" s="6">
        <v>200106490</v>
      </c>
      <c r="E1938" s="1469" t="s">
        <v>1123</v>
      </c>
      <c r="F1938" s="749">
        <v>5</v>
      </c>
      <c r="G1938" s="3" t="s">
        <v>60</v>
      </c>
      <c r="H1938" s="3" t="s">
        <v>128</v>
      </c>
      <c r="I1938" s="762">
        <v>468.8</v>
      </c>
      <c r="J1938" s="865">
        <v>255.23</v>
      </c>
      <c r="K1938" s="3" t="s">
        <v>2512</v>
      </c>
      <c r="L1938" s="958">
        <v>45475</v>
      </c>
      <c r="M1938" s="958" t="s">
        <v>2512</v>
      </c>
      <c r="N1938" s="958">
        <v>45484</v>
      </c>
      <c r="O1938" s="761" t="s">
        <v>62</v>
      </c>
      <c r="P1938" s="3" t="s">
        <v>1124</v>
      </c>
      <c r="Q1938" s="3" t="s">
        <v>1125</v>
      </c>
      <c r="R1938" s="848"/>
      <c r="S1938" s="786" t="s">
        <v>130</v>
      </c>
      <c r="T1938" s="848"/>
      <c r="U1938" s="3">
        <v>282.5</v>
      </c>
      <c r="V1938" s="848"/>
      <c r="W1938" s="848"/>
      <c r="X1938" s="3" t="s">
        <v>2512</v>
      </c>
      <c r="Y1938" s="892">
        <v>45476</v>
      </c>
      <c r="Z1938" s="3" t="s">
        <v>62</v>
      </c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</row>
    <row r="1939" spans="1:39">
      <c r="B1939" s="799" t="s">
        <v>433</v>
      </c>
      <c r="C1939" s="949" t="s">
        <v>4303</v>
      </c>
      <c r="D1939" s="6">
        <v>200106693</v>
      </c>
      <c r="E1939" s="1469" t="s">
        <v>1126</v>
      </c>
      <c r="F1939" s="749">
        <v>6</v>
      </c>
      <c r="G1939" s="3" t="s">
        <v>60</v>
      </c>
      <c r="H1939" s="3" t="s">
        <v>128</v>
      </c>
      <c r="I1939" s="858">
        <v>465.6</v>
      </c>
      <c r="J1939" s="865">
        <v>260.97000000000003</v>
      </c>
      <c r="K1939" s="3" t="s">
        <v>2512</v>
      </c>
      <c r="L1939" s="958">
        <v>45485</v>
      </c>
      <c r="M1939" s="958" t="s">
        <v>2512</v>
      </c>
      <c r="N1939" s="958">
        <v>45484</v>
      </c>
      <c r="O1939" s="761" t="s">
        <v>62</v>
      </c>
      <c r="P1939" s="785" t="s">
        <v>1127</v>
      </c>
      <c r="Q1939" s="3" t="s">
        <v>1128</v>
      </c>
      <c r="R1939" s="848"/>
      <c r="S1939" s="786" t="s">
        <v>130</v>
      </c>
      <c r="T1939" s="848"/>
      <c r="U1939" s="3">
        <v>278.39999999999998</v>
      </c>
      <c r="V1939" s="848"/>
      <c r="W1939" s="848"/>
      <c r="X1939" s="3" t="s">
        <v>2512</v>
      </c>
      <c r="Y1939" s="892">
        <v>45485</v>
      </c>
      <c r="Z1939" s="3" t="s">
        <v>62</v>
      </c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</row>
    <row r="1940" spans="1:39">
      <c r="B1940" s="799" t="s">
        <v>433</v>
      </c>
      <c r="C1940" s="949" t="s">
        <v>4303</v>
      </c>
      <c r="D1940" s="6">
        <v>200106694</v>
      </c>
      <c r="E1940" s="1469" t="s">
        <v>1129</v>
      </c>
      <c r="F1940" s="749">
        <v>7</v>
      </c>
      <c r="G1940" s="3" t="s">
        <v>60</v>
      </c>
      <c r="H1940" s="3" t="s">
        <v>128</v>
      </c>
      <c r="I1940" s="858">
        <v>464.1</v>
      </c>
      <c r="J1940" s="865">
        <v>260.97000000000003</v>
      </c>
      <c r="K1940" s="3" t="s">
        <v>2512</v>
      </c>
      <c r="L1940" s="958">
        <v>45488</v>
      </c>
      <c r="M1940" s="958" t="s">
        <v>2512</v>
      </c>
      <c r="N1940" s="958">
        <v>45484</v>
      </c>
      <c r="O1940" s="761" t="s">
        <v>62</v>
      </c>
      <c r="P1940" s="785" t="s">
        <v>1130</v>
      </c>
      <c r="Q1940" s="3" t="s">
        <v>1128</v>
      </c>
      <c r="R1940" s="848"/>
      <c r="S1940" s="786" t="s">
        <v>130</v>
      </c>
      <c r="T1940" s="848"/>
      <c r="U1940" s="3">
        <v>284</v>
      </c>
      <c r="V1940" s="848"/>
      <c r="W1940" s="848"/>
      <c r="X1940" s="3" t="s">
        <v>2512</v>
      </c>
      <c r="Y1940" s="892">
        <v>45485</v>
      </c>
      <c r="Z1940" s="3" t="s">
        <v>62</v>
      </c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</row>
    <row r="1941" spans="1:39">
      <c r="B1941" s="799" t="s">
        <v>433</v>
      </c>
      <c r="C1941" s="949" t="s">
        <v>4303</v>
      </c>
      <c r="D1941" s="6">
        <v>200106695</v>
      </c>
      <c r="E1941" s="1469" t="s">
        <v>1131</v>
      </c>
      <c r="F1941" s="749">
        <v>8</v>
      </c>
      <c r="G1941" s="3" t="s">
        <v>60</v>
      </c>
      <c r="H1941" s="3" t="s">
        <v>128</v>
      </c>
      <c r="I1941" s="858">
        <v>466.2</v>
      </c>
      <c r="J1941" s="858">
        <v>256.07</v>
      </c>
      <c r="K1941" s="3" t="s">
        <v>2512</v>
      </c>
      <c r="L1941" s="958">
        <v>45488</v>
      </c>
      <c r="M1941" s="958" t="s">
        <v>2512</v>
      </c>
      <c r="N1941" s="958">
        <v>45485</v>
      </c>
      <c r="O1941" s="761" t="s">
        <v>62</v>
      </c>
      <c r="P1941" s="3" t="s">
        <v>1132</v>
      </c>
      <c r="Q1941" s="785" t="s">
        <v>1133</v>
      </c>
      <c r="R1941" s="848"/>
      <c r="S1941" s="786" t="s">
        <v>130</v>
      </c>
      <c r="T1941" s="848"/>
      <c r="U1941" s="858">
        <v>278.60000000000002</v>
      </c>
      <c r="V1941" s="848"/>
      <c r="W1941" s="848"/>
      <c r="X1941" s="3" t="s">
        <v>2512</v>
      </c>
      <c r="Y1941" s="892">
        <v>45489</v>
      </c>
      <c r="Z1941" s="3" t="s">
        <v>62</v>
      </c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</row>
    <row r="1942" spans="1:39">
      <c r="B1942" s="799" t="s">
        <v>433</v>
      </c>
      <c r="C1942" s="949" t="s">
        <v>4303</v>
      </c>
      <c r="D1942" s="6">
        <v>200106696</v>
      </c>
      <c r="E1942" s="1469" t="s">
        <v>1134</v>
      </c>
      <c r="F1942" s="749">
        <v>9</v>
      </c>
      <c r="G1942" s="3" t="s">
        <v>60</v>
      </c>
      <c r="H1942" s="3" t="s">
        <v>128</v>
      </c>
      <c r="I1942" s="858">
        <v>467.4</v>
      </c>
      <c r="J1942" s="858">
        <v>254.1</v>
      </c>
      <c r="K1942" s="3" t="s">
        <v>2512</v>
      </c>
      <c r="L1942" s="958">
        <v>45488</v>
      </c>
      <c r="M1942" s="958" t="s">
        <v>2512</v>
      </c>
      <c r="N1942" s="958">
        <v>45489</v>
      </c>
      <c r="O1942" s="761" t="s">
        <v>62</v>
      </c>
      <c r="P1942" s="3" t="s">
        <v>1135</v>
      </c>
      <c r="Q1942" s="785" t="s">
        <v>1136</v>
      </c>
      <c r="R1942" s="848"/>
      <c r="S1942" s="786" t="s">
        <v>130</v>
      </c>
      <c r="T1942" s="848"/>
      <c r="U1942" s="858">
        <v>277.3</v>
      </c>
      <c r="V1942" s="848"/>
      <c r="W1942" s="848"/>
      <c r="X1942" s="3" t="s">
        <v>2512</v>
      </c>
      <c r="Y1942" s="892">
        <v>45489</v>
      </c>
      <c r="Z1942" s="3" t="s">
        <v>62</v>
      </c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</row>
    <row r="1943" spans="1:39">
      <c r="B1943" s="799" t="s">
        <v>433</v>
      </c>
      <c r="C1943" s="949" t="s">
        <v>4303</v>
      </c>
      <c r="D1943" s="6">
        <v>200106697</v>
      </c>
      <c r="E1943" s="1469" t="s">
        <v>1137</v>
      </c>
      <c r="F1943" s="749">
        <v>10</v>
      </c>
      <c r="G1943" s="3" t="s">
        <v>60</v>
      </c>
      <c r="H1943" s="3" t="s">
        <v>128</v>
      </c>
      <c r="I1943" s="858">
        <v>466.9</v>
      </c>
      <c r="J1943" s="858">
        <v>260.25</v>
      </c>
      <c r="K1943" s="3" t="s">
        <v>2512</v>
      </c>
      <c r="L1943" s="958">
        <v>45488</v>
      </c>
      <c r="M1943" s="958" t="s">
        <v>2512</v>
      </c>
      <c r="N1943" s="958">
        <v>45489</v>
      </c>
      <c r="O1943" s="761" t="s">
        <v>62</v>
      </c>
      <c r="P1943" s="3" t="s">
        <v>1138</v>
      </c>
      <c r="Q1943" s="3" t="s">
        <v>1139</v>
      </c>
      <c r="R1943" s="848"/>
      <c r="S1943" s="786" t="s">
        <v>130</v>
      </c>
      <c r="T1943" s="848"/>
      <c r="U1943" s="858">
        <v>283.39999999999998</v>
      </c>
      <c r="V1943" s="848"/>
      <c r="W1943" s="848"/>
      <c r="X1943" s="3" t="s">
        <v>2512</v>
      </c>
      <c r="Y1943" s="892">
        <v>45489</v>
      </c>
      <c r="Z1943" s="3" t="s">
        <v>62</v>
      </c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</row>
    <row r="1944" spans="1:39">
      <c r="B1944" s="799" t="s">
        <v>433</v>
      </c>
      <c r="C1944" s="949" t="s">
        <v>4303</v>
      </c>
      <c r="D1944" s="6">
        <v>200106698</v>
      </c>
      <c r="E1944" s="1469" t="s">
        <v>1140</v>
      </c>
      <c r="F1944" s="749">
        <v>11</v>
      </c>
      <c r="G1944" s="3" t="s">
        <v>60</v>
      </c>
      <c r="H1944" s="3" t="s">
        <v>128</v>
      </c>
      <c r="I1944" s="858">
        <v>464.3</v>
      </c>
      <c r="J1944" s="858">
        <v>258.14999999999998</v>
      </c>
      <c r="K1944" s="3" t="s">
        <v>2512</v>
      </c>
      <c r="L1944" s="958">
        <v>45490</v>
      </c>
      <c r="M1944" s="958" t="s">
        <v>2512</v>
      </c>
      <c r="N1944" s="958">
        <v>45489</v>
      </c>
      <c r="O1944" s="761" t="s">
        <v>62</v>
      </c>
      <c r="P1944" s="785" t="s">
        <v>1141</v>
      </c>
      <c r="Q1944" s="3" t="s">
        <v>1142</v>
      </c>
      <c r="R1944" s="848"/>
      <c r="S1944" s="786" t="s">
        <v>130</v>
      </c>
      <c r="T1944" s="848"/>
      <c r="U1944" s="858">
        <v>280.89999999999998</v>
      </c>
      <c r="V1944" s="848"/>
      <c r="W1944" s="848"/>
      <c r="X1944" s="3" t="s">
        <v>2512</v>
      </c>
      <c r="Y1944" s="892">
        <v>45489</v>
      </c>
      <c r="Z1944" s="3" t="s">
        <v>62</v>
      </c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</row>
    <row r="1945" spans="1:39">
      <c r="B1945" s="799" t="s">
        <v>433</v>
      </c>
      <c r="C1945" s="949" t="s">
        <v>4303</v>
      </c>
      <c r="D1945" s="6">
        <v>200106699</v>
      </c>
      <c r="E1945" s="1469" t="s">
        <v>1143</v>
      </c>
      <c r="F1945" s="749">
        <v>12</v>
      </c>
      <c r="G1945" s="3" t="s">
        <v>60</v>
      </c>
      <c r="H1945" s="3" t="s">
        <v>128</v>
      </c>
      <c r="I1945" s="858">
        <v>464.3</v>
      </c>
      <c r="J1945" s="858">
        <v>262</v>
      </c>
      <c r="K1945" s="3" t="s">
        <v>2512</v>
      </c>
      <c r="L1945" s="958">
        <v>45490</v>
      </c>
      <c r="M1945" s="958" t="s">
        <v>2512</v>
      </c>
      <c r="N1945" s="958">
        <v>45489</v>
      </c>
      <c r="O1945" s="761" t="s">
        <v>62</v>
      </c>
      <c r="P1945" s="785" t="s">
        <v>1144</v>
      </c>
      <c r="Q1945" s="785" t="s">
        <v>1145</v>
      </c>
      <c r="R1945" s="848"/>
      <c r="S1945" s="786" t="s">
        <v>130</v>
      </c>
      <c r="T1945" s="848"/>
      <c r="U1945" s="858">
        <v>284.7</v>
      </c>
      <c r="V1945" s="848"/>
      <c r="W1945" s="848"/>
      <c r="X1945" s="3" t="s">
        <v>2512</v>
      </c>
      <c r="Y1945" s="892">
        <v>45489</v>
      </c>
      <c r="Z1945" s="3" t="s">
        <v>62</v>
      </c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</row>
    <row r="1946" spans="1:39">
      <c r="B1946" s="799" t="s">
        <v>433</v>
      </c>
      <c r="C1946" s="949" t="s">
        <v>4303</v>
      </c>
      <c r="D1946" s="6">
        <v>200106720</v>
      </c>
      <c r="E1946" s="1469" t="s">
        <v>1146</v>
      </c>
      <c r="F1946" s="749">
        <v>13</v>
      </c>
      <c r="G1946" s="3" t="s">
        <v>60</v>
      </c>
      <c r="H1946" s="3" t="s">
        <v>128</v>
      </c>
      <c r="I1946" s="865">
        <v>466.5</v>
      </c>
      <c r="J1946" s="858">
        <v>253.69</v>
      </c>
      <c r="K1946" s="3" t="s">
        <v>2512</v>
      </c>
      <c r="L1946" s="958">
        <v>45490</v>
      </c>
      <c r="M1946" s="958" t="s">
        <v>2512</v>
      </c>
      <c r="N1946" s="958">
        <v>45491</v>
      </c>
      <c r="O1946" s="761" t="s">
        <v>62</v>
      </c>
      <c r="P1946" s="3" t="s">
        <v>1147</v>
      </c>
      <c r="Q1946" s="785" t="s">
        <v>1148</v>
      </c>
      <c r="R1946" s="848"/>
      <c r="S1946" s="786" t="s">
        <v>130</v>
      </c>
      <c r="T1946" s="848"/>
      <c r="U1946" s="858">
        <v>276.39999999999998</v>
      </c>
      <c r="V1946" s="848"/>
      <c r="W1946" s="848"/>
      <c r="X1946" s="3" t="s">
        <v>2512</v>
      </c>
      <c r="Y1946" s="892">
        <v>45491</v>
      </c>
      <c r="Z1946" s="3" t="s">
        <v>62</v>
      </c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</row>
    <row r="1947" spans="1:39">
      <c r="B1947" s="799" t="s">
        <v>433</v>
      </c>
      <c r="C1947" s="949" t="s">
        <v>4303</v>
      </c>
      <c r="D1947" s="6">
        <v>200106721</v>
      </c>
      <c r="E1947" s="1469" t="s">
        <v>1149</v>
      </c>
      <c r="F1947" s="749">
        <v>14</v>
      </c>
      <c r="G1947" s="3" t="s">
        <v>60</v>
      </c>
      <c r="H1947" s="3" t="s">
        <v>128</v>
      </c>
      <c r="I1947" s="865">
        <v>470.8</v>
      </c>
      <c r="J1947" s="858">
        <v>259.89</v>
      </c>
      <c r="K1947" s="3" t="s">
        <v>2512</v>
      </c>
      <c r="L1947" s="958">
        <v>45490</v>
      </c>
      <c r="M1947" s="958" t="s">
        <v>2512</v>
      </c>
      <c r="N1947" s="958">
        <v>45491</v>
      </c>
      <c r="O1947" s="761" t="s">
        <v>62</v>
      </c>
      <c r="P1947" s="3" t="s">
        <v>1150</v>
      </c>
      <c r="Q1947" s="785" t="s">
        <v>1151</v>
      </c>
      <c r="R1947" s="848"/>
      <c r="S1947" s="786" t="s">
        <v>130</v>
      </c>
      <c r="T1947" s="848"/>
      <c r="U1947" s="858">
        <v>282.7</v>
      </c>
      <c r="V1947" s="848"/>
      <c r="W1947" s="848"/>
      <c r="X1947" s="3" t="s">
        <v>2512</v>
      </c>
      <c r="Y1947" s="892">
        <v>45491</v>
      </c>
      <c r="Z1947" s="3" t="s">
        <v>62</v>
      </c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</row>
    <row r="1948" spans="1:39">
      <c r="B1948" s="799" t="s">
        <v>433</v>
      </c>
      <c r="C1948" s="949" t="s">
        <v>4303</v>
      </c>
      <c r="D1948" s="6">
        <v>200106722</v>
      </c>
      <c r="E1948" s="1469" t="s">
        <v>1152</v>
      </c>
      <c r="F1948" s="749">
        <v>15</v>
      </c>
      <c r="G1948" s="3" t="s">
        <v>60</v>
      </c>
      <c r="H1948" s="3" t="s">
        <v>128</v>
      </c>
      <c r="I1948" s="858">
        <v>462.6</v>
      </c>
      <c r="J1948" s="858">
        <v>261.94</v>
      </c>
      <c r="K1948" s="3" t="s">
        <v>2512</v>
      </c>
      <c r="L1948" s="958">
        <v>45492</v>
      </c>
      <c r="M1948" s="958" t="s">
        <v>2512</v>
      </c>
      <c r="N1948" s="958">
        <v>45491</v>
      </c>
      <c r="O1948" s="761" t="s">
        <v>62</v>
      </c>
      <c r="P1948" s="785" t="s">
        <v>1153</v>
      </c>
      <c r="Q1948" s="3" t="s">
        <v>1154</v>
      </c>
      <c r="R1948" s="848"/>
      <c r="S1948" s="786" t="s">
        <v>130</v>
      </c>
      <c r="T1948" s="848"/>
      <c r="U1948" s="858">
        <v>284.7</v>
      </c>
      <c r="V1948" s="848"/>
      <c r="W1948" s="848"/>
      <c r="X1948" s="3" t="s">
        <v>2512</v>
      </c>
      <c r="Y1948" s="892">
        <v>45491</v>
      </c>
      <c r="Z1948" s="3" t="s">
        <v>62</v>
      </c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</row>
    <row r="1949" spans="1:39">
      <c r="B1949" s="799" t="s">
        <v>433</v>
      </c>
      <c r="C1949" s="949" t="s">
        <v>4303</v>
      </c>
      <c r="D1949" s="6">
        <v>200106723</v>
      </c>
      <c r="E1949" s="1469" t="s">
        <v>1155</v>
      </c>
      <c r="F1949" s="749">
        <v>16</v>
      </c>
      <c r="G1949" s="3" t="s">
        <v>60</v>
      </c>
      <c r="H1949" s="3" t="s">
        <v>128</v>
      </c>
      <c r="I1949" s="858">
        <v>465.4</v>
      </c>
      <c r="J1949" s="858">
        <v>262.06</v>
      </c>
      <c r="K1949" s="3" t="s">
        <v>2512</v>
      </c>
      <c r="L1949" s="958">
        <v>45492</v>
      </c>
      <c r="M1949" s="958" t="s">
        <v>2512</v>
      </c>
      <c r="N1949" s="958">
        <v>45491</v>
      </c>
      <c r="O1949" s="761" t="s">
        <v>62</v>
      </c>
      <c r="P1949" s="785" t="s">
        <v>1156</v>
      </c>
      <c r="Q1949" s="3" t="s">
        <v>1157</v>
      </c>
      <c r="R1949" s="848"/>
      <c r="S1949" s="786" t="s">
        <v>130</v>
      </c>
      <c r="T1949" s="848"/>
      <c r="U1949" s="858">
        <v>284.8</v>
      </c>
      <c r="V1949" s="848"/>
      <c r="W1949" s="848"/>
      <c r="X1949" s="3" t="s">
        <v>2512</v>
      </c>
      <c r="Y1949" s="892">
        <v>45491</v>
      </c>
      <c r="Z1949" s="3" t="s">
        <v>62</v>
      </c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</row>
    <row r="1950" spans="1:39">
      <c r="B1950" s="799" t="s">
        <v>433</v>
      </c>
      <c r="C1950" s="949" t="s">
        <v>4303</v>
      </c>
      <c r="D1950" s="6">
        <v>200106724</v>
      </c>
      <c r="E1950" s="1469" t="s">
        <v>1158</v>
      </c>
      <c r="F1950" s="749">
        <v>17</v>
      </c>
      <c r="G1950" s="3" t="s">
        <v>60</v>
      </c>
      <c r="H1950" s="3" t="s">
        <v>128</v>
      </c>
      <c r="I1950" s="858">
        <v>470.8</v>
      </c>
      <c r="J1950" s="858">
        <v>258.07</v>
      </c>
      <c r="K1950" s="3" t="s">
        <v>2512</v>
      </c>
      <c r="L1950" s="958">
        <v>45492</v>
      </c>
      <c r="M1950" s="958" t="s">
        <v>2512</v>
      </c>
      <c r="N1950" s="958">
        <v>45492</v>
      </c>
      <c r="O1950" s="761" t="s">
        <v>62</v>
      </c>
      <c r="P1950" s="3" t="s">
        <v>1159</v>
      </c>
      <c r="Q1950" s="3" t="s">
        <v>1160</v>
      </c>
      <c r="R1950" s="848"/>
      <c r="S1950" s="786" t="s">
        <v>130</v>
      </c>
      <c r="T1950" s="848"/>
      <c r="U1950" s="858">
        <v>280.60000000000002</v>
      </c>
      <c r="V1950" s="848"/>
      <c r="W1950" s="848"/>
      <c r="X1950" s="3" t="s">
        <v>2512</v>
      </c>
      <c r="Y1950" s="892">
        <v>45496</v>
      </c>
      <c r="Z1950" s="3" t="s">
        <v>62</v>
      </c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</row>
    <row r="1951" spans="1:39" s="707" customFormat="1">
      <c r="A1951"/>
      <c r="B1951" s="951" t="s">
        <v>13</v>
      </c>
      <c r="C1951" s="952" t="s">
        <v>3321</v>
      </c>
      <c r="D1951" s="862"/>
      <c r="E1951" s="807"/>
      <c r="F1951" s="808"/>
      <c r="G1951" s="807"/>
      <c r="H1951" s="807"/>
      <c r="I1951" s="820"/>
      <c r="J1951" s="837"/>
      <c r="K1951" s="807"/>
      <c r="L1951" s="819"/>
      <c r="M1951" s="819"/>
      <c r="N1951" s="819"/>
      <c r="O1951" s="819"/>
      <c r="P1951" s="807"/>
      <c r="Q1951" s="807"/>
      <c r="R1951" s="807"/>
      <c r="S1951" s="807"/>
      <c r="T1951" s="807"/>
      <c r="U1951" s="837"/>
      <c r="V1951" s="807"/>
      <c r="W1951" s="807"/>
      <c r="X1951" s="819"/>
      <c r="Y1951" s="961"/>
      <c r="Z1951" s="819"/>
      <c r="AA1951" s="710"/>
      <c r="AB1951" s="710"/>
      <c r="AC1951" s="710"/>
      <c r="AD1951" s="710"/>
      <c r="AE1951" s="710"/>
      <c r="AF1951" s="710"/>
      <c r="AG1951" s="710"/>
      <c r="AH1951" s="710"/>
      <c r="AI1951" s="710"/>
      <c r="AJ1951" s="710"/>
      <c r="AK1951" s="710"/>
      <c r="AL1951" s="710"/>
      <c r="AM1951" s="710"/>
    </row>
    <row r="1952" spans="1:39">
      <c r="B1952" s="1497" t="s">
        <v>100</v>
      </c>
      <c r="C1952" s="949" t="s">
        <v>4303</v>
      </c>
      <c r="D1952" s="6">
        <v>200106805</v>
      </c>
      <c r="E1952" s="1469" t="s">
        <v>1161</v>
      </c>
      <c r="F1952" s="749">
        <v>1</v>
      </c>
      <c r="G1952" s="3" t="s">
        <v>60</v>
      </c>
      <c r="H1952" s="3" t="s">
        <v>128</v>
      </c>
      <c r="I1952" s="858">
        <v>460.1</v>
      </c>
      <c r="J1952" s="858">
        <v>257.39999999999998</v>
      </c>
      <c r="K1952" s="3" t="s">
        <v>2512</v>
      </c>
      <c r="L1952" s="958">
        <v>45496</v>
      </c>
      <c r="M1952" s="958" t="s">
        <v>2512</v>
      </c>
      <c r="N1952" s="958">
        <v>45496</v>
      </c>
      <c r="O1952" s="761" t="s">
        <v>62</v>
      </c>
      <c r="P1952" s="3" t="s">
        <v>1162</v>
      </c>
      <c r="Q1952" s="785" t="s">
        <v>1163</v>
      </c>
      <c r="R1952" s="848"/>
      <c r="S1952" s="786" t="s">
        <v>130</v>
      </c>
      <c r="T1952" s="848"/>
      <c r="U1952" s="858">
        <v>280.3</v>
      </c>
      <c r="V1952" s="848"/>
      <c r="W1952" s="848"/>
      <c r="X1952" s="3" t="s">
        <v>2512</v>
      </c>
      <c r="Y1952" s="892">
        <v>45496</v>
      </c>
      <c r="Z1952" s="3" t="s">
        <v>62</v>
      </c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</row>
    <row r="1953" spans="2:39">
      <c r="B1953" s="799" t="s">
        <v>100</v>
      </c>
      <c r="C1953" s="949" t="s">
        <v>4303</v>
      </c>
      <c r="D1953" s="6">
        <v>200106806</v>
      </c>
      <c r="E1953" s="1469" t="s">
        <v>1164</v>
      </c>
      <c r="F1953" s="749">
        <v>2</v>
      </c>
      <c r="G1953" s="3" t="s">
        <v>60</v>
      </c>
      <c r="H1953" s="3" t="s">
        <v>128</v>
      </c>
      <c r="I1953" s="858">
        <v>469.4</v>
      </c>
      <c r="J1953" s="858">
        <v>260.73</v>
      </c>
      <c r="K1953" s="3" t="s">
        <v>2512</v>
      </c>
      <c r="L1953" s="958">
        <v>45496</v>
      </c>
      <c r="M1953" s="958" t="s">
        <v>2512</v>
      </c>
      <c r="N1953" s="958">
        <v>45496</v>
      </c>
      <c r="O1953" s="761" t="s">
        <v>62</v>
      </c>
      <c r="P1953" s="3" t="s">
        <v>1165</v>
      </c>
      <c r="Q1953" s="785" t="s">
        <v>1166</v>
      </c>
      <c r="R1953" s="848"/>
      <c r="S1953" s="786" t="s">
        <v>130</v>
      </c>
      <c r="T1953" s="848"/>
      <c r="U1953" s="858">
        <v>283.60000000000002</v>
      </c>
      <c r="V1953" s="848"/>
      <c r="W1953" s="848"/>
      <c r="X1953" s="3" t="s">
        <v>2512</v>
      </c>
      <c r="Y1953" s="892">
        <v>45496</v>
      </c>
      <c r="Z1953" s="3" t="s">
        <v>62</v>
      </c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</row>
    <row r="1954" spans="2:39">
      <c r="B1954" s="799" t="s">
        <v>100</v>
      </c>
      <c r="C1954" s="949" t="s">
        <v>4303</v>
      </c>
      <c r="D1954" s="6">
        <v>200107050</v>
      </c>
      <c r="E1954" s="1469" t="s">
        <v>1167</v>
      </c>
      <c r="F1954" s="749">
        <v>3</v>
      </c>
      <c r="G1954" s="3" t="s">
        <v>60</v>
      </c>
      <c r="H1954" s="3" t="s">
        <v>128</v>
      </c>
      <c r="I1954" s="858">
        <v>461.5</v>
      </c>
      <c r="J1954" s="865">
        <v>255.72</v>
      </c>
      <c r="K1954" s="3" t="s">
        <v>2556</v>
      </c>
      <c r="L1954" s="958">
        <v>45512</v>
      </c>
      <c r="M1954" s="958" t="s">
        <v>2556</v>
      </c>
      <c r="N1954" s="958">
        <v>45512</v>
      </c>
      <c r="O1954" s="761" t="s">
        <v>62</v>
      </c>
      <c r="P1954" s="3" t="s">
        <v>1168</v>
      </c>
      <c r="Q1954" s="785" t="s">
        <v>1169</v>
      </c>
      <c r="R1954" s="848"/>
      <c r="S1954" s="786" t="s">
        <v>130</v>
      </c>
      <c r="T1954" s="848"/>
      <c r="U1954" s="865">
        <v>278.8</v>
      </c>
      <c r="V1954" s="848"/>
      <c r="W1954" s="848"/>
      <c r="X1954" s="3" t="s">
        <v>2556</v>
      </c>
      <c r="Y1954" s="892">
        <v>45513</v>
      </c>
      <c r="Z1954" s="3" t="s">
        <v>62</v>
      </c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</row>
    <row r="1955" spans="2:39">
      <c r="B1955" s="799" t="s">
        <v>100</v>
      </c>
      <c r="C1955" s="949" t="s">
        <v>4303</v>
      </c>
      <c r="D1955" s="6">
        <v>200107051</v>
      </c>
      <c r="E1955" s="1469" t="s">
        <v>1170</v>
      </c>
      <c r="F1955" s="749">
        <v>4</v>
      </c>
      <c r="G1955" s="3" t="s">
        <v>60</v>
      </c>
      <c r="H1955" s="3" t="s">
        <v>128</v>
      </c>
      <c r="I1955" s="858">
        <v>467.9</v>
      </c>
      <c r="J1955" s="865">
        <v>258.35000000000002</v>
      </c>
      <c r="K1955" s="3" t="s">
        <v>2556</v>
      </c>
      <c r="L1955" s="958">
        <v>45512</v>
      </c>
      <c r="M1955" s="958" t="s">
        <v>2556</v>
      </c>
      <c r="N1955" s="958">
        <v>45512</v>
      </c>
      <c r="O1955" s="761" t="s">
        <v>62</v>
      </c>
      <c r="P1955" s="3" t="s">
        <v>1171</v>
      </c>
      <c r="Q1955" s="3" t="s">
        <v>1172</v>
      </c>
      <c r="R1955" s="848"/>
      <c r="S1955" s="786" t="s">
        <v>130</v>
      </c>
      <c r="T1955" s="848"/>
      <c r="U1955" s="865">
        <v>281.39999999999998</v>
      </c>
      <c r="V1955" s="848"/>
      <c r="W1955" s="848"/>
      <c r="X1955" s="3" t="s">
        <v>2556</v>
      </c>
      <c r="Y1955" s="892">
        <v>45513</v>
      </c>
      <c r="Z1955" s="3" t="s">
        <v>62</v>
      </c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</row>
    <row r="1956" spans="2:39">
      <c r="B1956" s="799" t="s">
        <v>100</v>
      </c>
      <c r="C1956" s="949" t="s">
        <v>4303</v>
      </c>
      <c r="D1956" s="6">
        <v>200107052</v>
      </c>
      <c r="E1956" s="1469" t="s">
        <v>1173</v>
      </c>
      <c r="F1956" s="749">
        <v>5</v>
      </c>
      <c r="G1956" s="3" t="s">
        <v>60</v>
      </c>
      <c r="H1956" s="3" t="s">
        <v>128</v>
      </c>
      <c r="I1956" s="858">
        <v>464.4</v>
      </c>
      <c r="J1956" s="865">
        <v>258.35000000000002</v>
      </c>
      <c r="K1956" s="3" t="s">
        <v>2556</v>
      </c>
      <c r="L1956" s="958">
        <v>45512</v>
      </c>
      <c r="M1956" s="958" t="s">
        <v>2556</v>
      </c>
      <c r="N1956" s="958">
        <v>45512</v>
      </c>
      <c r="O1956" s="761" t="s">
        <v>62</v>
      </c>
      <c r="P1956" s="3" t="s">
        <v>1174</v>
      </c>
      <c r="Q1956" s="3" t="s">
        <v>1175</v>
      </c>
      <c r="R1956" s="848"/>
      <c r="S1956" s="786" t="s">
        <v>130</v>
      </c>
      <c r="T1956" s="848"/>
      <c r="U1956" s="858">
        <v>283.5</v>
      </c>
      <c r="V1956" s="848"/>
      <c r="W1956" s="848"/>
      <c r="X1956" s="3" t="s">
        <v>2556</v>
      </c>
      <c r="Y1956" s="892">
        <v>45513</v>
      </c>
      <c r="Z1956" s="3" t="s">
        <v>62</v>
      </c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</row>
    <row r="1957" spans="2:39">
      <c r="B1957" s="799" t="s">
        <v>100</v>
      </c>
      <c r="C1957" s="949" t="s">
        <v>4303</v>
      </c>
      <c r="D1957" s="6">
        <v>200107053</v>
      </c>
      <c r="E1957" s="1469" t="s">
        <v>1176</v>
      </c>
      <c r="F1957" s="749">
        <v>6</v>
      </c>
      <c r="G1957" s="3" t="s">
        <v>60</v>
      </c>
      <c r="H1957" s="3" t="s">
        <v>128</v>
      </c>
      <c r="I1957" s="858">
        <v>473.2</v>
      </c>
      <c r="J1957" s="865">
        <v>258.16000000000003</v>
      </c>
      <c r="K1957" s="3" t="s">
        <v>2556</v>
      </c>
      <c r="L1957" s="958">
        <v>45512</v>
      </c>
      <c r="M1957" s="958" t="s">
        <v>2556</v>
      </c>
      <c r="N1957" s="958">
        <v>45513</v>
      </c>
      <c r="O1957" s="761" t="s">
        <v>62</v>
      </c>
      <c r="P1957" s="3" t="s">
        <v>1177</v>
      </c>
      <c r="Q1957" s="785" t="s">
        <v>1178</v>
      </c>
      <c r="R1957" s="848"/>
      <c r="S1957" s="786" t="s">
        <v>130</v>
      </c>
      <c r="T1957" s="848"/>
      <c r="U1957" s="865">
        <v>281.10000000000002</v>
      </c>
      <c r="V1957" s="848"/>
      <c r="W1957" s="848"/>
      <c r="X1957" s="3" t="s">
        <v>2556</v>
      </c>
      <c r="Y1957" s="892">
        <v>45516</v>
      </c>
      <c r="Z1957" s="3" t="s">
        <v>62</v>
      </c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</row>
    <row r="1958" spans="2:39">
      <c r="B1958" s="799" t="s">
        <v>100</v>
      </c>
      <c r="C1958" s="949" t="s">
        <v>4303</v>
      </c>
      <c r="D1958" s="6">
        <v>200107054</v>
      </c>
      <c r="E1958" s="1469" t="s">
        <v>1179</v>
      </c>
      <c r="F1958" s="749">
        <v>7</v>
      </c>
      <c r="G1958" s="3" t="s">
        <v>60</v>
      </c>
      <c r="H1958" s="3" t="s">
        <v>128</v>
      </c>
      <c r="I1958" s="858">
        <v>462.9</v>
      </c>
      <c r="J1958" s="858">
        <v>256.47000000000003</v>
      </c>
      <c r="K1958" s="3" t="s">
        <v>2556</v>
      </c>
      <c r="L1958" s="958">
        <v>45513</v>
      </c>
      <c r="M1958" s="958" t="s">
        <v>2556</v>
      </c>
      <c r="N1958" s="958">
        <v>45513</v>
      </c>
      <c r="O1958" s="761" t="s">
        <v>62</v>
      </c>
      <c r="P1958" s="3" t="s">
        <v>1180</v>
      </c>
      <c r="Q1958" s="3" t="s">
        <v>1181</v>
      </c>
      <c r="R1958" s="848"/>
      <c r="S1958" s="786" t="s">
        <v>130</v>
      </c>
      <c r="T1958" s="848"/>
      <c r="U1958" s="865">
        <v>279.5</v>
      </c>
      <c r="V1958" s="848"/>
      <c r="W1958" s="848"/>
      <c r="X1958" s="3" t="s">
        <v>2556</v>
      </c>
      <c r="Y1958" s="892">
        <v>45516</v>
      </c>
      <c r="Z1958" s="3" t="s">
        <v>62</v>
      </c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</row>
    <row r="1959" spans="2:39">
      <c r="B1959" s="799" t="s">
        <v>100</v>
      </c>
      <c r="C1959" s="949" t="s">
        <v>4303</v>
      </c>
      <c r="D1959" s="6">
        <v>200107055</v>
      </c>
      <c r="E1959" s="1469" t="s">
        <v>1182</v>
      </c>
      <c r="F1959" s="749">
        <v>8</v>
      </c>
      <c r="G1959" s="3" t="s">
        <v>60</v>
      </c>
      <c r="H1959" s="3" t="s">
        <v>128</v>
      </c>
      <c r="I1959" s="858">
        <v>467.9</v>
      </c>
      <c r="J1959" s="858">
        <v>260.88</v>
      </c>
      <c r="K1959" s="3" t="s">
        <v>2556</v>
      </c>
      <c r="L1959" s="958">
        <v>45513</v>
      </c>
      <c r="M1959" s="958" t="s">
        <v>2556</v>
      </c>
      <c r="N1959" s="958">
        <v>45513</v>
      </c>
      <c r="O1959" s="761" t="s">
        <v>62</v>
      </c>
      <c r="P1959" s="3" t="s">
        <v>1183</v>
      </c>
      <c r="Q1959" s="3" t="s">
        <v>1184</v>
      </c>
      <c r="R1959" s="848"/>
      <c r="S1959" s="786" t="s">
        <v>130</v>
      </c>
      <c r="T1959" s="848"/>
      <c r="U1959" s="865">
        <v>284</v>
      </c>
      <c r="V1959" s="848"/>
      <c r="W1959" s="848"/>
      <c r="X1959" s="3" t="s">
        <v>2556</v>
      </c>
      <c r="Y1959" s="892">
        <v>45516</v>
      </c>
      <c r="Z1959" s="3" t="s">
        <v>62</v>
      </c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</row>
    <row r="1960" spans="2:39">
      <c r="B1960" s="799" t="s">
        <v>100</v>
      </c>
      <c r="C1960" s="949" t="s">
        <v>4303</v>
      </c>
      <c r="D1960" s="6">
        <v>200107056</v>
      </c>
      <c r="E1960" s="1469" t="s">
        <v>1185</v>
      </c>
      <c r="F1960" s="749">
        <v>9</v>
      </c>
      <c r="G1960" s="3" t="s">
        <v>60</v>
      </c>
      <c r="H1960" s="3" t="s">
        <v>128</v>
      </c>
      <c r="I1960" s="858">
        <v>467.6</v>
      </c>
      <c r="J1960" s="3">
        <v>259.02</v>
      </c>
      <c r="K1960" s="3" t="s">
        <v>2556</v>
      </c>
      <c r="L1960" s="958">
        <v>45513</v>
      </c>
      <c r="M1960" s="958" t="s">
        <v>2556</v>
      </c>
      <c r="N1960" s="958">
        <v>45513</v>
      </c>
      <c r="O1960" s="761" t="s">
        <v>62</v>
      </c>
      <c r="P1960" s="3" t="s">
        <v>1186</v>
      </c>
      <c r="Q1960" s="784" t="s">
        <v>1187</v>
      </c>
      <c r="R1960" s="848"/>
      <c r="S1960" s="786" t="s">
        <v>130</v>
      </c>
      <c r="T1960" s="848"/>
      <c r="U1960" s="865">
        <v>282</v>
      </c>
      <c r="V1960" s="848"/>
      <c r="W1960" s="848"/>
      <c r="X1960" s="3" t="s">
        <v>2556</v>
      </c>
      <c r="Y1960" s="892">
        <v>45516</v>
      </c>
      <c r="Z1960" s="3" t="s">
        <v>62</v>
      </c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</row>
    <row r="1961" spans="2:39">
      <c r="B1961" s="799" t="s">
        <v>100</v>
      </c>
      <c r="C1961" s="949" t="s">
        <v>4303</v>
      </c>
      <c r="D1961" s="6">
        <v>200107057</v>
      </c>
      <c r="E1961" s="1469" t="s">
        <v>1188</v>
      </c>
      <c r="F1961" s="749">
        <v>10</v>
      </c>
      <c r="G1961" s="3" t="s">
        <v>60</v>
      </c>
      <c r="H1961" s="3" t="s">
        <v>128</v>
      </c>
      <c r="I1961" s="865">
        <v>471.3</v>
      </c>
      <c r="J1961" s="865">
        <v>252.75</v>
      </c>
      <c r="K1961" s="3" t="s">
        <v>2556</v>
      </c>
      <c r="L1961" s="958">
        <v>45516</v>
      </c>
      <c r="M1961" s="958" t="s">
        <v>2556</v>
      </c>
      <c r="N1961" s="958">
        <v>45516</v>
      </c>
      <c r="O1961" s="761" t="s">
        <v>62</v>
      </c>
      <c r="P1961" s="3" t="s">
        <v>1189</v>
      </c>
      <c r="Q1961" s="785" t="s">
        <v>1190</v>
      </c>
      <c r="R1961" s="848"/>
      <c r="S1961" s="786" t="s">
        <v>130</v>
      </c>
      <c r="T1961" s="848"/>
      <c r="U1961" s="865">
        <v>275.7</v>
      </c>
      <c r="V1961" s="848"/>
      <c r="W1961" s="848"/>
      <c r="X1961" s="3" t="s">
        <v>2556</v>
      </c>
      <c r="Y1961" s="892">
        <v>45517</v>
      </c>
      <c r="Z1961" s="3" t="s">
        <v>62</v>
      </c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</row>
    <row r="1962" spans="2:39">
      <c r="B1962" s="799" t="s">
        <v>100</v>
      </c>
      <c r="C1962" s="949" t="s">
        <v>4303</v>
      </c>
      <c r="D1962" s="6">
        <v>200107058</v>
      </c>
      <c r="E1962" s="1469" t="s">
        <v>1191</v>
      </c>
      <c r="F1962" s="749">
        <v>11</v>
      </c>
      <c r="G1962" s="3" t="s">
        <v>60</v>
      </c>
      <c r="H1962" s="3" t="s">
        <v>128</v>
      </c>
      <c r="I1962" s="858">
        <v>461.5</v>
      </c>
      <c r="J1962" s="858">
        <v>260.52999999999997</v>
      </c>
      <c r="K1962" s="3" t="s">
        <v>2556</v>
      </c>
      <c r="L1962" s="958">
        <v>45516</v>
      </c>
      <c r="M1962" s="958" t="s">
        <v>2556</v>
      </c>
      <c r="N1962" s="958">
        <v>45516</v>
      </c>
      <c r="O1962" s="761" t="s">
        <v>62</v>
      </c>
      <c r="P1962" s="785" t="s">
        <v>1192</v>
      </c>
      <c r="Q1962" s="3" t="s">
        <v>1193</v>
      </c>
      <c r="R1962" s="848"/>
      <c r="S1962" s="786" t="s">
        <v>130</v>
      </c>
      <c r="T1962" s="848"/>
      <c r="U1962" s="865">
        <v>283.5</v>
      </c>
      <c r="V1962" s="848"/>
      <c r="W1962" s="848"/>
      <c r="X1962" s="3" t="s">
        <v>2556</v>
      </c>
      <c r="Y1962" s="892">
        <v>45517</v>
      </c>
      <c r="Z1962" s="3" t="s">
        <v>62</v>
      </c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</row>
    <row r="1963" spans="2:39">
      <c r="B1963" s="799" t="s">
        <v>100</v>
      </c>
      <c r="C1963" s="949" t="s">
        <v>4303</v>
      </c>
      <c r="D1963" s="6">
        <v>200107059</v>
      </c>
      <c r="E1963" s="1469" t="s">
        <v>1194</v>
      </c>
      <c r="F1963" s="749">
        <v>12</v>
      </c>
      <c r="G1963" s="3" t="s">
        <v>60</v>
      </c>
      <c r="H1963" s="3" t="s">
        <v>128</v>
      </c>
      <c r="I1963" s="858">
        <v>468.8</v>
      </c>
      <c r="J1963" s="858">
        <v>260.5</v>
      </c>
      <c r="K1963" s="3" t="s">
        <v>2556</v>
      </c>
      <c r="L1963" s="958">
        <v>45516</v>
      </c>
      <c r="M1963" s="958" t="s">
        <v>2556</v>
      </c>
      <c r="N1963" s="958">
        <v>45516</v>
      </c>
      <c r="O1963" s="761" t="s">
        <v>62</v>
      </c>
      <c r="P1963" s="785" t="s">
        <v>1195</v>
      </c>
      <c r="Q1963" s="3" t="s">
        <v>1196</v>
      </c>
      <c r="R1963" s="848"/>
      <c r="S1963" s="786" t="s">
        <v>130</v>
      </c>
      <c r="T1963" s="848"/>
      <c r="U1963" s="865">
        <v>283.5</v>
      </c>
      <c r="V1963" s="848"/>
      <c r="W1963" s="848"/>
      <c r="X1963" s="3" t="s">
        <v>2556</v>
      </c>
      <c r="Y1963" s="892">
        <v>45517</v>
      </c>
      <c r="Z1963" s="3" t="s">
        <v>62</v>
      </c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</row>
    <row r="1964" spans="2:39">
      <c r="B1964" s="799" t="s">
        <v>100</v>
      </c>
      <c r="C1964" s="949" t="s">
        <v>4303</v>
      </c>
      <c r="D1964" s="6">
        <v>200107060</v>
      </c>
      <c r="E1964" s="1469" t="s">
        <v>1197</v>
      </c>
      <c r="F1964" s="749">
        <v>13</v>
      </c>
      <c r="G1964" s="3" t="s">
        <v>60</v>
      </c>
      <c r="H1964" s="3" t="s">
        <v>128</v>
      </c>
      <c r="I1964" s="865">
        <v>463.8</v>
      </c>
      <c r="J1964" s="865">
        <v>252.21</v>
      </c>
      <c r="K1964" s="3" t="s">
        <v>2556</v>
      </c>
      <c r="L1964" s="958">
        <v>45517</v>
      </c>
      <c r="M1964" s="958" t="s">
        <v>2556</v>
      </c>
      <c r="N1964" s="958">
        <v>45517</v>
      </c>
      <c r="O1964" s="761" t="s">
        <v>62</v>
      </c>
      <c r="P1964" s="3" t="s">
        <v>1198</v>
      </c>
      <c r="Q1964" s="3" t="s">
        <v>1199</v>
      </c>
      <c r="R1964" s="848"/>
      <c r="S1964" s="786" t="s">
        <v>130</v>
      </c>
      <c r="T1964" s="848"/>
      <c r="U1964" s="865">
        <v>275.2</v>
      </c>
      <c r="V1964" s="848"/>
      <c r="W1964" s="848"/>
      <c r="X1964" s="3" t="s">
        <v>2556</v>
      </c>
      <c r="Y1964" s="892">
        <v>45517</v>
      </c>
      <c r="Z1964" s="3" t="s">
        <v>62</v>
      </c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</row>
    <row r="1965" spans="2:39">
      <c r="B1965" s="799" t="s">
        <v>100</v>
      </c>
      <c r="C1965" s="949" t="s">
        <v>4303</v>
      </c>
      <c r="D1965" s="6">
        <v>200107061</v>
      </c>
      <c r="E1965" s="1469" t="s">
        <v>1200</v>
      </c>
      <c r="F1965" s="749">
        <v>14</v>
      </c>
      <c r="G1965" s="3" t="s">
        <v>60</v>
      </c>
      <c r="H1965" s="3" t="s">
        <v>128</v>
      </c>
      <c r="I1965" s="858">
        <f>156.8+155.8+154.7</f>
        <v>467.3</v>
      </c>
      <c r="J1965" s="865">
        <v>258.55</v>
      </c>
      <c r="K1965" s="3" t="s">
        <v>2556</v>
      </c>
      <c r="L1965" s="958">
        <v>45517</v>
      </c>
      <c r="M1965" s="958" t="s">
        <v>2556</v>
      </c>
      <c r="N1965" s="958">
        <v>45517</v>
      </c>
      <c r="O1965" s="761" t="s">
        <v>62</v>
      </c>
      <c r="P1965" s="785" t="s">
        <v>1201</v>
      </c>
      <c r="Q1965" s="3" t="s">
        <v>1202</v>
      </c>
      <c r="R1965" s="848"/>
      <c r="S1965" s="786" t="s">
        <v>130</v>
      </c>
      <c r="T1965" s="848"/>
      <c r="U1965" s="858">
        <v>281.5</v>
      </c>
      <c r="V1965" s="848"/>
      <c r="W1965" s="848"/>
      <c r="X1965" s="3" t="s">
        <v>2556</v>
      </c>
      <c r="Y1965" s="892">
        <v>45517</v>
      </c>
      <c r="Z1965" s="3" t="s">
        <v>62</v>
      </c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</row>
    <row r="1966" spans="2:39">
      <c r="B1966" s="799" t="s">
        <v>100</v>
      </c>
      <c r="C1966" s="949" t="s">
        <v>4303</v>
      </c>
      <c r="D1966" s="6">
        <v>200107062</v>
      </c>
      <c r="E1966" s="1469" t="s">
        <v>1203</v>
      </c>
      <c r="F1966" s="749">
        <v>15</v>
      </c>
      <c r="G1966" s="3" t="s">
        <v>60</v>
      </c>
      <c r="H1966" s="3" t="s">
        <v>128</v>
      </c>
      <c r="I1966" s="858">
        <f>153.5+156.2+156.4</f>
        <v>466.1</v>
      </c>
      <c r="J1966" s="858">
        <f>131.36+130.2</f>
        <v>261.56</v>
      </c>
      <c r="K1966" s="3" t="s">
        <v>2556</v>
      </c>
      <c r="L1966" s="958">
        <v>45517</v>
      </c>
      <c r="M1966" s="958" t="s">
        <v>2556</v>
      </c>
      <c r="N1966" s="958">
        <v>45517</v>
      </c>
      <c r="O1966" s="761" t="s">
        <v>62</v>
      </c>
      <c r="P1966" s="3" t="s">
        <v>1204</v>
      </c>
      <c r="Q1966" s="3" t="s">
        <v>1205</v>
      </c>
      <c r="R1966" s="848"/>
      <c r="S1966" s="786" t="s">
        <v>130</v>
      </c>
      <c r="T1966" s="848"/>
      <c r="U1966" s="865">
        <v>284.5</v>
      </c>
      <c r="V1966" s="848"/>
      <c r="W1966" s="848"/>
      <c r="X1966" s="3" t="s">
        <v>2556</v>
      </c>
      <c r="Y1966" s="892">
        <v>45519</v>
      </c>
      <c r="Z1966" s="3" t="s">
        <v>62</v>
      </c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</row>
    <row r="1967" spans="2:39">
      <c r="B1967" s="799" t="s">
        <v>100</v>
      </c>
      <c r="C1967" s="949" t="s">
        <v>4303</v>
      </c>
      <c r="D1967" s="6">
        <v>200107063</v>
      </c>
      <c r="E1967" s="1469" t="s">
        <v>1206</v>
      </c>
      <c r="F1967" s="749">
        <v>16</v>
      </c>
      <c r="G1967" s="3" t="s">
        <v>60</v>
      </c>
      <c r="H1967" s="3" t="s">
        <v>128</v>
      </c>
      <c r="I1967" s="865">
        <v>467.6</v>
      </c>
      <c r="J1967" s="858">
        <v>261.92</v>
      </c>
      <c r="K1967" s="3" t="s">
        <v>2556</v>
      </c>
      <c r="L1967" s="958">
        <v>45518</v>
      </c>
      <c r="M1967" s="958" t="s">
        <v>2556</v>
      </c>
      <c r="N1967" s="958">
        <v>45517</v>
      </c>
      <c r="O1967" s="761" t="s">
        <v>62</v>
      </c>
      <c r="P1967" s="3" t="s">
        <v>1207</v>
      </c>
      <c r="Q1967" s="785" t="s">
        <v>1208</v>
      </c>
      <c r="R1967" s="848"/>
      <c r="S1967" s="786" t="s">
        <v>130</v>
      </c>
      <c r="T1967" s="848"/>
      <c r="U1967" s="865">
        <v>284.8</v>
      </c>
      <c r="V1967" s="848"/>
      <c r="W1967" s="848"/>
      <c r="X1967" s="3" t="s">
        <v>2556</v>
      </c>
      <c r="Y1967" s="892">
        <v>45519</v>
      </c>
      <c r="Z1967" s="3" t="s">
        <v>62</v>
      </c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</row>
    <row r="1968" spans="2:39">
      <c r="B1968" s="799" t="s">
        <v>100</v>
      </c>
      <c r="C1968" s="949" t="s">
        <v>4303</v>
      </c>
      <c r="D1968" s="6">
        <v>200107064</v>
      </c>
      <c r="E1968" s="1469" t="s">
        <v>1209</v>
      </c>
      <c r="F1968" s="749">
        <v>17</v>
      </c>
      <c r="G1968" s="3" t="s">
        <v>60</v>
      </c>
      <c r="H1968" s="3" t="s">
        <v>128</v>
      </c>
      <c r="I1968" s="858">
        <f>153.1+157+156.3</f>
        <v>466.40000000000003</v>
      </c>
      <c r="J1968" s="865">
        <v>256.64999999999998</v>
      </c>
      <c r="K1968" s="3" t="s">
        <v>2556</v>
      </c>
      <c r="L1968" s="958">
        <v>45518</v>
      </c>
      <c r="M1968" s="958" t="s">
        <v>2556</v>
      </c>
      <c r="N1968" s="958">
        <v>45518</v>
      </c>
      <c r="O1968" s="761" t="s">
        <v>62</v>
      </c>
      <c r="P1968" s="3" t="s">
        <v>1210</v>
      </c>
      <c r="Q1968" s="3" t="s">
        <v>1172</v>
      </c>
      <c r="R1968" s="848"/>
      <c r="S1968" s="786" t="s">
        <v>130</v>
      </c>
      <c r="T1968" s="848"/>
      <c r="U1968" s="865">
        <v>279.60000000000002</v>
      </c>
      <c r="V1968" s="848"/>
      <c r="W1968" s="848"/>
      <c r="X1968" s="3" t="s">
        <v>2556</v>
      </c>
      <c r="Y1968" s="892">
        <v>45519</v>
      </c>
      <c r="Z1968" s="3" t="s">
        <v>62</v>
      </c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</row>
    <row r="1969" spans="1:39" s="707" customFormat="1">
      <c r="A1969"/>
      <c r="B1969" s="951" t="s">
        <v>13</v>
      </c>
      <c r="C1969" s="952" t="s">
        <v>1760</v>
      </c>
      <c r="D1969" s="862"/>
      <c r="E1969" s="807"/>
      <c r="F1969" s="808"/>
      <c r="G1969" s="807"/>
      <c r="H1969" s="807"/>
      <c r="I1969" s="820"/>
      <c r="J1969" s="837"/>
      <c r="K1969" s="807"/>
      <c r="L1969" s="819"/>
      <c r="M1969" s="819"/>
      <c r="N1969" s="819"/>
      <c r="O1969" s="819"/>
      <c r="P1969" s="807"/>
      <c r="Q1969" s="807"/>
      <c r="R1969" s="807"/>
      <c r="S1969" s="807"/>
      <c r="T1969" s="807"/>
      <c r="U1969" s="837"/>
      <c r="V1969" s="807"/>
      <c r="W1969" s="807"/>
      <c r="X1969" s="819"/>
      <c r="Y1969" s="819"/>
      <c r="Z1969" s="819"/>
      <c r="AA1969" s="710"/>
      <c r="AB1969" s="710"/>
      <c r="AC1969" s="710"/>
      <c r="AD1969" s="710"/>
      <c r="AE1969" s="710"/>
      <c r="AF1969" s="710"/>
      <c r="AG1969" s="710"/>
      <c r="AH1969" s="710"/>
      <c r="AI1969" s="710"/>
      <c r="AJ1969" s="710"/>
      <c r="AK1969" s="710"/>
      <c r="AL1969" s="710"/>
      <c r="AM1969" s="710"/>
    </row>
    <row r="1970" spans="1:39">
      <c r="B1970" s="799" t="s">
        <v>541</v>
      </c>
      <c r="C1970" s="949" t="s">
        <v>4303</v>
      </c>
      <c r="D1970" s="6">
        <v>200107232</v>
      </c>
      <c r="E1970" s="3" t="s">
        <v>1212</v>
      </c>
      <c r="F1970" s="749">
        <v>1</v>
      </c>
      <c r="G1970" s="3" t="s">
        <v>60</v>
      </c>
      <c r="H1970" s="3" t="s">
        <v>128</v>
      </c>
      <c r="I1970" s="858">
        <v>462.7</v>
      </c>
      <c r="J1970" s="865">
        <v>254.07</v>
      </c>
      <c r="K1970" s="3" t="s">
        <v>2556</v>
      </c>
      <c r="L1970" s="958">
        <v>45531</v>
      </c>
      <c r="M1970" s="958" t="s">
        <v>2556</v>
      </c>
      <c r="N1970" s="958">
        <v>45531</v>
      </c>
      <c r="O1970" s="761" t="s">
        <v>62</v>
      </c>
      <c r="P1970" s="3" t="s">
        <v>1213</v>
      </c>
      <c r="Q1970" s="3" t="s">
        <v>1012</v>
      </c>
      <c r="R1970" s="848"/>
      <c r="S1970" s="786" t="s">
        <v>130</v>
      </c>
      <c r="T1970" s="848"/>
      <c r="U1970" s="858">
        <v>276.8</v>
      </c>
      <c r="V1970" s="848"/>
      <c r="W1970" s="848"/>
      <c r="X1970" s="3" t="s">
        <v>2556</v>
      </c>
      <c r="Y1970" s="892">
        <v>45531</v>
      </c>
      <c r="Z1970" s="3" t="s">
        <v>62</v>
      </c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</row>
    <row r="1971" spans="1:39">
      <c r="B1971" s="799" t="s">
        <v>541</v>
      </c>
      <c r="C1971" s="949" t="s">
        <v>4303</v>
      </c>
      <c r="D1971" s="6">
        <v>200107233</v>
      </c>
      <c r="E1971" s="3" t="s">
        <v>1214</v>
      </c>
      <c r="F1971" s="749">
        <v>2</v>
      </c>
      <c r="G1971" s="3" t="s">
        <v>60</v>
      </c>
      <c r="H1971" s="3" t="s">
        <v>128</v>
      </c>
      <c r="I1971" s="858">
        <v>467.1</v>
      </c>
      <c r="J1971" s="865">
        <f>130.81+129.04</f>
        <v>259.85000000000002</v>
      </c>
      <c r="K1971" s="3" t="s">
        <v>2556</v>
      </c>
      <c r="L1971" s="958">
        <v>45531</v>
      </c>
      <c r="M1971" s="958" t="s">
        <v>2556</v>
      </c>
      <c r="N1971" s="958">
        <v>45531</v>
      </c>
      <c r="O1971" s="761" t="s">
        <v>62</v>
      </c>
      <c r="P1971" s="3" t="s">
        <v>1215</v>
      </c>
      <c r="Q1971" s="3" t="s">
        <v>1216</v>
      </c>
      <c r="R1971" s="848"/>
      <c r="S1971" s="786" t="s">
        <v>130</v>
      </c>
      <c r="T1971" s="848"/>
      <c r="U1971" s="858">
        <v>282.60000000000002</v>
      </c>
      <c r="V1971" s="848"/>
      <c r="W1971" s="848"/>
      <c r="X1971" s="3" t="s">
        <v>2556</v>
      </c>
      <c r="Y1971" s="892">
        <v>45531</v>
      </c>
      <c r="Z1971" s="3" t="s">
        <v>62</v>
      </c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</row>
    <row r="1972" spans="1:39">
      <c r="B1972" s="799" t="s">
        <v>541</v>
      </c>
      <c r="C1972" s="949" t="s">
        <v>4303</v>
      </c>
      <c r="D1972" s="6">
        <v>200107234</v>
      </c>
      <c r="E1972" s="3" t="s">
        <v>1217</v>
      </c>
      <c r="F1972" s="749">
        <v>3</v>
      </c>
      <c r="G1972" s="3" t="s">
        <v>60</v>
      </c>
      <c r="H1972" s="3" t="s">
        <v>128</v>
      </c>
      <c r="I1972" s="865">
        <v>464.6</v>
      </c>
      <c r="J1972" s="858">
        <v>259.95999999999998</v>
      </c>
      <c r="K1972" s="3" t="s">
        <v>2556</v>
      </c>
      <c r="L1972" s="958">
        <v>45532</v>
      </c>
      <c r="M1972" s="958" t="s">
        <v>2556</v>
      </c>
      <c r="N1972" s="958">
        <v>45531</v>
      </c>
      <c r="O1972" s="761" t="s">
        <v>62</v>
      </c>
      <c r="P1972" s="3" t="s">
        <v>1218</v>
      </c>
      <c r="Q1972" s="3" t="s">
        <v>1219</v>
      </c>
      <c r="R1972" s="848"/>
      <c r="S1972" s="786" t="s">
        <v>130</v>
      </c>
      <c r="T1972" s="848"/>
      <c r="U1972" s="858">
        <v>282.8</v>
      </c>
      <c r="V1972" s="848"/>
      <c r="W1972" s="848"/>
      <c r="X1972" s="3" t="s">
        <v>2556</v>
      </c>
      <c r="Y1972" s="892">
        <v>45531</v>
      </c>
      <c r="Z1972" s="3" t="s">
        <v>62</v>
      </c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</row>
    <row r="1973" spans="1:39">
      <c r="B1973" s="799" t="s">
        <v>541</v>
      </c>
      <c r="C1973" s="949" t="s">
        <v>4303</v>
      </c>
      <c r="D1973" s="6">
        <v>200107235</v>
      </c>
      <c r="E1973" s="3" t="s">
        <v>1220</v>
      </c>
      <c r="F1973" s="749">
        <v>4</v>
      </c>
      <c r="G1973" s="3" t="s">
        <v>60</v>
      </c>
      <c r="H1973" s="3" t="s">
        <v>128</v>
      </c>
      <c r="I1973" s="858">
        <f>150.6+159.2+155.7</f>
        <v>465.49999999999994</v>
      </c>
      <c r="J1973" s="858">
        <v>259.32</v>
      </c>
      <c r="K1973" s="3" t="s">
        <v>2556</v>
      </c>
      <c r="L1973" s="958">
        <v>45532</v>
      </c>
      <c r="M1973" s="958" t="s">
        <v>2556</v>
      </c>
      <c r="N1973" s="958">
        <v>45531</v>
      </c>
      <c r="O1973" s="761" t="s">
        <v>62</v>
      </c>
      <c r="P1973" s="3" t="s">
        <v>1221</v>
      </c>
      <c r="Q1973" s="3" t="s">
        <v>1205</v>
      </c>
      <c r="R1973" s="848"/>
      <c r="S1973" s="786" t="s">
        <v>130</v>
      </c>
      <c r="T1973" s="848"/>
      <c r="U1973" s="859">
        <v>282.3</v>
      </c>
      <c r="V1973" s="848"/>
      <c r="W1973" s="848"/>
      <c r="X1973" s="3" t="s">
        <v>2556</v>
      </c>
      <c r="Y1973" s="892">
        <v>45533</v>
      </c>
      <c r="Z1973" s="3" t="s">
        <v>62</v>
      </c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</row>
    <row r="1974" spans="1:39">
      <c r="B1974" s="799" t="s">
        <v>541</v>
      </c>
      <c r="C1974" s="949" t="s">
        <v>4303</v>
      </c>
      <c r="D1974" s="6">
        <v>200107236</v>
      </c>
      <c r="E1974" s="1469" t="s">
        <v>1222</v>
      </c>
      <c r="F1974" s="749">
        <v>5</v>
      </c>
      <c r="G1974" s="3" t="s">
        <v>60</v>
      </c>
      <c r="H1974" s="3" t="s">
        <v>128</v>
      </c>
      <c r="I1974" s="865">
        <v>459.8</v>
      </c>
      <c r="J1974" s="858">
        <v>257.76</v>
      </c>
      <c r="K1974" s="3" t="s">
        <v>2556</v>
      </c>
      <c r="L1974" s="958">
        <v>45533</v>
      </c>
      <c r="M1974" s="958" t="s">
        <v>2556</v>
      </c>
      <c r="N1974" s="958">
        <v>45533</v>
      </c>
      <c r="O1974" s="761" t="s">
        <v>62</v>
      </c>
      <c r="P1974" s="3" t="s">
        <v>1223</v>
      </c>
      <c r="Q1974" s="3" t="s">
        <v>1224</v>
      </c>
      <c r="R1974" s="848"/>
      <c r="S1974" s="786" t="s">
        <v>130</v>
      </c>
      <c r="T1974" s="848"/>
      <c r="U1974" s="865">
        <v>280.39999999999998</v>
      </c>
      <c r="V1974" s="848"/>
      <c r="W1974" s="848"/>
      <c r="X1974" s="3" t="s">
        <v>2556</v>
      </c>
      <c r="Y1974" s="892">
        <v>45533</v>
      </c>
      <c r="Z1974" s="3" t="s">
        <v>62</v>
      </c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</row>
    <row r="1975" spans="1:39">
      <c r="B1975" s="799" t="s">
        <v>541</v>
      </c>
      <c r="C1975" s="949" t="s">
        <v>4303</v>
      </c>
      <c r="D1975" s="6">
        <v>200107237</v>
      </c>
      <c r="E1975" s="1469" t="s">
        <v>1225</v>
      </c>
      <c r="F1975" s="749">
        <v>6</v>
      </c>
      <c r="G1975" s="3" t="s">
        <v>60</v>
      </c>
      <c r="H1975" s="3" t="s">
        <v>128</v>
      </c>
      <c r="I1975" s="859">
        <v>466.9</v>
      </c>
      <c r="J1975" s="858">
        <v>257.5</v>
      </c>
      <c r="K1975" s="3" t="s">
        <v>2556</v>
      </c>
      <c r="L1975" s="958">
        <v>45534</v>
      </c>
      <c r="M1975" s="958" t="s">
        <v>2556</v>
      </c>
      <c r="N1975" s="958">
        <v>45533</v>
      </c>
      <c r="O1975" s="761" t="s">
        <v>62</v>
      </c>
      <c r="P1975" s="3" t="s">
        <v>1226</v>
      </c>
      <c r="Q1975" s="3" t="s">
        <v>1227</v>
      </c>
      <c r="R1975" s="848"/>
      <c r="S1975" s="786" t="s">
        <v>130</v>
      </c>
      <c r="T1975" s="848"/>
      <c r="U1975" s="859">
        <v>280.39999999999998</v>
      </c>
      <c r="V1975" s="848"/>
      <c r="W1975" s="848"/>
      <c r="X1975" s="3" t="s">
        <v>2556</v>
      </c>
      <c r="Y1975" s="892">
        <v>45533</v>
      </c>
      <c r="Z1975" s="3" t="s">
        <v>62</v>
      </c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</row>
    <row r="1976" spans="1:39">
      <c r="B1976" s="799" t="s">
        <v>541</v>
      </c>
      <c r="C1976" s="949" t="s">
        <v>4303</v>
      </c>
      <c r="D1976" s="6">
        <v>200107287</v>
      </c>
      <c r="E1976" s="1469" t="s">
        <v>1228</v>
      </c>
      <c r="F1976" s="749">
        <v>7</v>
      </c>
      <c r="G1976" s="3" t="s">
        <v>60</v>
      </c>
      <c r="H1976" s="3" t="s">
        <v>128</v>
      </c>
      <c r="I1976" s="865">
        <v>466.9</v>
      </c>
      <c r="J1976" s="858">
        <v>256.83</v>
      </c>
      <c r="K1976" s="3" t="s">
        <v>2556</v>
      </c>
      <c r="L1976" s="958">
        <v>45534</v>
      </c>
      <c r="M1976" s="958" t="s">
        <v>2556</v>
      </c>
      <c r="N1976" s="958">
        <v>45533</v>
      </c>
      <c r="O1976" s="761" t="s">
        <v>62</v>
      </c>
      <c r="P1976" s="3" t="s">
        <v>1229</v>
      </c>
      <c r="Q1976" s="3" t="s">
        <v>1230</v>
      </c>
      <c r="R1976" s="848"/>
      <c r="S1976" s="786" t="s">
        <v>130</v>
      </c>
      <c r="T1976" s="848"/>
      <c r="U1976" s="859">
        <v>279.7</v>
      </c>
      <c r="V1976" s="848"/>
      <c r="W1976" s="848"/>
      <c r="X1976" s="3" t="s">
        <v>2556</v>
      </c>
      <c r="Y1976" s="892">
        <v>45533</v>
      </c>
      <c r="Z1976" s="3" t="s">
        <v>62</v>
      </c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</row>
    <row r="1977" spans="1:39">
      <c r="B1977" s="799" t="s">
        <v>541</v>
      </c>
      <c r="C1977" s="949" t="s">
        <v>4303</v>
      </c>
      <c r="D1977" s="6">
        <v>200107288</v>
      </c>
      <c r="E1977" s="1469" t="s">
        <v>1231</v>
      </c>
      <c r="F1977" s="749">
        <v>8</v>
      </c>
      <c r="G1977" s="3"/>
      <c r="H1977" s="3" t="s">
        <v>128</v>
      </c>
      <c r="I1977" s="858"/>
      <c r="J1977" s="858">
        <v>258.95999999999998</v>
      </c>
      <c r="K1977" s="3"/>
      <c r="L1977" s="958"/>
      <c r="M1977" s="958" t="s">
        <v>2556</v>
      </c>
      <c r="N1977" s="958">
        <v>45533</v>
      </c>
      <c r="O1977" s="761"/>
      <c r="P1977" s="3"/>
      <c r="Q1977" s="3" t="s">
        <v>1233</v>
      </c>
      <c r="R1977" s="848"/>
      <c r="S1977" s="786" t="s">
        <v>130</v>
      </c>
      <c r="T1977" s="848"/>
      <c r="U1977" s="859">
        <v>281.89999999999998</v>
      </c>
      <c r="V1977" s="848"/>
      <c r="W1977" s="848"/>
      <c r="X1977" s="3" t="s">
        <v>2556</v>
      </c>
      <c r="Y1977" s="892">
        <v>45534</v>
      </c>
      <c r="Z1977" s="3" t="s">
        <v>62</v>
      </c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</row>
    <row r="1978" spans="1:39">
      <c r="B1978" s="799" t="s">
        <v>541</v>
      </c>
      <c r="C1978" s="949" t="s">
        <v>4303</v>
      </c>
      <c r="D1978" s="6">
        <v>200107289</v>
      </c>
      <c r="E1978" s="1469" t="s">
        <v>1234</v>
      </c>
      <c r="F1978" s="749">
        <v>9</v>
      </c>
      <c r="G1978" s="3"/>
      <c r="H1978" s="3"/>
      <c r="I1978" s="858"/>
      <c r="J1978" s="865"/>
      <c r="K1978" s="3"/>
      <c r="L1978" s="761"/>
      <c r="M1978" s="3"/>
      <c r="N1978" s="761"/>
      <c r="O1978" s="761"/>
      <c r="P1978" s="3"/>
      <c r="Q1978" s="3"/>
      <c r="R1978" s="848"/>
      <c r="S1978" s="786"/>
      <c r="T1978" s="848"/>
      <c r="U1978" s="865"/>
      <c r="V1978" s="848"/>
      <c r="W1978" s="848"/>
      <c r="X1978" s="3"/>
      <c r="Y1978" s="761"/>
      <c r="Z1978" s="3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</row>
    <row r="1979" spans="1:39" s="707" customFormat="1">
      <c r="A1979"/>
      <c r="B1979" s="951" t="s">
        <v>13</v>
      </c>
      <c r="C1979" s="952" t="s">
        <v>910</v>
      </c>
      <c r="D1979" s="862"/>
      <c r="E1979" s="807"/>
      <c r="F1979" s="808"/>
      <c r="G1979" s="807"/>
      <c r="H1979" s="807"/>
      <c r="I1979" s="820"/>
      <c r="J1979" s="837"/>
      <c r="K1979" s="807"/>
      <c r="L1979" s="819"/>
      <c r="M1979" s="819"/>
      <c r="N1979" s="819"/>
      <c r="O1979" s="819"/>
      <c r="P1979" s="807"/>
      <c r="Q1979" s="807"/>
      <c r="R1979" s="807"/>
      <c r="S1979" s="807"/>
      <c r="T1979" s="807"/>
      <c r="U1979" s="837"/>
      <c r="V1979" s="807"/>
      <c r="W1979" s="807"/>
      <c r="X1979" s="819"/>
      <c r="Y1979" s="819"/>
      <c r="Z1979" s="819"/>
      <c r="AA1979" s="710"/>
      <c r="AB1979" s="710"/>
      <c r="AC1979" s="710"/>
      <c r="AD1979" s="710"/>
      <c r="AE1979" s="710"/>
      <c r="AF1979" s="710"/>
      <c r="AG1979" s="710"/>
      <c r="AH1979" s="710"/>
      <c r="AI1979" s="710"/>
      <c r="AJ1979" s="710"/>
      <c r="AK1979" s="710"/>
      <c r="AL1979" s="710"/>
      <c r="AM1979" s="710"/>
    </row>
    <row r="1980" spans="1:39">
      <c r="B1980" s="799">
        <v>12</v>
      </c>
      <c r="C1980" s="959" t="s">
        <v>5297</v>
      </c>
      <c r="D1980" s="3">
        <v>200104318</v>
      </c>
      <c r="E1980" s="3">
        <v>121463</v>
      </c>
      <c r="F1980" s="749">
        <v>1</v>
      </c>
      <c r="G1980" s="3" t="s">
        <v>128</v>
      </c>
      <c r="H1980" s="3" t="s">
        <v>128</v>
      </c>
      <c r="I1980" s="786">
        <v>81.3</v>
      </c>
      <c r="J1980" s="786">
        <v>56.64</v>
      </c>
      <c r="K1980" s="3" t="s">
        <v>1710</v>
      </c>
      <c r="L1980" s="761">
        <v>45272</v>
      </c>
      <c r="M1980" s="3" t="s">
        <v>1710</v>
      </c>
      <c r="N1980" s="761">
        <v>45272</v>
      </c>
      <c r="O1980" s="761" t="s">
        <v>62</v>
      </c>
      <c r="P1980" s="882">
        <v>2.79</v>
      </c>
      <c r="Q1980" s="882">
        <v>2.12</v>
      </c>
      <c r="R1980" s="3" t="s">
        <v>905</v>
      </c>
      <c r="S1980" s="3" t="s">
        <v>905</v>
      </c>
      <c r="T1980" s="786">
        <v>85.15</v>
      </c>
      <c r="U1980" s="786">
        <v>60.37</v>
      </c>
      <c r="V1980" s="3" t="s">
        <v>1710</v>
      </c>
      <c r="W1980" s="761">
        <v>45273</v>
      </c>
      <c r="X1980" s="3" t="s">
        <v>1710</v>
      </c>
      <c r="Y1980" s="761">
        <v>45273</v>
      </c>
      <c r="Z1980" s="3" t="s">
        <v>62</v>
      </c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</row>
    <row r="1981" spans="1:39">
      <c r="B1981" s="799">
        <v>2</v>
      </c>
      <c r="C1981" s="959" t="s">
        <v>5297</v>
      </c>
      <c r="D1981" s="6">
        <v>200104725</v>
      </c>
      <c r="E1981" s="1469" t="s">
        <v>912</v>
      </c>
      <c r="F1981" s="749">
        <v>1</v>
      </c>
      <c r="G1981" s="3" t="s">
        <v>128</v>
      </c>
      <c r="H1981" s="3" t="s">
        <v>128</v>
      </c>
      <c r="I1981" s="762">
        <v>84.02</v>
      </c>
      <c r="J1981" s="762">
        <v>57.22</v>
      </c>
      <c r="K1981" s="3" t="s">
        <v>2094</v>
      </c>
      <c r="L1981" s="761">
        <v>45309</v>
      </c>
      <c r="M1981" s="3" t="s">
        <v>2094</v>
      </c>
      <c r="N1981" s="761">
        <v>45309</v>
      </c>
      <c r="O1981" s="761" t="s">
        <v>62</v>
      </c>
      <c r="P1981" s="764">
        <v>2.62</v>
      </c>
      <c r="Q1981" s="762">
        <v>2.77</v>
      </c>
      <c r="R1981" s="3" t="s">
        <v>905</v>
      </c>
      <c r="S1981" s="3" t="s">
        <v>905</v>
      </c>
      <c r="T1981" s="762">
        <v>87.4</v>
      </c>
      <c r="U1981" s="762">
        <v>60.7</v>
      </c>
      <c r="V1981" s="3" t="s">
        <v>2094</v>
      </c>
      <c r="W1981" s="761">
        <v>45310</v>
      </c>
      <c r="X1981" s="3" t="s">
        <v>2094</v>
      </c>
      <c r="Y1981" s="761">
        <v>45310</v>
      </c>
      <c r="Z1981" s="3" t="s">
        <v>62</v>
      </c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</row>
    <row r="1982" spans="1:39" s="707" customFormat="1">
      <c r="A1982"/>
      <c r="B1982" s="951" t="s">
        <v>13</v>
      </c>
      <c r="C1982" s="952" t="s">
        <v>914</v>
      </c>
      <c r="D1982" s="862"/>
      <c r="E1982" s="807"/>
      <c r="F1982" s="808"/>
      <c r="G1982" s="807"/>
      <c r="H1982" s="807"/>
      <c r="I1982" s="820"/>
      <c r="J1982" s="837"/>
      <c r="K1982" s="807"/>
      <c r="L1982" s="819"/>
      <c r="M1982" s="819"/>
      <c r="N1982" s="819"/>
      <c r="O1982" s="819"/>
      <c r="P1982" s="807"/>
      <c r="Q1982" s="807"/>
      <c r="R1982" s="807"/>
      <c r="S1982" s="807"/>
      <c r="T1982" s="807"/>
      <c r="U1982" s="837"/>
      <c r="V1982" s="807"/>
      <c r="W1982" s="807"/>
      <c r="X1982" s="819"/>
      <c r="Y1982" s="819"/>
      <c r="Z1982" s="819"/>
      <c r="AA1982" s="710"/>
      <c r="AB1982" s="710"/>
      <c r="AC1982" s="710"/>
      <c r="AD1982" s="710"/>
      <c r="AE1982" s="710"/>
      <c r="AF1982" s="710"/>
      <c r="AG1982" s="710"/>
      <c r="AH1982" s="710"/>
      <c r="AI1982" s="710"/>
      <c r="AJ1982" s="710"/>
      <c r="AK1982" s="710"/>
      <c r="AL1982" s="710"/>
      <c r="AM1982" s="710"/>
    </row>
    <row r="1983" spans="1:39">
      <c r="B1983" s="799">
        <v>1</v>
      </c>
      <c r="C1983" s="3" t="s">
        <v>5298</v>
      </c>
      <c r="D1983" s="3">
        <v>200104567</v>
      </c>
      <c r="E1983" s="1469" t="s">
        <v>917</v>
      </c>
      <c r="F1983" s="749">
        <v>1</v>
      </c>
      <c r="G1983" s="3" t="s">
        <v>60</v>
      </c>
      <c r="H1983" s="3" t="s">
        <v>128</v>
      </c>
      <c r="I1983" s="786">
        <v>83.39</v>
      </c>
      <c r="J1983" s="786">
        <v>57.15</v>
      </c>
      <c r="K1983" s="3" t="s">
        <v>2094</v>
      </c>
      <c r="L1983" s="761">
        <v>45301</v>
      </c>
      <c r="M1983" s="3" t="s">
        <v>2094</v>
      </c>
      <c r="N1983" s="761">
        <v>45301</v>
      </c>
      <c r="O1983" s="761" t="s">
        <v>62</v>
      </c>
      <c r="P1983" s="3">
        <v>2.56</v>
      </c>
      <c r="Q1983" s="3">
        <v>2.92</v>
      </c>
      <c r="R1983" s="3" t="s">
        <v>905</v>
      </c>
      <c r="S1983" s="3" t="s">
        <v>905</v>
      </c>
      <c r="T1983" s="786">
        <v>87.32</v>
      </c>
      <c r="U1983" s="786">
        <v>60.97</v>
      </c>
      <c r="V1983" s="3" t="s">
        <v>2094</v>
      </c>
      <c r="W1983" s="761">
        <v>45302</v>
      </c>
      <c r="X1983" s="3" t="s">
        <v>2094</v>
      </c>
      <c r="Y1983" s="761">
        <v>45302</v>
      </c>
      <c r="Z1983" s="3" t="s">
        <v>62</v>
      </c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</row>
    <row r="1984" spans="1:39" s="710" customFormat="1" ht="24.75" customHeight="1">
      <c r="A1984" s="4"/>
      <c r="B1984" s="797" t="s">
        <v>13</v>
      </c>
      <c r="C1984" s="960" t="s">
        <v>1238</v>
      </c>
      <c r="D1984" s="807"/>
      <c r="E1984" s="874"/>
      <c r="F1984" s="808"/>
      <c r="G1984" s="807"/>
      <c r="H1984" s="807"/>
      <c r="I1984" s="807"/>
      <c r="J1984" s="807"/>
      <c r="K1984" s="807"/>
      <c r="L1984" s="819"/>
      <c r="M1984" s="819"/>
      <c r="N1984" s="819"/>
      <c r="O1984" s="819"/>
      <c r="P1984" s="820"/>
      <c r="Q1984" s="807"/>
      <c r="R1984" s="807"/>
      <c r="S1984" s="807"/>
      <c r="T1984" s="807"/>
      <c r="U1984" s="807"/>
      <c r="V1984" s="807"/>
      <c r="W1984" s="819"/>
      <c r="X1984" s="819"/>
      <c r="Y1984" s="819"/>
      <c r="Z1984" s="819"/>
    </row>
    <row r="1985" spans="1:39">
      <c r="B1985" s="1498" t="s">
        <v>163</v>
      </c>
      <c r="C1985" s="962" t="s">
        <v>1237</v>
      </c>
      <c r="D1985" s="780" t="s">
        <v>5299</v>
      </c>
      <c r="E1985" s="12" t="s">
        <v>5300</v>
      </c>
      <c r="F1985" s="802">
        <v>1</v>
      </c>
      <c r="G1985" s="8" t="s">
        <v>932</v>
      </c>
      <c r="H1985" s="8" t="s">
        <v>1041</v>
      </c>
      <c r="I1985" s="8">
        <v>223.5</v>
      </c>
      <c r="J1985" s="8">
        <v>131.88</v>
      </c>
      <c r="K1985" s="8" t="s">
        <v>2125</v>
      </c>
      <c r="L1985" s="759">
        <v>44599</v>
      </c>
      <c r="M1985" s="759" t="s">
        <v>2125</v>
      </c>
      <c r="N1985" s="759">
        <v>44600</v>
      </c>
      <c r="O1985" s="759" t="s">
        <v>62</v>
      </c>
      <c r="P1985" s="760" t="s">
        <v>5301</v>
      </c>
      <c r="Q1985" s="8">
        <v>4.6100000000000003</v>
      </c>
      <c r="R1985" s="8" t="s">
        <v>1547</v>
      </c>
      <c r="S1985" s="8" t="s">
        <v>1757</v>
      </c>
      <c r="T1985" s="8">
        <v>233</v>
      </c>
      <c r="U1985" s="8">
        <v>137.4</v>
      </c>
      <c r="V1985" s="35" t="s">
        <v>2125</v>
      </c>
      <c r="W1985" s="759">
        <v>44600</v>
      </c>
      <c r="X1985" s="759" t="s">
        <v>2125</v>
      </c>
      <c r="Y1985" s="759">
        <v>44600</v>
      </c>
      <c r="Z1985" s="759" t="s">
        <v>62</v>
      </c>
      <c r="AA1985" s="35"/>
      <c r="AB1985" s="35"/>
      <c r="AC1985" s="35"/>
      <c r="AD1985" s="35"/>
      <c r="AE1985" s="35"/>
      <c r="AF1985" s="35"/>
      <c r="AG1985" s="35"/>
      <c r="AH1985" s="35"/>
      <c r="AI1985" s="35"/>
      <c r="AJ1985" s="35"/>
      <c r="AK1985" s="35"/>
      <c r="AL1985" s="35"/>
      <c r="AM1985" s="35"/>
    </row>
    <row r="1986" spans="1:39">
      <c r="B1986" s="1496" t="s">
        <v>163</v>
      </c>
      <c r="C1986" s="963" t="s">
        <v>1237</v>
      </c>
      <c r="D1986" s="12" t="s">
        <v>5302</v>
      </c>
      <c r="E1986" s="12" t="s">
        <v>5303</v>
      </c>
      <c r="F1986" s="749">
        <v>2</v>
      </c>
      <c r="G1986" s="3" t="s">
        <v>932</v>
      </c>
      <c r="H1986" s="3" t="s">
        <v>1041</v>
      </c>
      <c r="I1986" s="3">
        <v>226.48</v>
      </c>
      <c r="J1986" s="3">
        <v>133.86000000000001</v>
      </c>
      <c r="K1986" s="3" t="s">
        <v>2125</v>
      </c>
      <c r="L1986" s="761">
        <v>44599</v>
      </c>
      <c r="M1986" s="761" t="s">
        <v>2125</v>
      </c>
      <c r="N1986" s="761">
        <v>44600</v>
      </c>
      <c r="O1986" s="761" t="s">
        <v>62</v>
      </c>
      <c r="P1986" s="762" t="s">
        <v>5304</v>
      </c>
      <c r="Q1986" s="3">
        <v>4.76</v>
      </c>
      <c r="R1986" s="3" t="s">
        <v>1547</v>
      </c>
      <c r="S1986" s="3" t="s">
        <v>1757</v>
      </c>
      <c r="T1986" s="3">
        <v>236.1</v>
      </c>
      <c r="U1986" s="3">
        <v>139.6</v>
      </c>
      <c r="V1986" s="4" t="s">
        <v>2125</v>
      </c>
      <c r="W1986" s="761">
        <v>44600</v>
      </c>
      <c r="X1986" s="761" t="s">
        <v>2125</v>
      </c>
      <c r="Y1986" s="761">
        <v>44600</v>
      </c>
      <c r="Z1986" s="761" t="s">
        <v>62</v>
      </c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</row>
    <row r="1987" spans="1:39">
      <c r="B1987" s="1496" t="s">
        <v>163</v>
      </c>
      <c r="C1987" s="963" t="s">
        <v>1237</v>
      </c>
      <c r="D1987" s="12" t="s">
        <v>5305</v>
      </c>
      <c r="E1987" s="12" t="s">
        <v>5306</v>
      </c>
      <c r="F1987" s="749">
        <v>3</v>
      </c>
      <c r="G1987" s="3" t="s">
        <v>932</v>
      </c>
      <c r="H1987" s="3" t="s">
        <v>1041</v>
      </c>
      <c r="I1987" s="3">
        <v>225.42</v>
      </c>
      <c r="J1987" s="3">
        <v>132.5</v>
      </c>
      <c r="K1987" s="3" t="s">
        <v>2125</v>
      </c>
      <c r="L1987" s="761">
        <v>44600</v>
      </c>
      <c r="M1987" s="761" t="s">
        <v>2125</v>
      </c>
      <c r="N1987" s="761">
        <v>44600</v>
      </c>
      <c r="O1987" s="761" t="s">
        <v>62</v>
      </c>
      <c r="P1987" s="762" t="s">
        <v>5307</v>
      </c>
      <c r="Q1987" s="3"/>
      <c r="R1987" s="3" t="s">
        <v>1547</v>
      </c>
      <c r="S1987" s="3" t="s">
        <v>1757</v>
      </c>
      <c r="T1987" s="3">
        <v>235</v>
      </c>
      <c r="U1987" s="3">
        <v>138.1</v>
      </c>
      <c r="V1987" s="4" t="s">
        <v>2125</v>
      </c>
      <c r="W1987" s="761">
        <v>44600</v>
      </c>
      <c r="X1987" s="761" t="s">
        <v>2125</v>
      </c>
      <c r="Y1987" s="761">
        <v>44600</v>
      </c>
      <c r="Z1987" s="761" t="s">
        <v>62</v>
      </c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</row>
    <row r="1988" spans="1:39">
      <c r="B1988" s="1496" t="s">
        <v>163</v>
      </c>
      <c r="C1988" s="963" t="s">
        <v>1237</v>
      </c>
      <c r="D1988" s="12" t="s">
        <v>5308</v>
      </c>
      <c r="E1988" s="12" t="s">
        <v>5309</v>
      </c>
      <c r="F1988" s="749">
        <v>4</v>
      </c>
      <c r="G1988" s="3" t="s">
        <v>932</v>
      </c>
      <c r="H1988" s="3" t="s">
        <v>1041</v>
      </c>
      <c r="I1988" s="3">
        <v>226.1</v>
      </c>
      <c r="J1988" s="3">
        <v>131.63999999999999</v>
      </c>
      <c r="K1988" s="3" t="s">
        <v>2125</v>
      </c>
      <c r="L1988" s="761">
        <v>44600</v>
      </c>
      <c r="M1988" s="761" t="s">
        <v>2125</v>
      </c>
      <c r="N1988" s="761">
        <v>44600</v>
      </c>
      <c r="O1988" s="761" t="s">
        <v>62</v>
      </c>
      <c r="P1988" s="762" t="s">
        <v>5310</v>
      </c>
      <c r="Q1988" s="3"/>
      <c r="R1988" s="3" t="s">
        <v>1547</v>
      </c>
      <c r="S1988" s="3" t="s">
        <v>1757</v>
      </c>
      <c r="T1988" s="3">
        <v>235</v>
      </c>
      <c r="U1988" s="3">
        <v>135.1</v>
      </c>
      <c r="V1988" s="4" t="s">
        <v>2125</v>
      </c>
      <c r="W1988" s="761">
        <v>44600</v>
      </c>
      <c r="X1988" s="761" t="s">
        <v>2125</v>
      </c>
      <c r="Y1988" s="761">
        <v>44601</v>
      </c>
      <c r="Z1988" s="761" t="s">
        <v>62</v>
      </c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</row>
    <row r="1989" spans="1:39">
      <c r="B1989" s="1496" t="s">
        <v>163</v>
      </c>
      <c r="C1989" s="963" t="s">
        <v>1237</v>
      </c>
      <c r="D1989" s="12" t="s">
        <v>5311</v>
      </c>
      <c r="E1989" s="12" t="s">
        <v>5312</v>
      </c>
      <c r="F1989" s="749">
        <v>5</v>
      </c>
      <c r="G1989" s="3" t="s">
        <v>932</v>
      </c>
      <c r="H1989" s="3" t="s">
        <v>1041</v>
      </c>
      <c r="I1989" s="3">
        <v>228.04</v>
      </c>
      <c r="J1989" s="3">
        <v>137</v>
      </c>
      <c r="K1989" s="3" t="s">
        <v>2125</v>
      </c>
      <c r="L1989" s="761">
        <v>44600</v>
      </c>
      <c r="M1989" s="761" t="s">
        <v>2125</v>
      </c>
      <c r="N1989" s="761">
        <v>44600</v>
      </c>
      <c r="O1989" s="761" t="s">
        <v>62</v>
      </c>
      <c r="P1989" s="762" t="s">
        <v>5313</v>
      </c>
      <c r="Q1989" s="3">
        <v>4.87</v>
      </c>
      <c r="R1989" s="3" t="s">
        <v>1547</v>
      </c>
      <c r="S1989" s="3" t="s">
        <v>1757</v>
      </c>
      <c r="T1989" s="3">
        <v>237.5</v>
      </c>
      <c r="U1989" s="3">
        <v>143.19999999999999</v>
      </c>
      <c r="V1989" s="4" t="s">
        <v>2125</v>
      </c>
      <c r="W1989" s="761">
        <v>44600</v>
      </c>
      <c r="X1989" s="761" t="s">
        <v>2125</v>
      </c>
      <c r="Y1989" s="761">
        <v>44601</v>
      </c>
      <c r="Z1989" s="761" t="s">
        <v>62</v>
      </c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</row>
    <row r="1990" spans="1:39">
      <c r="B1990" s="1496" t="s">
        <v>163</v>
      </c>
      <c r="C1990" s="963" t="s">
        <v>1237</v>
      </c>
      <c r="D1990" s="12" t="s">
        <v>5314</v>
      </c>
      <c r="E1990" s="12" t="s">
        <v>5315</v>
      </c>
      <c r="F1990" s="749">
        <v>6</v>
      </c>
      <c r="G1990" s="3" t="s">
        <v>932</v>
      </c>
      <c r="H1990" s="3" t="s">
        <v>1041</v>
      </c>
      <c r="I1990" s="3">
        <v>223.96</v>
      </c>
      <c r="J1990" s="3">
        <v>137</v>
      </c>
      <c r="K1990" s="3" t="s">
        <v>2125</v>
      </c>
      <c r="L1990" s="761">
        <v>44601</v>
      </c>
      <c r="M1990" s="761" t="s">
        <v>2125</v>
      </c>
      <c r="N1990" s="761">
        <v>44601</v>
      </c>
      <c r="O1990" s="761" t="s">
        <v>62</v>
      </c>
      <c r="P1990" s="762" t="s">
        <v>5316</v>
      </c>
      <c r="Q1990" s="3">
        <v>4.82</v>
      </c>
      <c r="R1990" s="3" t="s">
        <v>1547</v>
      </c>
      <c r="S1990" s="3" t="s">
        <v>1757</v>
      </c>
      <c r="T1990" s="3">
        <v>233</v>
      </c>
      <c r="U1990" s="3">
        <v>142.6</v>
      </c>
      <c r="V1990" s="4" t="s">
        <v>2125</v>
      </c>
      <c r="W1990" s="761">
        <v>44601</v>
      </c>
      <c r="X1990" s="761" t="s">
        <v>2125</v>
      </c>
      <c r="Y1990" s="761">
        <v>44601</v>
      </c>
      <c r="Z1990" s="761" t="s">
        <v>62</v>
      </c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</row>
    <row r="1991" spans="1:39">
      <c r="B1991" s="1496" t="s">
        <v>163</v>
      </c>
      <c r="C1991" s="963" t="s">
        <v>1237</v>
      </c>
      <c r="D1991" s="12" t="s">
        <v>5317</v>
      </c>
      <c r="E1991" s="12" t="s">
        <v>5318</v>
      </c>
      <c r="F1991" s="749">
        <v>7</v>
      </c>
      <c r="G1991" s="3" t="s">
        <v>932</v>
      </c>
      <c r="H1991" s="3" t="s">
        <v>1041</v>
      </c>
      <c r="I1991" s="3">
        <v>226.44</v>
      </c>
      <c r="J1991" s="3">
        <v>137.08000000000001</v>
      </c>
      <c r="K1991" s="3" t="s">
        <v>2125</v>
      </c>
      <c r="L1991" s="761">
        <v>44601</v>
      </c>
      <c r="M1991" s="761" t="s">
        <v>2125</v>
      </c>
      <c r="N1991" s="761">
        <v>44601</v>
      </c>
      <c r="O1991" s="761" t="s">
        <v>62</v>
      </c>
      <c r="P1991" s="762" t="s">
        <v>5319</v>
      </c>
      <c r="Q1991" s="3">
        <v>4.76</v>
      </c>
      <c r="R1991" s="3" t="s">
        <v>1547</v>
      </c>
      <c r="S1991" s="3" t="s">
        <v>1757</v>
      </c>
      <c r="T1991" s="3">
        <v>236</v>
      </c>
      <c r="U1991" s="2">
        <v>142.80000000000001</v>
      </c>
      <c r="V1991" s="4" t="s">
        <v>2125</v>
      </c>
      <c r="W1991" s="761">
        <v>44601</v>
      </c>
      <c r="X1991" s="761" t="s">
        <v>2125</v>
      </c>
      <c r="Y1991" s="761">
        <v>44601</v>
      </c>
      <c r="Z1991" s="761" t="s">
        <v>62</v>
      </c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</row>
    <row r="1992" spans="1:39">
      <c r="B1992" s="1496" t="s">
        <v>163</v>
      </c>
      <c r="C1992" s="963" t="s">
        <v>1237</v>
      </c>
      <c r="D1992" s="12" t="s">
        <v>5320</v>
      </c>
      <c r="E1992" s="12" t="s">
        <v>5321</v>
      </c>
      <c r="F1992" s="749">
        <v>8</v>
      </c>
      <c r="G1992" s="3" t="s">
        <v>932</v>
      </c>
      <c r="H1992" s="3" t="s">
        <v>1041</v>
      </c>
      <c r="I1992" s="3">
        <v>227.96</v>
      </c>
      <c r="J1992" s="3">
        <v>135.1</v>
      </c>
      <c r="K1992" s="3" t="s">
        <v>2125</v>
      </c>
      <c r="L1992" s="761">
        <v>44601</v>
      </c>
      <c r="M1992" s="761" t="s">
        <v>2125</v>
      </c>
      <c r="N1992" s="761">
        <v>44601</v>
      </c>
      <c r="O1992" s="761" t="s">
        <v>62</v>
      </c>
      <c r="P1992" s="762" t="s">
        <v>5322</v>
      </c>
      <c r="Q1992" s="3">
        <v>4.72</v>
      </c>
      <c r="R1992" s="3" t="s">
        <v>1547</v>
      </c>
      <c r="S1992" s="3" t="s">
        <v>1757</v>
      </c>
      <c r="T1992" s="3">
        <v>238.1</v>
      </c>
      <c r="U1992" s="3">
        <v>140.9</v>
      </c>
      <c r="V1992" s="4" t="s">
        <v>2125</v>
      </c>
      <c r="W1992" s="761">
        <v>44601</v>
      </c>
      <c r="X1992" s="761" t="s">
        <v>2125</v>
      </c>
      <c r="Y1992" s="761">
        <v>44601</v>
      </c>
      <c r="Z1992" s="761" t="s">
        <v>62</v>
      </c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</row>
    <row r="1993" spans="1:39">
      <c r="B1993" s="1496" t="s">
        <v>163</v>
      </c>
      <c r="C1993" s="963" t="s">
        <v>1237</v>
      </c>
      <c r="D1993" s="12" t="s">
        <v>5323</v>
      </c>
      <c r="E1993" s="12" t="s">
        <v>5324</v>
      </c>
      <c r="F1993" s="749">
        <v>9</v>
      </c>
      <c r="G1993" s="3" t="s">
        <v>932</v>
      </c>
      <c r="H1993" s="3" t="s">
        <v>1041</v>
      </c>
      <c r="I1993" s="3">
        <v>224.94</v>
      </c>
      <c r="J1993" s="3">
        <v>136.41999999999999</v>
      </c>
      <c r="K1993" s="3" t="s">
        <v>2125</v>
      </c>
      <c r="L1993" s="761">
        <v>44602</v>
      </c>
      <c r="M1993" s="761" t="s">
        <v>2125</v>
      </c>
      <c r="N1993" s="761">
        <v>44601</v>
      </c>
      <c r="O1993" s="761" t="s">
        <v>62</v>
      </c>
      <c r="P1993" s="762" t="s">
        <v>5325</v>
      </c>
      <c r="Q1993" s="3">
        <v>4.78</v>
      </c>
      <c r="R1993" s="3" t="s">
        <v>5326</v>
      </c>
      <c r="S1993" s="3" t="s">
        <v>1757</v>
      </c>
      <c r="T1993" s="3">
        <v>234.8</v>
      </c>
      <c r="U1993" s="3">
        <v>142.19999999999999</v>
      </c>
      <c r="V1993" s="4" t="s">
        <v>2125</v>
      </c>
      <c r="W1993" s="761">
        <v>44601</v>
      </c>
      <c r="X1993" s="761" t="s">
        <v>2125</v>
      </c>
      <c r="Y1993" s="761">
        <v>44601</v>
      </c>
      <c r="Z1993" s="761" t="s">
        <v>62</v>
      </c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</row>
    <row r="1994" spans="1:39" s="707" customFormat="1">
      <c r="A1994"/>
      <c r="B1994" s="797" t="s">
        <v>13</v>
      </c>
      <c r="C1994" s="807" t="s">
        <v>1716</v>
      </c>
      <c r="D1994" s="875"/>
      <c r="E1994" s="964"/>
      <c r="F1994" s="808"/>
      <c r="G1994" s="807"/>
      <c r="H1994" s="807"/>
      <c r="I1994" s="807"/>
      <c r="J1994" s="807"/>
      <c r="K1994" s="807"/>
      <c r="L1994" s="819"/>
      <c r="M1994" s="819"/>
      <c r="N1994" s="819"/>
      <c r="O1994" s="819"/>
      <c r="P1994" s="820"/>
      <c r="Q1994" s="807"/>
      <c r="R1994" s="807"/>
      <c r="S1994" s="807"/>
      <c r="T1994" s="807"/>
      <c r="U1994" s="807"/>
      <c r="V1994" s="710"/>
      <c r="W1994" s="819"/>
      <c r="X1994" s="819"/>
      <c r="Y1994" s="819"/>
      <c r="Z1994" s="819"/>
      <c r="AA1994" s="710"/>
      <c r="AB1994" s="710"/>
      <c r="AC1994" s="710"/>
      <c r="AD1994" s="710"/>
      <c r="AE1994" s="710"/>
      <c r="AF1994" s="710"/>
      <c r="AG1994" s="710"/>
      <c r="AH1994" s="710"/>
      <c r="AI1994" s="710"/>
      <c r="AJ1994" s="710"/>
      <c r="AK1994" s="710"/>
      <c r="AL1994" s="710"/>
      <c r="AM1994" s="710"/>
    </row>
    <row r="1995" spans="1:39">
      <c r="B1995" s="895" t="s">
        <v>213</v>
      </c>
      <c r="C1995" s="963" t="s">
        <v>1237</v>
      </c>
      <c r="D1995" s="12" t="s">
        <v>5327</v>
      </c>
      <c r="E1995" s="12" t="s">
        <v>5328</v>
      </c>
      <c r="F1995" s="749">
        <v>1</v>
      </c>
      <c r="G1995" s="3" t="s">
        <v>932</v>
      </c>
      <c r="H1995" s="3" t="s">
        <v>1041</v>
      </c>
      <c r="I1995" s="3">
        <v>225.42</v>
      </c>
      <c r="J1995" s="3">
        <v>134.04</v>
      </c>
      <c r="K1995" s="3" t="s">
        <v>2125</v>
      </c>
      <c r="L1995" s="761">
        <v>44609</v>
      </c>
      <c r="M1995" s="761" t="s">
        <v>3333</v>
      </c>
      <c r="N1995" s="761">
        <v>44609</v>
      </c>
      <c r="O1995" s="761" t="s">
        <v>62</v>
      </c>
      <c r="P1995" s="762" t="s">
        <v>5329</v>
      </c>
      <c r="Q1995" s="3">
        <v>4.8</v>
      </c>
      <c r="R1995" s="3" t="s">
        <v>1547</v>
      </c>
      <c r="S1995" s="3" t="s">
        <v>1757</v>
      </c>
      <c r="T1995" s="3">
        <v>234.6</v>
      </c>
      <c r="U1995" s="3">
        <v>139.69999999999999</v>
      </c>
      <c r="V1995" s="4" t="s">
        <v>2125</v>
      </c>
      <c r="W1995" s="761">
        <v>44610</v>
      </c>
      <c r="X1995" s="761" t="s">
        <v>2125</v>
      </c>
      <c r="Y1995" s="761">
        <v>44610</v>
      </c>
      <c r="Z1995" s="761" t="s">
        <v>62</v>
      </c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</row>
    <row r="1996" spans="1:39">
      <c r="B1996" s="895" t="s">
        <v>213</v>
      </c>
      <c r="C1996" s="963" t="s">
        <v>1237</v>
      </c>
      <c r="D1996" s="12" t="s">
        <v>5330</v>
      </c>
      <c r="E1996" s="12" t="s">
        <v>5331</v>
      </c>
      <c r="F1996" s="749">
        <v>2</v>
      </c>
      <c r="G1996" s="3" t="s">
        <v>932</v>
      </c>
      <c r="H1996" s="3" t="s">
        <v>1041</v>
      </c>
      <c r="I1996" s="3">
        <v>227.74</v>
      </c>
      <c r="J1996" s="3">
        <v>136.02000000000001</v>
      </c>
      <c r="K1996" s="3" t="s">
        <v>2125</v>
      </c>
      <c r="L1996" s="761">
        <v>44610</v>
      </c>
      <c r="M1996" s="761" t="s">
        <v>3333</v>
      </c>
      <c r="N1996" s="761">
        <v>44609</v>
      </c>
      <c r="O1996" s="761" t="s">
        <v>62</v>
      </c>
      <c r="P1996" s="762" t="s">
        <v>5332</v>
      </c>
      <c r="Q1996" s="3">
        <v>4.82</v>
      </c>
      <c r="R1996" s="3" t="s">
        <v>1547</v>
      </c>
      <c r="S1996" s="3" t="s">
        <v>1757</v>
      </c>
      <c r="T1996" s="3">
        <v>237.1</v>
      </c>
      <c r="U1996" s="3">
        <v>141.6</v>
      </c>
      <c r="V1996" s="4" t="s">
        <v>2125</v>
      </c>
      <c r="W1996" s="761">
        <v>44610</v>
      </c>
      <c r="X1996" s="761" t="s">
        <v>2125</v>
      </c>
      <c r="Y1996" s="761">
        <v>44610</v>
      </c>
      <c r="Z1996" s="761" t="s">
        <v>62</v>
      </c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</row>
    <row r="1997" spans="1:39">
      <c r="B1997" s="895" t="s">
        <v>213</v>
      </c>
      <c r="C1997" s="963" t="s">
        <v>1237</v>
      </c>
      <c r="D1997" s="12" t="s">
        <v>5333</v>
      </c>
      <c r="E1997" s="12" t="s">
        <v>5334</v>
      </c>
      <c r="F1997" s="749">
        <v>3</v>
      </c>
      <c r="G1997" s="3" t="s">
        <v>932</v>
      </c>
      <c r="H1997" s="3" t="s">
        <v>1041</v>
      </c>
      <c r="I1997" s="3">
        <v>225.94</v>
      </c>
      <c r="J1997" s="3">
        <v>135.96</v>
      </c>
      <c r="K1997" s="3" t="s">
        <v>2125</v>
      </c>
      <c r="L1997" s="761">
        <v>44610</v>
      </c>
      <c r="M1997" s="761" t="s">
        <v>3333</v>
      </c>
      <c r="N1997" s="761">
        <v>44609</v>
      </c>
      <c r="O1997" s="761" t="s">
        <v>62</v>
      </c>
      <c r="P1997" s="762" t="s">
        <v>5335</v>
      </c>
      <c r="Q1997" s="3">
        <v>4.62</v>
      </c>
      <c r="R1997" s="3" t="s">
        <v>1547</v>
      </c>
      <c r="S1997" s="3" t="s">
        <v>1757</v>
      </c>
      <c r="T1997" s="3">
        <v>235.6</v>
      </c>
      <c r="U1997" s="3">
        <v>141.5</v>
      </c>
      <c r="V1997" s="4" t="s">
        <v>2125</v>
      </c>
      <c r="W1997" s="761">
        <v>44610</v>
      </c>
      <c r="X1997" s="761" t="s">
        <v>2125</v>
      </c>
      <c r="Y1997" s="761">
        <v>44610</v>
      </c>
      <c r="Z1997" s="761" t="s">
        <v>62</v>
      </c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</row>
    <row r="1998" spans="1:39">
      <c r="B1998" s="895" t="s">
        <v>213</v>
      </c>
      <c r="C1998" s="963" t="s">
        <v>1237</v>
      </c>
      <c r="D1998" s="749">
        <v>300018302</v>
      </c>
      <c r="E1998" s="12" t="s">
        <v>5336</v>
      </c>
      <c r="F1998" s="749">
        <v>4</v>
      </c>
      <c r="G1998" s="3" t="s">
        <v>932</v>
      </c>
      <c r="H1998" s="3" t="s">
        <v>1041</v>
      </c>
      <c r="I1998" s="3">
        <v>227.18</v>
      </c>
      <c r="J1998" s="3">
        <v>135.6</v>
      </c>
      <c r="K1998" s="3" t="s">
        <v>2125</v>
      </c>
      <c r="L1998" s="761">
        <v>44610</v>
      </c>
      <c r="M1998" s="761" t="s">
        <v>3333</v>
      </c>
      <c r="N1998" s="761">
        <v>44609</v>
      </c>
      <c r="O1998" s="761" t="s">
        <v>62</v>
      </c>
      <c r="P1998" s="762" t="s">
        <v>5337</v>
      </c>
      <c r="Q1998" s="3">
        <v>4.7</v>
      </c>
      <c r="R1998" s="3" t="s">
        <v>1547</v>
      </c>
      <c r="S1998" s="3" t="s">
        <v>1757</v>
      </c>
      <c r="T1998" s="3">
        <v>236.7</v>
      </c>
      <c r="U1998" s="3">
        <v>141.30000000000001</v>
      </c>
      <c r="V1998" s="4" t="s">
        <v>2125</v>
      </c>
      <c r="W1998" s="761">
        <v>44610</v>
      </c>
      <c r="X1998" s="761" t="s">
        <v>2125</v>
      </c>
      <c r="Y1998" s="761">
        <v>44610</v>
      </c>
      <c r="Z1998" s="761" t="s">
        <v>62</v>
      </c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</row>
    <row r="1999" spans="1:39">
      <c r="B1999" s="895" t="s">
        <v>213</v>
      </c>
      <c r="C1999" s="963" t="s">
        <v>1237</v>
      </c>
      <c r="D1999" s="749">
        <v>300018303</v>
      </c>
      <c r="E1999" s="712" t="s">
        <v>5338</v>
      </c>
      <c r="F1999" s="749">
        <v>5</v>
      </c>
      <c r="G1999" s="783" t="s">
        <v>932</v>
      </c>
      <c r="H1999" s="3" t="s">
        <v>1041</v>
      </c>
      <c r="I1999" s="3">
        <v>228.32</v>
      </c>
      <c r="J1999" s="3">
        <v>133.80000000000001</v>
      </c>
      <c r="K1999" s="3" t="s">
        <v>2125</v>
      </c>
      <c r="L1999" s="761">
        <v>44610</v>
      </c>
      <c r="M1999" s="761" t="s">
        <v>3333</v>
      </c>
      <c r="N1999" s="761">
        <v>44613</v>
      </c>
      <c r="O1999" s="761" t="s">
        <v>62</v>
      </c>
      <c r="P1999" s="762" t="s">
        <v>5339</v>
      </c>
      <c r="Q1999" s="3">
        <v>4.5999999999999996</v>
      </c>
      <c r="R1999" s="3" t="s">
        <v>1547</v>
      </c>
      <c r="S1999" s="3" t="s">
        <v>1757</v>
      </c>
      <c r="T1999" s="3">
        <v>238</v>
      </c>
      <c r="U1999" s="3">
        <v>139.6</v>
      </c>
      <c r="V1999" s="4" t="s">
        <v>2125</v>
      </c>
      <c r="W1999" s="761">
        <v>44610</v>
      </c>
      <c r="X1999" s="761" t="s">
        <v>2125</v>
      </c>
      <c r="Y1999" s="761">
        <v>44613</v>
      </c>
      <c r="Z1999" s="761" t="s">
        <v>62</v>
      </c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</row>
    <row r="2000" spans="1:39">
      <c r="B2000" s="895" t="s">
        <v>213</v>
      </c>
      <c r="C2000" s="963" t="s">
        <v>1237</v>
      </c>
      <c r="D2000" s="749">
        <v>300018304</v>
      </c>
      <c r="E2000" s="12" t="s">
        <v>5340</v>
      </c>
      <c r="F2000" s="749">
        <v>6</v>
      </c>
      <c r="G2000" s="783" t="s">
        <v>932</v>
      </c>
      <c r="H2000" s="3" t="s">
        <v>1041</v>
      </c>
      <c r="I2000" s="3">
        <v>229.64</v>
      </c>
      <c r="J2000" s="3">
        <v>134.38</v>
      </c>
      <c r="K2000" s="3" t="s">
        <v>2125</v>
      </c>
      <c r="L2000" s="761">
        <v>44610</v>
      </c>
      <c r="M2000" s="761" t="s">
        <v>3333</v>
      </c>
      <c r="N2000" s="761">
        <v>44613</v>
      </c>
      <c r="O2000" s="761" t="s">
        <v>62</v>
      </c>
      <c r="P2000" s="762" t="s">
        <v>5341</v>
      </c>
      <c r="Q2000" s="3">
        <v>4.84</v>
      </c>
      <c r="R2000" s="3" t="s">
        <v>1547</v>
      </c>
      <c r="S2000" s="3" t="s">
        <v>1757</v>
      </c>
      <c r="T2000" s="3">
        <v>239.1</v>
      </c>
      <c r="U2000" s="3">
        <v>140</v>
      </c>
      <c r="V2000" s="4" t="s">
        <v>2125</v>
      </c>
      <c r="W2000" s="761">
        <v>44613</v>
      </c>
      <c r="X2000" s="761" t="s">
        <v>2125</v>
      </c>
      <c r="Y2000" s="761">
        <v>44613</v>
      </c>
      <c r="Z2000" s="761" t="s">
        <v>62</v>
      </c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</row>
    <row r="2001" spans="1:39">
      <c r="B2001" s="895" t="s">
        <v>213</v>
      </c>
      <c r="C2001" s="963" t="s">
        <v>1237</v>
      </c>
      <c r="D2001" s="749">
        <v>300018305</v>
      </c>
      <c r="E2001" s="12" t="s">
        <v>5342</v>
      </c>
      <c r="F2001" s="749">
        <v>7</v>
      </c>
      <c r="G2001" s="783" t="s">
        <v>932</v>
      </c>
      <c r="H2001" s="3" t="s">
        <v>1041</v>
      </c>
      <c r="I2001" s="3">
        <v>229.4</v>
      </c>
      <c r="J2001" s="3">
        <v>136.72</v>
      </c>
      <c r="K2001" s="3" t="s">
        <v>2125</v>
      </c>
      <c r="L2001" s="761">
        <v>44610</v>
      </c>
      <c r="M2001" s="761" t="s">
        <v>3333</v>
      </c>
      <c r="N2001" s="761">
        <v>44613</v>
      </c>
      <c r="O2001" s="761" t="s">
        <v>62</v>
      </c>
      <c r="P2001" s="762" t="s">
        <v>5343</v>
      </c>
      <c r="Q2001" s="3">
        <v>4.75</v>
      </c>
      <c r="R2001" s="3" t="s">
        <v>1547</v>
      </c>
      <c r="S2001" s="3" t="s">
        <v>1757</v>
      </c>
      <c r="T2001" s="3">
        <v>238.6</v>
      </c>
      <c r="U2001" s="3">
        <v>142.5</v>
      </c>
      <c r="V2001" s="4" t="s">
        <v>2125</v>
      </c>
      <c r="W2001" s="761">
        <v>44613</v>
      </c>
      <c r="X2001" s="761" t="s">
        <v>2125</v>
      </c>
      <c r="Y2001" s="761">
        <v>44613</v>
      </c>
      <c r="Z2001" s="761" t="s">
        <v>62</v>
      </c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</row>
    <row r="2002" spans="1:39">
      <c r="B2002" s="895" t="s">
        <v>213</v>
      </c>
      <c r="C2002" s="963" t="s">
        <v>1237</v>
      </c>
      <c r="D2002" s="749">
        <v>300018306</v>
      </c>
      <c r="E2002" s="12" t="s">
        <v>5344</v>
      </c>
      <c r="F2002" s="749">
        <v>8</v>
      </c>
      <c r="G2002" s="783" t="s">
        <v>932</v>
      </c>
      <c r="H2002" s="3" t="s">
        <v>932</v>
      </c>
      <c r="I2002" s="3">
        <v>224.6</v>
      </c>
      <c r="J2002" s="3">
        <v>134.96</v>
      </c>
      <c r="K2002" s="3" t="s">
        <v>2125</v>
      </c>
      <c r="L2002" s="761">
        <v>44613</v>
      </c>
      <c r="M2002" s="761" t="s">
        <v>3333</v>
      </c>
      <c r="N2002" s="761">
        <v>44614</v>
      </c>
      <c r="O2002" s="761" t="s">
        <v>62</v>
      </c>
      <c r="P2002" s="762" t="s">
        <v>5345</v>
      </c>
      <c r="Q2002" s="3">
        <v>4.75</v>
      </c>
      <c r="R2002" s="3" t="s">
        <v>1547</v>
      </c>
      <c r="S2002" s="3" t="s">
        <v>1757</v>
      </c>
      <c r="T2002" s="3">
        <v>233.6</v>
      </c>
      <c r="U2002" s="3">
        <v>140.4</v>
      </c>
      <c r="V2002" s="4" t="s">
        <v>2125</v>
      </c>
      <c r="W2002" s="761">
        <v>44614</v>
      </c>
      <c r="X2002" s="761" t="s">
        <v>2125</v>
      </c>
      <c r="Y2002" s="761">
        <v>44615</v>
      </c>
      <c r="Z2002" s="761" t="s">
        <v>62</v>
      </c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</row>
    <row r="2003" spans="1:39">
      <c r="B2003" s="895" t="s">
        <v>213</v>
      </c>
      <c r="C2003" s="963" t="s">
        <v>1237</v>
      </c>
      <c r="D2003" s="749">
        <v>300018307</v>
      </c>
      <c r="E2003" s="12" t="s">
        <v>5346</v>
      </c>
      <c r="F2003" s="749">
        <v>9</v>
      </c>
      <c r="G2003" s="783" t="s">
        <v>932</v>
      </c>
      <c r="H2003" s="3" t="s">
        <v>932</v>
      </c>
      <c r="I2003" s="3">
        <v>226</v>
      </c>
      <c r="J2003" s="3">
        <v>134.96</v>
      </c>
      <c r="K2003" s="3" t="s">
        <v>2125</v>
      </c>
      <c r="L2003" s="761">
        <v>44613</v>
      </c>
      <c r="M2003" s="761" t="s">
        <v>3333</v>
      </c>
      <c r="N2003" s="761">
        <v>44614</v>
      </c>
      <c r="O2003" s="761" t="s">
        <v>62</v>
      </c>
      <c r="P2003" s="762" t="s">
        <v>5347</v>
      </c>
      <c r="Q2003" s="3">
        <v>4.7699999999999996</v>
      </c>
      <c r="R2003" s="3" t="s">
        <v>1547</v>
      </c>
      <c r="S2003" s="3" t="s">
        <v>1757</v>
      </c>
      <c r="T2003" s="3">
        <v>235.6</v>
      </c>
      <c r="U2003" s="3">
        <v>140.80000000000001</v>
      </c>
      <c r="V2003" s="4" t="s">
        <v>2125</v>
      </c>
      <c r="W2003" s="761">
        <v>44614</v>
      </c>
      <c r="X2003" s="761" t="s">
        <v>2125</v>
      </c>
      <c r="Y2003" s="761">
        <v>44615</v>
      </c>
      <c r="Z2003" s="761" t="s">
        <v>62</v>
      </c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</row>
    <row r="2004" spans="1:39">
      <c r="B2004" s="895" t="s">
        <v>213</v>
      </c>
      <c r="C2004" s="963" t="s">
        <v>1237</v>
      </c>
      <c r="D2004" s="749">
        <v>300018308</v>
      </c>
      <c r="E2004" s="12" t="s">
        <v>5348</v>
      </c>
      <c r="F2004" s="749">
        <v>10</v>
      </c>
      <c r="G2004" s="783" t="s">
        <v>932</v>
      </c>
      <c r="H2004" s="3" t="s">
        <v>932</v>
      </c>
      <c r="I2004" s="3">
        <v>225.06</v>
      </c>
      <c r="J2004" s="3">
        <v>136.12</v>
      </c>
      <c r="K2004" s="3" t="s">
        <v>2125</v>
      </c>
      <c r="L2004" s="761">
        <v>44614</v>
      </c>
      <c r="M2004" s="761" t="s">
        <v>3333</v>
      </c>
      <c r="N2004" s="761">
        <v>44614</v>
      </c>
      <c r="O2004" s="761" t="s">
        <v>62</v>
      </c>
      <c r="P2004" s="762" t="s">
        <v>5349</v>
      </c>
      <c r="Q2004" s="3">
        <v>4.6900000000000004</v>
      </c>
      <c r="R2004" s="3" t="s">
        <v>1547</v>
      </c>
      <c r="S2004" s="3" t="s">
        <v>1757</v>
      </c>
      <c r="T2004" s="3">
        <v>234.7</v>
      </c>
      <c r="U2004" s="3">
        <v>141.9</v>
      </c>
      <c r="V2004" s="4" t="s">
        <v>2125</v>
      </c>
      <c r="W2004" s="761">
        <v>44614</v>
      </c>
      <c r="X2004" s="761" t="s">
        <v>2125</v>
      </c>
      <c r="Y2004" s="761">
        <v>44615</v>
      </c>
      <c r="Z2004" s="761" t="s">
        <v>62</v>
      </c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</row>
    <row r="2005" spans="1:39">
      <c r="B2005" s="895" t="s">
        <v>213</v>
      </c>
      <c r="C2005" s="963" t="s">
        <v>1237</v>
      </c>
      <c r="D2005" s="749">
        <v>300018309</v>
      </c>
      <c r="E2005" s="12" t="s">
        <v>5350</v>
      </c>
      <c r="F2005" s="749">
        <v>11</v>
      </c>
      <c r="G2005" s="783" t="s">
        <v>932</v>
      </c>
      <c r="H2005" s="3" t="s">
        <v>932</v>
      </c>
      <c r="I2005" s="3">
        <v>228.88</v>
      </c>
      <c r="J2005" s="3">
        <v>137.41999999999999</v>
      </c>
      <c r="K2005" s="3" t="s">
        <v>2125</v>
      </c>
      <c r="L2005" s="761">
        <v>44614</v>
      </c>
      <c r="M2005" s="761" t="s">
        <v>3333</v>
      </c>
      <c r="N2005" s="761">
        <v>44615</v>
      </c>
      <c r="O2005" s="761" t="s">
        <v>62</v>
      </c>
      <c r="P2005" s="762" t="s">
        <v>5351</v>
      </c>
      <c r="Q2005" s="3">
        <v>4.8099999999999996</v>
      </c>
      <c r="R2005" s="3" t="s">
        <v>1547</v>
      </c>
      <c r="S2005" s="3" t="s">
        <v>1757</v>
      </c>
      <c r="T2005" s="3">
        <v>238.5</v>
      </c>
      <c r="U2005" s="3">
        <v>143.19999999999999</v>
      </c>
      <c r="V2005" s="4" t="s">
        <v>2125</v>
      </c>
      <c r="W2005" s="761">
        <v>44614</v>
      </c>
      <c r="X2005" s="761" t="s">
        <v>2125</v>
      </c>
      <c r="Y2005" s="761">
        <v>44615</v>
      </c>
      <c r="Z2005" s="761" t="s">
        <v>62</v>
      </c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</row>
    <row r="2006" spans="1:39">
      <c r="B2006" s="895" t="s">
        <v>213</v>
      </c>
      <c r="C2006" s="963" t="s">
        <v>1237</v>
      </c>
      <c r="D2006" s="749">
        <v>300018310</v>
      </c>
      <c r="E2006" s="12" t="s">
        <v>5352</v>
      </c>
      <c r="F2006" s="749">
        <v>12</v>
      </c>
      <c r="G2006" s="783" t="s">
        <v>932</v>
      </c>
      <c r="H2006" s="3" t="s">
        <v>932</v>
      </c>
      <c r="I2006" s="3">
        <v>228.22</v>
      </c>
      <c r="J2006" s="3">
        <v>135.54</v>
      </c>
      <c r="K2006" s="3" t="s">
        <v>2125</v>
      </c>
      <c r="L2006" s="761">
        <v>44614</v>
      </c>
      <c r="M2006" s="761" t="s">
        <v>3333</v>
      </c>
      <c r="N2006" s="761">
        <v>44615</v>
      </c>
      <c r="O2006" s="761" t="s">
        <v>62</v>
      </c>
      <c r="P2006" s="762" t="s">
        <v>5353</v>
      </c>
      <c r="Q2006" s="3">
        <v>4.75</v>
      </c>
      <c r="R2006" s="3" t="s">
        <v>1547</v>
      </c>
      <c r="S2006" s="3" t="s">
        <v>1757</v>
      </c>
      <c r="T2006" s="3">
        <v>237.9</v>
      </c>
      <c r="U2006" s="3">
        <v>141.19999999999999</v>
      </c>
      <c r="V2006" s="4" t="s">
        <v>2125</v>
      </c>
      <c r="W2006" s="761">
        <v>44614</v>
      </c>
      <c r="X2006" s="761" t="s">
        <v>2125</v>
      </c>
      <c r="Y2006" s="761">
        <v>44615</v>
      </c>
      <c r="Z2006" s="761" t="s">
        <v>62</v>
      </c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</row>
    <row r="2007" spans="1:39" s="707" customFormat="1">
      <c r="A2007"/>
      <c r="B2007" s="797" t="s">
        <v>13</v>
      </c>
      <c r="C2007" s="807" t="s">
        <v>1759</v>
      </c>
      <c r="D2007" s="965"/>
      <c r="E2007" s="875"/>
      <c r="F2007" s="808"/>
      <c r="G2007" s="809"/>
      <c r="H2007" s="807"/>
      <c r="I2007" s="807"/>
      <c r="J2007" s="807"/>
      <c r="K2007" s="807"/>
      <c r="L2007" s="819"/>
      <c r="M2007" s="819"/>
      <c r="N2007" s="819"/>
      <c r="O2007" s="819"/>
      <c r="P2007" s="820"/>
      <c r="Q2007" s="807"/>
      <c r="R2007" s="807"/>
      <c r="S2007" s="807"/>
      <c r="T2007" s="807"/>
      <c r="U2007" s="807"/>
      <c r="V2007" s="710"/>
      <c r="W2007" s="819"/>
      <c r="X2007" s="819"/>
      <c r="Y2007" s="819"/>
      <c r="Z2007" s="819"/>
      <c r="AA2007" s="710"/>
      <c r="AB2007" s="710"/>
      <c r="AC2007" s="710"/>
      <c r="AD2007" s="710"/>
      <c r="AE2007" s="710"/>
      <c r="AF2007" s="710"/>
      <c r="AG2007" s="710"/>
      <c r="AH2007" s="710"/>
      <c r="AI2007" s="710"/>
      <c r="AJ2007" s="710"/>
      <c r="AK2007" s="710"/>
      <c r="AL2007" s="710"/>
      <c r="AM2007" s="710"/>
    </row>
    <row r="2008" spans="1:39">
      <c r="B2008" s="895">
        <v>6</v>
      </c>
      <c r="C2008" s="963" t="s">
        <v>1237</v>
      </c>
      <c r="D2008" s="860">
        <v>300018506</v>
      </c>
      <c r="E2008" s="11" t="s">
        <v>5354</v>
      </c>
      <c r="F2008" s="749">
        <v>1</v>
      </c>
      <c r="G2008" s="3" t="s">
        <v>932</v>
      </c>
      <c r="H2008" s="3" t="s">
        <v>932</v>
      </c>
      <c r="I2008" s="3">
        <v>222.98</v>
      </c>
      <c r="J2008" s="878">
        <v>131.91999999999999</v>
      </c>
      <c r="K2008" s="3" t="s">
        <v>2327</v>
      </c>
      <c r="L2008" s="761">
        <v>44704</v>
      </c>
      <c r="M2008" s="761" t="str">
        <f t="shared" ref="M2008:M2017" si="28">TEXT(N2008,"mmmm")</f>
        <v>May</v>
      </c>
      <c r="N2008" s="761">
        <v>44706</v>
      </c>
      <c r="O2008" s="761" t="s">
        <v>62</v>
      </c>
      <c r="P2008" s="762" t="s">
        <v>5355</v>
      </c>
      <c r="Q2008" s="3">
        <v>4.7699999999999996</v>
      </c>
      <c r="R2008" s="3" t="s">
        <v>1547</v>
      </c>
      <c r="S2008" s="3" t="s">
        <v>1757</v>
      </c>
      <c r="T2008" s="3">
        <v>232.9</v>
      </c>
      <c r="U2008" s="3">
        <v>137.69999999999999</v>
      </c>
      <c r="V2008" s="4" t="s">
        <v>2327</v>
      </c>
      <c r="W2008" s="761">
        <v>44704</v>
      </c>
      <c r="X2008" s="761" t="s">
        <v>3361</v>
      </c>
      <c r="Y2008" s="761">
        <v>44706</v>
      </c>
      <c r="Z2008" s="761" t="s">
        <v>62</v>
      </c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</row>
    <row r="2009" spans="1:39">
      <c r="B2009" s="895">
        <v>6</v>
      </c>
      <c r="C2009" s="963" t="s">
        <v>1237</v>
      </c>
      <c r="D2009" s="860">
        <v>300018507</v>
      </c>
      <c r="E2009" s="11" t="s">
        <v>5356</v>
      </c>
      <c r="F2009" s="749">
        <v>2</v>
      </c>
      <c r="G2009" s="3" t="s">
        <v>1041</v>
      </c>
      <c r="H2009" s="3" t="s">
        <v>932</v>
      </c>
      <c r="I2009" s="3">
        <v>224.96</v>
      </c>
      <c r="J2009" s="878">
        <v>133.86000000000001</v>
      </c>
      <c r="K2009" s="3" t="s">
        <v>2327</v>
      </c>
      <c r="L2009" s="761">
        <v>44705</v>
      </c>
      <c r="M2009" s="761" t="str">
        <f t="shared" si="28"/>
        <v>May</v>
      </c>
      <c r="N2009" s="761">
        <v>44706</v>
      </c>
      <c r="O2009" s="761" t="s">
        <v>62</v>
      </c>
      <c r="P2009" s="762" t="s">
        <v>5357</v>
      </c>
      <c r="Q2009" s="3">
        <v>4.62</v>
      </c>
      <c r="R2009" s="3" t="s">
        <v>1547</v>
      </c>
      <c r="S2009" s="3" t="s">
        <v>1757</v>
      </c>
      <c r="T2009" s="3">
        <v>234.7</v>
      </c>
      <c r="U2009" s="3">
        <v>139.77000000000001</v>
      </c>
      <c r="V2009" s="4" t="s">
        <v>2327</v>
      </c>
      <c r="W2009" s="761">
        <v>44705</v>
      </c>
      <c r="X2009" s="761" t="s">
        <v>3361</v>
      </c>
      <c r="Y2009" s="761">
        <v>44708</v>
      </c>
      <c r="Z2009" s="761" t="s">
        <v>62</v>
      </c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</row>
    <row r="2010" spans="1:39">
      <c r="B2010" s="895">
        <v>6</v>
      </c>
      <c r="C2010" s="963" t="s">
        <v>1237</v>
      </c>
      <c r="D2010" s="860">
        <v>300018508</v>
      </c>
      <c r="E2010" s="11" t="s">
        <v>5358</v>
      </c>
      <c r="F2010" s="749">
        <v>3</v>
      </c>
      <c r="G2010" s="3" t="s">
        <v>1041</v>
      </c>
      <c r="H2010" s="3" t="s">
        <v>932</v>
      </c>
      <c r="I2010" s="3">
        <v>224.56</v>
      </c>
      <c r="J2010" s="878">
        <v>134.5</v>
      </c>
      <c r="K2010" s="3" t="s">
        <v>2327</v>
      </c>
      <c r="L2010" s="761">
        <v>44704</v>
      </c>
      <c r="M2010" s="761" t="str">
        <f t="shared" si="28"/>
        <v>May</v>
      </c>
      <c r="N2010" s="761">
        <v>44706</v>
      </c>
      <c r="O2010" s="761" t="s">
        <v>62</v>
      </c>
      <c r="P2010" s="762" t="s">
        <v>5359</v>
      </c>
      <c r="Q2010" s="3">
        <v>4.71</v>
      </c>
      <c r="R2010" s="3" t="s">
        <v>1547</v>
      </c>
      <c r="S2010" s="3" t="s">
        <v>1757</v>
      </c>
      <c r="T2010" s="3">
        <v>234.3</v>
      </c>
      <c r="U2010" s="3">
        <v>140.22999999999999</v>
      </c>
      <c r="V2010" s="4" t="s">
        <v>2327</v>
      </c>
      <c r="W2010" s="761">
        <v>44704</v>
      </c>
      <c r="X2010" s="761" t="s">
        <v>3361</v>
      </c>
      <c r="Y2010" s="761">
        <v>44706</v>
      </c>
      <c r="Z2010" s="761" t="s">
        <v>62</v>
      </c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</row>
    <row r="2011" spans="1:39">
      <c r="B2011" s="895">
        <v>6</v>
      </c>
      <c r="C2011" s="963" t="s">
        <v>1237</v>
      </c>
      <c r="D2011" s="860">
        <v>300018509</v>
      </c>
      <c r="E2011" s="11" t="s">
        <v>5360</v>
      </c>
      <c r="F2011" s="749">
        <v>4</v>
      </c>
      <c r="G2011" s="3" t="s">
        <v>1041</v>
      </c>
      <c r="H2011" s="3" t="s">
        <v>932</v>
      </c>
      <c r="I2011" s="3">
        <v>226.7</v>
      </c>
      <c r="J2011" s="878">
        <v>134.02000000000001</v>
      </c>
      <c r="K2011" s="3" t="s">
        <v>2327</v>
      </c>
      <c r="L2011" s="761">
        <v>44705</v>
      </c>
      <c r="M2011" s="761" t="str">
        <f t="shared" si="28"/>
        <v>May</v>
      </c>
      <c r="N2011" s="761">
        <v>44706</v>
      </c>
      <c r="O2011" s="761" t="s">
        <v>62</v>
      </c>
      <c r="P2011" s="762" t="s">
        <v>5361</v>
      </c>
      <c r="Q2011" s="3">
        <v>4.67</v>
      </c>
      <c r="R2011" s="3" t="s">
        <v>1547</v>
      </c>
      <c r="S2011" s="3" t="s">
        <v>1757</v>
      </c>
      <c r="T2011" s="3">
        <v>236.3</v>
      </c>
      <c r="U2011" s="3">
        <v>139.91</v>
      </c>
      <c r="V2011" s="4" t="s">
        <v>2327</v>
      </c>
      <c r="W2011" s="761">
        <v>44705</v>
      </c>
      <c r="X2011" s="761" t="s">
        <v>3361</v>
      </c>
      <c r="Y2011" s="761">
        <v>44708</v>
      </c>
      <c r="Z2011" s="761" t="s">
        <v>62</v>
      </c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</row>
    <row r="2012" spans="1:39">
      <c r="B2012" s="895">
        <v>6</v>
      </c>
      <c r="C2012" s="963" t="s">
        <v>1237</v>
      </c>
      <c r="D2012" s="860">
        <v>300018510</v>
      </c>
      <c r="E2012" s="11" t="s">
        <v>5362</v>
      </c>
      <c r="F2012" s="749">
        <v>5</v>
      </c>
      <c r="G2012" s="3" t="s">
        <v>1041</v>
      </c>
      <c r="H2012" s="3" t="s">
        <v>932</v>
      </c>
      <c r="I2012" s="3">
        <v>226.8</v>
      </c>
      <c r="J2012" s="878">
        <v>133.78</v>
      </c>
      <c r="K2012" s="3" t="s">
        <v>2327</v>
      </c>
      <c r="L2012" s="761">
        <v>44705</v>
      </c>
      <c r="M2012" s="761" t="str">
        <f t="shared" si="28"/>
        <v>May</v>
      </c>
      <c r="N2012" s="761">
        <v>44706</v>
      </c>
      <c r="O2012" s="761" t="s">
        <v>62</v>
      </c>
      <c r="P2012" s="762" t="s">
        <v>5363</v>
      </c>
      <c r="Q2012" s="3">
        <v>4.74</v>
      </c>
      <c r="R2012" s="3" t="s">
        <v>1547</v>
      </c>
      <c r="S2012" s="3" t="s">
        <v>1757</v>
      </c>
      <c r="T2012" s="3">
        <v>236.5</v>
      </c>
      <c r="U2012" s="3">
        <v>139.54</v>
      </c>
      <c r="V2012" s="4" t="s">
        <v>2327</v>
      </c>
      <c r="W2012" s="761">
        <v>44705</v>
      </c>
      <c r="X2012" s="761" t="s">
        <v>3361</v>
      </c>
      <c r="Y2012" s="761">
        <v>44706</v>
      </c>
      <c r="Z2012" s="761" t="s">
        <v>62</v>
      </c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</row>
    <row r="2013" spans="1:39">
      <c r="B2013" s="895">
        <v>6</v>
      </c>
      <c r="C2013" s="963" t="s">
        <v>1237</v>
      </c>
      <c r="D2013" s="860">
        <v>300018511</v>
      </c>
      <c r="E2013" s="11" t="s">
        <v>5364</v>
      </c>
      <c r="F2013" s="749">
        <v>6</v>
      </c>
      <c r="G2013" s="3" t="s">
        <v>932</v>
      </c>
      <c r="H2013" s="3" t="s">
        <v>932</v>
      </c>
      <c r="I2013" s="3">
        <v>226.94</v>
      </c>
      <c r="J2013" s="878">
        <v>134.52000000000001</v>
      </c>
      <c r="K2013" s="3" t="s">
        <v>2327</v>
      </c>
      <c r="L2013" s="761">
        <v>44705</v>
      </c>
      <c r="M2013" s="761" t="str">
        <f t="shared" si="28"/>
        <v>May</v>
      </c>
      <c r="N2013" s="761">
        <v>44706</v>
      </c>
      <c r="O2013" s="761" t="s">
        <v>62</v>
      </c>
      <c r="P2013" s="762" t="s">
        <v>5365</v>
      </c>
      <c r="Q2013" s="3">
        <v>4.74</v>
      </c>
      <c r="R2013" s="3" t="s">
        <v>1547</v>
      </c>
      <c r="S2013" s="3" t="s">
        <v>1757</v>
      </c>
      <c r="T2013" s="3">
        <v>236.4</v>
      </c>
      <c r="U2013" s="3">
        <v>140.30000000000001</v>
      </c>
      <c r="V2013" s="4" t="s">
        <v>2327</v>
      </c>
      <c r="W2013" s="761">
        <v>44705</v>
      </c>
      <c r="X2013" s="761" t="s">
        <v>3361</v>
      </c>
      <c r="Y2013" s="761">
        <v>44706</v>
      </c>
      <c r="Z2013" s="761" t="s">
        <v>62</v>
      </c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</row>
    <row r="2014" spans="1:39">
      <c r="B2014" s="895">
        <v>6</v>
      </c>
      <c r="C2014" s="963" t="s">
        <v>1237</v>
      </c>
      <c r="D2014" s="860">
        <v>300018512</v>
      </c>
      <c r="E2014" s="11" t="s">
        <v>5366</v>
      </c>
      <c r="F2014" s="749">
        <v>7</v>
      </c>
      <c r="G2014" s="3" t="s">
        <v>932</v>
      </c>
      <c r="H2014" s="3" t="s">
        <v>932</v>
      </c>
      <c r="I2014" s="3">
        <v>222.76</v>
      </c>
      <c r="J2014" s="878">
        <v>135.16</v>
      </c>
      <c r="K2014" s="3" t="s">
        <v>2327</v>
      </c>
      <c r="L2014" s="761">
        <v>44705</v>
      </c>
      <c r="M2014" s="761" t="str">
        <f t="shared" si="28"/>
        <v>May</v>
      </c>
      <c r="N2014" s="761">
        <v>44706</v>
      </c>
      <c r="O2014" s="761" t="s">
        <v>62</v>
      </c>
      <c r="P2014" s="762" t="s">
        <v>5367</v>
      </c>
      <c r="Q2014" s="3">
        <v>4.5999999999999996</v>
      </c>
      <c r="R2014" s="3" t="s">
        <v>1547</v>
      </c>
      <c r="S2014" s="3" t="s">
        <v>1757</v>
      </c>
      <c r="T2014" s="3">
        <v>232.6</v>
      </c>
      <c r="U2014" s="3">
        <v>141.04</v>
      </c>
      <c r="V2014" s="4" t="s">
        <v>2327</v>
      </c>
      <c r="W2014" s="761">
        <v>44705</v>
      </c>
      <c r="X2014" s="761" t="s">
        <v>3361</v>
      </c>
      <c r="Y2014" s="761">
        <v>44706</v>
      </c>
      <c r="Z2014" s="761" t="s">
        <v>62</v>
      </c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</row>
    <row r="2015" spans="1:39">
      <c r="B2015" s="895">
        <v>6</v>
      </c>
      <c r="C2015" s="963" t="s">
        <v>1237</v>
      </c>
      <c r="D2015" s="860">
        <v>300018513</v>
      </c>
      <c r="E2015" s="11" t="s">
        <v>5368</v>
      </c>
      <c r="F2015" s="749">
        <v>8</v>
      </c>
      <c r="G2015" s="3" t="s">
        <v>932</v>
      </c>
      <c r="H2015" s="3" t="s">
        <v>932</v>
      </c>
      <c r="I2015" s="3">
        <v>226.84</v>
      </c>
      <c r="J2015" s="878">
        <v>137.52000000000001</v>
      </c>
      <c r="K2015" s="3" t="s">
        <v>2327</v>
      </c>
      <c r="L2015" s="761">
        <v>44705</v>
      </c>
      <c r="M2015" s="761" t="str">
        <f t="shared" si="28"/>
        <v>May</v>
      </c>
      <c r="N2015" s="761">
        <v>44706</v>
      </c>
      <c r="O2015" s="761" t="s">
        <v>62</v>
      </c>
      <c r="P2015" s="762" t="s">
        <v>5369</v>
      </c>
      <c r="Q2015" s="3">
        <v>4.63</v>
      </c>
      <c r="R2015" s="3" t="s">
        <v>1547</v>
      </c>
      <c r="S2015" s="3" t="s">
        <v>1757</v>
      </c>
      <c r="T2015" s="3">
        <v>236.2</v>
      </c>
      <c r="U2015" s="3">
        <v>142.6</v>
      </c>
      <c r="V2015" s="4" t="s">
        <v>2327</v>
      </c>
      <c r="W2015" s="761">
        <v>44705</v>
      </c>
      <c r="X2015" s="761" t="s">
        <v>3361</v>
      </c>
      <c r="Y2015" s="761">
        <v>44706</v>
      </c>
      <c r="Z2015" s="761" t="s">
        <v>62</v>
      </c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</row>
    <row r="2016" spans="1:39">
      <c r="B2016" s="895">
        <v>6</v>
      </c>
      <c r="C2016" s="963" t="s">
        <v>1237</v>
      </c>
      <c r="D2016" s="860">
        <v>300018514</v>
      </c>
      <c r="E2016" s="11" t="s">
        <v>5370</v>
      </c>
      <c r="F2016" s="749">
        <v>9</v>
      </c>
      <c r="G2016" s="3" t="s">
        <v>932</v>
      </c>
      <c r="H2016" s="3" t="s">
        <v>932</v>
      </c>
      <c r="I2016" s="3">
        <v>225.76</v>
      </c>
      <c r="J2016" s="878">
        <v>134.32</v>
      </c>
      <c r="K2016" s="3" t="s">
        <v>2327</v>
      </c>
      <c r="L2016" s="761">
        <v>44705</v>
      </c>
      <c r="M2016" s="761" t="str">
        <f t="shared" si="28"/>
        <v>May</v>
      </c>
      <c r="N2016" s="761">
        <v>44706</v>
      </c>
      <c r="O2016" s="761" t="s">
        <v>62</v>
      </c>
      <c r="P2016" s="762" t="s">
        <v>5371</v>
      </c>
      <c r="Q2016" s="3">
        <v>4.67</v>
      </c>
      <c r="R2016" s="3" t="s">
        <v>1547</v>
      </c>
      <c r="S2016" s="3" t="s">
        <v>1757</v>
      </c>
      <c r="T2016" s="3">
        <v>235.4</v>
      </c>
      <c r="U2016" s="3">
        <v>140.61000000000001</v>
      </c>
      <c r="V2016" s="4" t="s">
        <v>2327</v>
      </c>
      <c r="W2016" s="761">
        <v>44706</v>
      </c>
      <c r="X2016" s="761" t="s">
        <v>3361</v>
      </c>
      <c r="Y2016" s="761">
        <v>44706</v>
      </c>
      <c r="Z2016" s="761" t="s">
        <v>62</v>
      </c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</row>
    <row r="2017" spans="1:39">
      <c r="B2017" s="895">
        <v>6</v>
      </c>
      <c r="C2017" s="963" t="s">
        <v>1237</v>
      </c>
      <c r="D2017" s="860">
        <v>300018515</v>
      </c>
      <c r="E2017" s="11" t="s">
        <v>5372</v>
      </c>
      <c r="F2017" s="749">
        <v>10</v>
      </c>
      <c r="G2017" s="3" t="s">
        <v>932</v>
      </c>
      <c r="H2017" s="3" t="s">
        <v>932</v>
      </c>
      <c r="I2017" s="3">
        <v>227.04</v>
      </c>
      <c r="J2017" s="878">
        <v>135.47999999999999</v>
      </c>
      <c r="K2017" s="3" t="s">
        <v>2327</v>
      </c>
      <c r="L2017" s="761">
        <v>44705</v>
      </c>
      <c r="M2017" s="761" t="str">
        <f t="shared" si="28"/>
        <v>May</v>
      </c>
      <c r="N2017" s="761">
        <v>44706</v>
      </c>
      <c r="O2017" s="761" t="s">
        <v>62</v>
      </c>
      <c r="P2017" s="762" t="s">
        <v>5373</v>
      </c>
      <c r="Q2017" s="3">
        <v>4.7</v>
      </c>
      <c r="R2017" s="3" t="s">
        <v>1547</v>
      </c>
      <c r="S2017" s="3" t="s">
        <v>1757</v>
      </c>
      <c r="T2017" s="3">
        <v>236.5</v>
      </c>
      <c r="U2017" s="3">
        <v>142.05000000000001</v>
      </c>
      <c r="V2017" s="4" t="s">
        <v>2327</v>
      </c>
      <c r="W2017" s="761">
        <v>44706</v>
      </c>
      <c r="X2017" s="761" t="s">
        <v>3361</v>
      </c>
      <c r="Y2017" s="761">
        <v>44706</v>
      </c>
      <c r="Z2017" s="761" t="s">
        <v>62</v>
      </c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</row>
    <row r="2018" spans="1:39" s="707" customFormat="1">
      <c r="A2018"/>
      <c r="B2018" s="797" t="s">
        <v>13</v>
      </c>
      <c r="C2018" s="807" t="s">
        <v>1764</v>
      </c>
      <c r="D2018" s="853"/>
      <c r="E2018" s="874"/>
      <c r="F2018" s="808"/>
      <c r="G2018" s="807"/>
      <c r="H2018" s="807"/>
      <c r="I2018" s="807"/>
      <c r="J2018" s="881"/>
      <c r="K2018" s="807"/>
      <c r="L2018" s="819"/>
      <c r="M2018" s="819"/>
      <c r="N2018" s="819"/>
      <c r="O2018" s="819"/>
      <c r="P2018" s="820"/>
      <c r="Q2018" s="807"/>
      <c r="R2018" s="807"/>
      <c r="S2018" s="807"/>
      <c r="T2018" s="807"/>
      <c r="U2018" s="807"/>
      <c r="V2018" s="710"/>
      <c r="W2018" s="819"/>
      <c r="X2018" s="819"/>
      <c r="Y2018" s="819"/>
      <c r="Z2018" s="819"/>
      <c r="AA2018" s="710"/>
      <c r="AB2018" s="710"/>
      <c r="AC2018" s="710"/>
      <c r="AD2018" s="710"/>
      <c r="AE2018" s="710"/>
      <c r="AF2018" s="710"/>
      <c r="AG2018" s="710"/>
      <c r="AH2018" s="710"/>
      <c r="AI2018" s="710"/>
      <c r="AJ2018" s="710"/>
      <c r="AK2018" s="710"/>
      <c r="AL2018" s="710"/>
      <c r="AM2018" s="710"/>
    </row>
    <row r="2019" spans="1:39">
      <c r="B2019" s="895">
        <v>7</v>
      </c>
      <c r="C2019" s="963" t="s">
        <v>1237</v>
      </c>
      <c r="D2019" s="860">
        <v>300018768</v>
      </c>
      <c r="E2019" s="11" t="s">
        <v>5374</v>
      </c>
      <c r="F2019" s="749">
        <v>1</v>
      </c>
      <c r="G2019" s="3" t="s">
        <v>128</v>
      </c>
      <c r="H2019" s="3" t="s">
        <v>60</v>
      </c>
      <c r="I2019" s="3">
        <v>266.39999999999998</v>
      </c>
      <c r="J2019" s="878">
        <v>450.49</v>
      </c>
      <c r="K2019" s="3" t="s">
        <v>2411</v>
      </c>
      <c r="L2019" s="761">
        <v>44735</v>
      </c>
      <c r="M2019" s="761" t="s">
        <v>2411</v>
      </c>
      <c r="N2019" s="761">
        <v>44735</v>
      </c>
      <c r="O2019" s="761" t="s">
        <v>62</v>
      </c>
      <c r="P2019" s="762" t="s">
        <v>5375</v>
      </c>
      <c r="Q2019" s="3">
        <v>4.45</v>
      </c>
      <c r="R2019" s="967"/>
      <c r="S2019" s="3" t="s">
        <v>130</v>
      </c>
      <c r="T2019" s="967"/>
      <c r="U2019" s="3">
        <v>277.7</v>
      </c>
      <c r="V2019" s="4" t="s">
        <v>3459</v>
      </c>
      <c r="W2019" s="761"/>
      <c r="X2019" s="761" t="s">
        <v>2411</v>
      </c>
      <c r="Y2019" s="761">
        <v>44735</v>
      </c>
      <c r="Z2019" s="761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</row>
    <row r="2020" spans="1:39">
      <c r="B2020" s="895">
        <v>7</v>
      </c>
      <c r="C2020" s="963" t="s">
        <v>1237</v>
      </c>
      <c r="D2020" s="860">
        <v>300018769</v>
      </c>
      <c r="E2020" s="11" t="s">
        <v>5376</v>
      </c>
      <c r="F2020" s="749">
        <v>2</v>
      </c>
      <c r="G2020" s="3" t="s">
        <v>128</v>
      </c>
      <c r="H2020" s="3" t="s">
        <v>60</v>
      </c>
      <c r="I2020" s="3">
        <v>296.42</v>
      </c>
      <c r="J2020" s="878">
        <v>453.12</v>
      </c>
      <c r="K2020" s="3" t="s">
        <v>2411</v>
      </c>
      <c r="L2020" s="761">
        <v>44735</v>
      </c>
      <c r="M2020" s="761" t="s">
        <v>2411</v>
      </c>
      <c r="N2020" s="761">
        <v>44735</v>
      </c>
      <c r="O2020" s="761" t="s">
        <v>62</v>
      </c>
      <c r="P2020" s="762" t="s">
        <v>5377</v>
      </c>
      <c r="Q2020" s="3">
        <v>4.41</v>
      </c>
      <c r="R2020" s="967"/>
      <c r="S2020" s="3"/>
      <c r="T2020" s="967"/>
      <c r="U2020" s="3"/>
      <c r="V2020" s="4" t="s">
        <v>3459</v>
      </c>
      <c r="W2020" s="761"/>
      <c r="X2020" s="761"/>
      <c r="Y2020" s="761"/>
      <c r="Z2020" s="761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</row>
    <row r="2021" spans="1:39">
      <c r="B2021" s="895">
        <v>7</v>
      </c>
      <c r="C2021" s="963" t="s">
        <v>1237</v>
      </c>
      <c r="D2021" s="860">
        <v>300018770</v>
      </c>
      <c r="E2021" s="11" t="s">
        <v>5378</v>
      </c>
      <c r="F2021" s="749">
        <v>3</v>
      </c>
      <c r="G2021" s="3" t="s">
        <v>128</v>
      </c>
      <c r="H2021" s="3" t="s">
        <v>60</v>
      </c>
      <c r="I2021" s="3">
        <v>268.27</v>
      </c>
      <c r="J2021" s="878">
        <v>447.56</v>
      </c>
      <c r="K2021" s="3" t="s">
        <v>2411</v>
      </c>
      <c r="L2021" s="761">
        <v>44739</v>
      </c>
      <c r="M2021" s="761" t="s">
        <v>2411</v>
      </c>
      <c r="N2021" s="761">
        <v>44739</v>
      </c>
      <c r="O2021" s="761" t="s">
        <v>62</v>
      </c>
      <c r="P2021" s="762" t="s">
        <v>5379</v>
      </c>
      <c r="Q2021" s="3">
        <v>4.16</v>
      </c>
      <c r="R2021" s="967"/>
      <c r="S2021" s="3" t="s">
        <v>130</v>
      </c>
      <c r="T2021" s="967"/>
      <c r="U2021" s="3">
        <v>279.3</v>
      </c>
      <c r="V2021" s="4" t="s">
        <v>3373</v>
      </c>
      <c r="W2021" s="761">
        <v>44739</v>
      </c>
      <c r="X2021" s="761"/>
      <c r="Y2021" s="761"/>
      <c r="Z2021" s="761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</row>
    <row r="2022" spans="1:39">
      <c r="B2022" s="895">
        <v>7</v>
      </c>
      <c r="C2022" s="963" t="s">
        <v>1237</v>
      </c>
      <c r="D2022" s="860">
        <v>300018771</v>
      </c>
      <c r="E2022" s="11" t="s">
        <v>5380</v>
      </c>
      <c r="F2022" s="749">
        <v>4</v>
      </c>
      <c r="G2022" s="3" t="s">
        <v>128</v>
      </c>
      <c r="H2022" s="3" t="s">
        <v>60</v>
      </c>
      <c r="I2022" s="3">
        <v>269.5</v>
      </c>
      <c r="J2022" s="878">
        <v>460.7</v>
      </c>
      <c r="K2022" s="3" t="s">
        <v>2411</v>
      </c>
      <c r="L2022" s="761">
        <v>44739</v>
      </c>
      <c r="M2022" s="761" t="s">
        <v>2411</v>
      </c>
      <c r="N2022" s="761">
        <v>44739</v>
      </c>
      <c r="O2022" s="761" t="s">
        <v>62</v>
      </c>
      <c r="P2022" s="762" t="s">
        <v>5381</v>
      </c>
      <c r="Q2022" s="3">
        <v>4.38</v>
      </c>
      <c r="R2022" s="967"/>
      <c r="S2022" s="3" t="s">
        <v>130</v>
      </c>
      <c r="T2022" s="967"/>
      <c r="U2022" s="3">
        <v>280.8</v>
      </c>
      <c r="V2022" s="4" t="s">
        <v>3373</v>
      </c>
      <c r="W2022" s="761">
        <v>44739</v>
      </c>
      <c r="X2022" s="761"/>
      <c r="Y2022" s="761"/>
      <c r="Z2022" s="761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</row>
    <row r="2023" spans="1:39">
      <c r="B2023" s="895">
        <v>7</v>
      </c>
      <c r="C2023" s="963" t="s">
        <v>1237</v>
      </c>
      <c r="D2023" s="860">
        <v>300018772</v>
      </c>
      <c r="E2023" s="11" t="s">
        <v>5382</v>
      </c>
      <c r="F2023" s="749">
        <v>5</v>
      </c>
      <c r="G2023" s="3" t="s">
        <v>60</v>
      </c>
      <c r="H2023" s="3" t="s">
        <v>60</v>
      </c>
      <c r="I2023" s="3">
        <v>266.64999999999998</v>
      </c>
      <c r="J2023" s="878">
        <v>460.7</v>
      </c>
      <c r="K2023" s="3" t="s">
        <v>2411</v>
      </c>
      <c r="L2023" s="761">
        <v>44740</v>
      </c>
      <c r="M2023" s="761" t="s">
        <v>2411</v>
      </c>
      <c r="N2023" s="761">
        <v>44739</v>
      </c>
      <c r="O2023" s="761" t="s">
        <v>62</v>
      </c>
      <c r="P2023" s="762" t="s">
        <v>5383</v>
      </c>
      <c r="Q2023" s="3">
        <v>4</v>
      </c>
      <c r="R2023" s="967"/>
      <c r="S2023" s="3" t="s">
        <v>130</v>
      </c>
      <c r="T2023" s="967"/>
      <c r="U2023" s="3">
        <v>278</v>
      </c>
      <c r="V2023" s="4" t="s">
        <v>3373</v>
      </c>
      <c r="W2023" s="761">
        <v>44740</v>
      </c>
      <c r="X2023" s="761"/>
      <c r="Y2023" s="761"/>
      <c r="Z2023" s="761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</row>
    <row r="2024" spans="1:39">
      <c r="B2024" s="895">
        <v>7</v>
      </c>
      <c r="C2024" s="963" t="s">
        <v>1237</v>
      </c>
      <c r="D2024" s="860">
        <v>300018773</v>
      </c>
      <c r="E2024" s="11" t="s">
        <v>5384</v>
      </c>
      <c r="F2024" s="749">
        <v>6</v>
      </c>
      <c r="G2024" s="3" t="s">
        <v>60</v>
      </c>
      <c r="H2024" s="3" t="s">
        <v>60</v>
      </c>
      <c r="I2024" s="3">
        <v>269.14</v>
      </c>
      <c r="J2024" s="878">
        <v>453.33</v>
      </c>
      <c r="K2024" s="3" t="s">
        <v>2411</v>
      </c>
      <c r="L2024" s="761">
        <v>44740</v>
      </c>
      <c r="M2024" s="761" t="s">
        <v>2411</v>
      </c>
      <c r="N2024" s="761">
        <v>44740</v>
      </c>
      <c r="O2024" s="761" t="s">
        <v>62</v>
      </c>
      <c r="P2024" s="762" t="s">
        <v>5385</v>
      </c>
      <c r="Q2024" s="3">
        <v>4.4800000000000004</v>
      </c>
      <c r="R2024" s="967"/>
      <c r="S2024" s="3" t="s">
        <v>130</v>
      </c>
      <c r="T2024" s="967"/>
      <c r="U2024" s="3">
        <v>280.7</v>
      </c>
      <c r="V2024" s="4" t="s">
        <v>3373</v>
      </c>
      <c r="W2024" s="761">
        <v>44740</v>
      </c>
      <c r="X2024" s="761"/>
      <c r="Y2024" s="761"/>
      <c r="Z2024" s="761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</row>
    <row r="2025" spans="1:39">
      <c r="B2025" s="895">
        <v>7</v>
      </c>
      <c r="C2025" s="963" t="s">
        <v>1237</v>
      </c>
      <c r="D2025" s="860">
        <v>300018774</v>
      </c>
      <c r="E2025" s="11" t="s">
        <v>5386</v>
      </c>
      <c r="F2025" s="749">
        <v>7</v>
      </c>
      <c r="G2025" s="3" t="s">
        <v>60</v>
      </c>
      <c r="H2025" s="3" t="s">
        <v>60</v>
      </c>
      <c r="I2025" s="3">
        <v>269.69</v>
      </c>
      <c r="J2025" s="878">
        <v>452.78</v>
      </c>
      <c r="K2025" s="3" t="s">
        <v>2411</v>
      </c>
      <c r="L2025" s="761">
        <v>44740</v>
      </c>
      <c r="M2025" s="761" t="s">
        <v>2411</v>
      </c>
      <c r="N2025" s="761">
        <v>44740</v>
      </c>
      <c r="O2025" s="761" t="s">
        <v>62</v>
      </c>
      <c r="P2025" s="762" t="s">
        <v>5387</v>
      </c>
      <c r="Q2025" s="3">
        <v>4.33</v>
      </c>
      <c r="R2025" s="967"/>
      <c r="S2025" s="3" t="s">
        <v>130</v>
      </c>
      <c r="T2025" s="967"/>
      <c r="U2025" s="3">
        <v>281.3</v>
      </c>
      <c r="V2025" s="4" t="s">
        <v>3373</v>
      </c>
      <c r="W2025" s="761">
        <v>44740</v>
      </c>
      <c r="X2025" s="761"/>
      <c r="Y2025" s="761"/>
      <c r="Z2025" s="761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</row>
    <row r="2026" spans="1:39">
      <c r="B2026" s="895">
        <v>7</v>
      </c>
      <c r="C2026" s="963" t="s">
        <v>1237</v>
      </c>
      <c r="D2026" s="860">
        <v>300018775</v>
      </c>
      <c r="E2026" s="11" t="s">
        <v>5388</v>
      </c>
      <c r="F2026" s="749">
        <v>8</v>
      </c>
      <c r="G2026" s="3" t="s">
        <v>60</v>
      </c>
      <c r="H2026" s="3" t="s">
        <v>60</v>
      </c>
      <c r="I2026" s="3">
        <v>274.89999999999998</v>
      </c>
      <c r="J2026" s="878">
        <v>455.42</v>
      </c>
      <c r="K2026" s="3" t="s">
        <v>2411</v>
      </c>
      <c r="L2026" s="761">
        <v>44740</v>
      </c>
      <c r="M2026" s="761" t="s">
        <v>2411</v>
      </c>
      <c r="N2026" s="761">
        <v>44741</v>
      </c>
      <c r="O2026" s="761" t="s">
        <v>62</v>
      </c>
      <c r="P2026" s="762" t="s">
        <v>5389</v>
      </c>
      <c r="Q2026" s="3">
        <v>4.08</v>
      </c>
      <c r="R2026" s="967"/>
      <c r="S2026" s="3" t="s">
        <v>130</v>
      </c>
      <c r="T2026" s="967"/>
      <c r="U2026" s="3">
        <v>286.60000000000002</v>
      </c>
      <c r="V2026" s="4" t="s">
        <v>3373</v>
      </c>
      <c r="W2026" s="761">
        <v>44740</v>
      </c>
      <c r="X2026" s="761"/>
      <c r="Y2026" s="761"/>
      <c r="Z2026" s="761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</row>
    <row r="2027" spans="1:39" s="707" customFormat="1">
      <c r="A2027"/>
      <c r="B2027" s="797" t="s">
        <v>13</v>
      </c>
      <c r="C2027" s="807" t="s">
        <v>1760</v>
      </c>
      <c r="D2027" s="853"/>
      <c r="E2027" s="874"/>
      <c r="F2027" s="808"/>
      <c r="G2027" s="807"/>
      <c r="H2027" s="807"/>
      <c r="I2027" s="807"/>
      <c r="J2027" s="881"/>
      <c r="K2027" s="807"/>
      <c r="L2027" s="819"/>
      <c r="M2027" s="819"/>
      <c r="N2027" s="819"/>
      <c r="O2027" s="819"/>
      <c r="P2027" s="820"/>
      <c r="Q2027" s="807"/>
      <c r="R2027" s="807"/>
      <c r="S2027" s="807"/>
      <c r="T2027" s="807"/>
      <c r="U2027" s="807"/>
      <c r="V2027" s="710"/>
      <c r="W2027" s="819"/>
      <c r="X2027" s="819"/>
      <c r="Y2027" s="819"/>
      <c r="Z2027" s="819"/>
      <c r="AA2027" s="710"/>
      <c r="AB2027" s="710"/>
      <c r="AC2027" s="710"/>
      <c r="AD2027" s="710"/>
      <c r="AE2027" s="710"/>
      <c r="AF2027" s="710"/>
      <c r="AG2027" s="710"/>
      <c r="AH2027" s="710"/>
      <c r="AI2027" s="710"/>
      <c r="AJ2027" s="710"/>
      <c r="AK2027" s="710"/>
      <c r="AL2027" s="710"/>
      <c r="AM2027" s="710"/>
    </row>
    <row r="2028" spans="1:39">
      <c r="B2028" s="1496" t="s">
        <v>541</v>
      </c>
      <c r="C2028" s="963" t="s">
        <v>1237</v>
      </c>
      <c r="D2028" s="860">
        <v>300019157</v>
      </c>
      <c r="E2028" s="11" t="s">
        <v>5390</v>
      </c>
      <c r="F2028" s="749">
        <v>1</v>
      </c>
      <c r="G2028" s="3" t="s">
        <v>128</v>
      </c>
      <c r="H2028" s="3" t="s">
        <v>128</v>
      </c>
      <c r="I2028" s="786">
        <v>268.99</v>
      </c>
      <c r="J2028" s="786">
        <v>455.1</v>
      </c>
      <c r="K2028" s="3" t="str">
        <f t="shared" ref="K2028:K2033" si="29">TEXT(L2028,"mmmm")</f>
        <v>September</v>
      </c>
      <c r="L2028" s="761">
        <v>44819</v>
      </c>
      <c r="M2028" s="761" t="str">
        <f t="shared" ref="M2028:M2033" si="30">TEXT(N2028,"mmmm")</f>
        <v>September</v>
      </c>
      <c r="N2028" s="761">
        <v>44820</v>
      </c>
      <c r="O2028" s="761" t="s">
        <v>62</v>
      </c>
      <c r="P2028" s="3" t="s">
        <v>5391</v>
      </c>
      <c r="Q2028" s="3" t="s">
        <v>5392</v>
      </c>
      <c r="R2028" s="967"/>
      <c r="S2028" s="3" t="s">
        <v>130</v>
      </c>
      <c r="T2028" s="967"/>
      <c r="U2028" s="786">
        <v>280.2</v>
      </c>
      <c r="V2028" s="4" t="str">
        <f t="shared" ref="V2028:V2033" si="31">TEXT(W2028,"mmmm")</f>
        <v>September</v>
      </c>
      <c r="W2028" s="761">
        <v>44820</v>
      </c>
      <c r="X2028" s="4"/>
      <c r="Y2028" s="761"/>
      <c r="Z2028" s="761" t="s">
        <v>62</v>
      </c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</row>
    <row r="2029" spans="1:39">
      <c r="B2029" s="1496" t="s">
        <v>541</v>
      </c>
      <c r="C2029" s="963" t="s">
        <v>1237</v>
      </c>
      <c r="D2029" s="860">
        <v>300019158</v>
      </c>
      <c r="E2029" s="11" t="s">
        <v>5393</v>
      </c>
      <c r="F2029" s="749">
        <v>2</v>
      </c>
      <c r="G2029" s="3" t="s">
        <v>128</v>
      </c>
      <c r="H2029" s="3" t="s">
        <v>128</v>
      </c>
      <c r="I2029" s="786">
        <v>270.5</v>
      </c>
      <c r="J2029" s="786">
        <v>457.3</v>
      </c>
      <c r="K2029" s="3" t="str">
        <f t="shared" si="29"/>
        <v>September</v>
      </c>
      <c r="L2029" s="761">
        <v>44819</v>
      </c>
      <c r="M2029" s="761" t="str">
        <f t="shared" si="30"/>
        <v>September</v>
      </c>
      <c r="N2029" s="761">
        <v>44820</v>
      </c>
      <c r="O2029" s="761" t="s">
        <v>62</v>
      </c>
      <c r="P2029" s="3" t="s">
        <v>5394</v>
      </c>
      <c r="Q2029" s="3" t="s">
        <v>5395</v>
      </c>
      <c r="R2029" s="967"/>
      <c r="S2029" s="3" t="s">
        <v>130</v>
      </c>
      <c r="T2029" s="967"/>
      <c r="U2029" s="786">
        <v>281.3</v>
      </c>
      <c r="V2029" s="4" t="str">
        <f t="shared" si="31"/>
        <v>September</v>
      </c>
      <c r="W2029" s="761">
        <v>44820</v>
      </c>
      <c r="X2029" s="761"/>
      <c r="Y2029" s="761"/>
      <c r="Z2029" s="761" t="s">
        <v>62</v>
      </c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</row>
    <row r="2030" spans="1:39">
      <c r="B2030" s="1496" t="s">
        <v>541</v>
      </c>
      <c r="C2030" s="963" t="s">
        <v>1237</v>
      </c>
      <c r="D2030" s="860">
        <v>300019159</v>
      </c>
      <c r="E2030" s="11" t="s">
        <v>5396</v>
      </c>
      <c r="F2030" s="749">
        <v>3</v>
      </c>
      <c r="G2030" s="3" t="s">
        <v>128</v>
      </c>
      <c r="H2030" s="3" t="s">
        <v>128</v>
      </c>
      <c r="I2030" s="786">
        <v>271.24</v>
      </c>
      <c r="J2030" s="786">
        <v>456.1</v>
      </c>
      <c r="K2030" s="3" t="str">
        <f t="shared" si="29"/>
        <v>September</v>
      </c>
      <c r="L2030" s="761">
        <v>44823</v>
      </c>
      <c r="M2030" s="761" t="str">
        <f t="shared" si="30"/>
        <v>September</v>
      </c>
      <c r="N2030" s="761">
        <v>44820</v>
      </c>
      <c r="O2030" s="761" t="s">
        <v>62</v>
      </c>
      <c r="P2030" s="3" t="s">
        <v>5397</v>
      </c>
      <c r="Q2030" s="3" t="s">
        <v>5398</v>
      </c>
      <c r="R2030" s="967"/>
      <c r="S2030" s="3" t="s">
        <v>130</v>
      </c>
      <c r="T2030" s="967"/>
      <c r="U2030" s="786">
        <v>282.77</v>
      </c>
      <c r="V2030" s="4" t="str">
        <f t="shared" si="31"/>
        <v>September</v>
      </c>
      <c r="W2030" s="761">
        <v>44823</v>
      </c>
      <c r="X2030" s="761"/>
      <c r="Y2030" s="761"/>
      <c r="Z2030" s="761" t="s">
        <v>62</v>
      </c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</row>
    <row r="2031" spans="1:39">
      <c r="B2031" s="1496" t="s">
        <v>541</v>
      </c>
      <c r="C2031" s="963" t="s">
        <v>1237</v>
      </c>
      <c r="D2031" s="860">
        <v>300019200</v>
      </c>
      <c r="E2031" s="11" t="s">
        <v>5399</v>
      </c>
      <c r="F2031" s="749">
        <v>4</v>
      </c>
      <c r="G2031" s="3" t="s">
        <v>128</v>
      </c>
      <c r="H2031" s="3" t="s">
        <v>128</v>
      </c>
      <c r="I2031" s="786">
        <v>269.55</v>
      </c>
      <c r="J2031" s="786">
        <v>456.1</v>
      </c>
      <c r="K2031" s="3" t="str">
        <f t="shared" si="29"/>
        <v>September</v>
      </c>
      <c r="L2031" s="761">
        <v>44823</v>
      </c>
      <c r="M2031" s="761" t="str">
        <f t="shared" si="30"/>
        <v>September</v>
      </c>
      <c r="N2031" s="761">
        <v>44820</v>
      </c>
      <c r="O2031" s="761" t="s">
        <v>62</v>
      </c>
      <c r="P2031" s="3" t="s">
        <v>5400</v>
      </c>
      <c r="Q2031" s="3" t="s">
        <v>5401</v>
      </c>
      <c r="R2031" s="967"/>
      <c r="S2031" s="3" t="s">
        <v>130</v>
      </c>
      <c r="T2031" s="967"/>
      <c r="U2031" s="786">
        <v>281.3</v>
      </c>
      <c r="V2031" s="4" t="str">
        <f t="shared" si="31"/>
        <v>September</v>
      </c>
      <c r="W2031" s="761">
        <v>44823</v>
      </c>
      <c r="X2031" s="761"/>
      <c r="Y2031" s="761"/>
      <c r="Z2031" s="761" t="s">
        <v>62</v>
      </c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</row>
    <row r="2032" spans="1:39">
      <c r="B2032" s="1496" t="s">
        <v>541</v>
      </c>
      <c r="C2032" s="963" t="s">
        <v>1237</v>
      </c>
      <c r="D2032" s="860">
        <v>300019201</v>
      </c>
      <c r="E2032" s="11" t="s">
        <v>5402</v>
      </c>
      <c r="F2032" s="749">
        <v>5</v>
      </c>
      <c r="G2032" s="3" t="s">
        <v>128</v>
      </c>
      <c r="H2032" s="3" t="s">
        <v>128</v>
      </c>
      <c r="I2032" s="786">
        <v>271.43</v>
      </c>
      <c r="J2032" s="786">
        <v>452.7</v>
      </c>
      <c r="K2032" s="3" t="str">
        <f t="shared" si="29"/>
        <v>September</v>
      </c>
      <c r="L2032" s="761">
        <v>44823</v>
      </c>
      <c r="M2032" s="761" t="str">
        <f t="shared" si="30"/>
        <v>September</v>
      </c>
      <c r="N2032" s="761">
        <v>44823</v>
      </c>
      <c r="O2032" s="761" t="s">
        <v>62</v>
      </c>
      <c r="P2032" s="3" t="s">
        <v>5403</v>
      </c>
      <c r="Q2032" s="3" t="s">
        <v>5404</v>
      </c>
      <c r="R2032" s="967"/>
      <c r="S2032" s="3" t="s">
        <v>130</v>
      </c>
      <c r="T2032" s="967"/>
      <c r="U2032" s="786">
        <v>283</v>
      </c>
      <c r="V2032" s="4" t="str">
        <f t="shared" si="31"/>
        <v>September</v>
      </c>
      <c r="W2032" s="761">
        <v>44823</v>
      </c>
      <c r="X2032" s="761"/>
      <c r="Y2032" s="761"/>
      <c r="Z2032" s="761" t="s">
        <v>62</v>
      </c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</row>
    <row r="2033" spans="1:39">
      <c r="B2033" s="1496" t="s">
        <v>541</v>
      </c>
      <c r="C2033" s="963" t="s">
        <v>1237</v>
      </c>
      <c r="D2033" s="860">
        <v>300019202</v>
      </c>
      <c r="E2033" s="11" t="s">
        <v>5405</v>
      </c>
      <c r="F2033" s="749">
        <v>6</v>
      </c>
      <c r="G2033" s="3" t="s">
        <v>128</v>
      </c>
      <c r="H2033" s="3" t="s">
        <v>128</v>
      </c>
      <c r="I2033" s="786">
        <v>270.3</v>
      </c>
      <c r="J2033" s="786">
        <v>456</v>
      </c>
      <c r="K2033" s="3" t="str">
        <f t="shared" si="29"/>
        <v>September</v>
      </c>
      <c r="L2033" s="761">
        <v>44823</v>
      </c>
      <c r="M2033" s="761" t="str">
        <f t="shared" si="30"/>
        <v>September</v>
      </c>
      <c r="N2033" s="761">
        <v>44823</v>
      </c>
      <c r="O2033" s="761" t="s">
        <v>62</v>
      </c>
      <c r="P2033" s="3" t="s">
        <v>5406</v>
      </c>
      <c r="Q2033" s="3" t="s">
        <v>5407</v>
      </c>
      <c r="R2033" s="967"/>
      <c r="S2033" s="3" t="s">
        <v>130</v>
      </c>
      <c r="T2033" s="967"/>
      <c r="U2033" s="762">
        <v>282.60000000000002</v>
      </c>
      <c r="V2033" s="4" t="str">
        <f t="shared" si="31"/>
        <v>September</v>
      </c>
      <c r="W2033" s="761">
        <v>44823</v>
      </c>
      <c r="X2033" s="761"/>
      <c r="Y2033" s="761"/>
      <c r="Z2033" s="761" t="s">
        <v>62</v>
      </c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</row>
    <row r="2034" spans="1:39" s="707" customFormat="1">
      <c r="A2034"/>
      <c r="B2034" s="797" t="s">
        <v>13</v>
      </c>
      <c r="C2034" s="807" t="s">
        <v>1899</v>
      </c>
      <c r="D2034" s="853"/>
      <c r="E2034" s="874"/>
      <c r="F2034" s="808"/>
      <c r="G2034" s="807"/>
      <c r="H2034" s="807"/>
      <c r="I2034" s="820"/>
      <c r="J2034" s="820"/>
      <c r="K2034" s="807"/>
      <c r="L2034" s="819"/>
      <c r="M2034" s="819"/>
      <c r="N2034" s="819"/>
      <c r="O2034" s="819"/>
      <c r="P2034" s="807"/>
      <c r="Q2034" s="807"/>
      <c r="R2034" s="807"/>
      <c r="S2034" s="807"/>
      <c r="T2034" s="807"/>
      <c r="U2034" s="820"/>
      <c r="V2034" s="710"/>
      <c r="W2034" s="819"/>
      <c r="X2034" s="819"/>
      <c r="Y2034" s="819"/>
      <c r="Z2034" s="819"/>
      <c r="AA2034" s="710"/>
      <c r="AB2034" s="710"/>
      <c r="AC2034" s="710"/>
      <c r="AD2034" s="710"/>
      <c r="AE2034" s="710"/>
      <c r="AF2034" s="710"/>
      <c r="AG2034" s="710"/>
      <c r="AH2034" s="710"/>
      <c r="AI2034" s="710"/>
      <c r="AJ2034" s="710"/>
      <c r="AK2034" s="710"/>
      <c r="AL2034" s="710"/>
      <c r="AM2034" s="710"/>
    </row>
    <row r="2035" spans="1:39">
      <c r="B2035" s="895">
        <v>10</v>
      </c>
      <c r="C2035" s="963" t="s">
        <v>1237</v>
      </c>
      <c r="D2035" s="860">
        <v>300019288</v>
      </c>
      <c r="E2035" s="11" t="s">
        <v>5408</v>
      </c>
      <c r="F2035" s="749">
        <v>1</v>
      </c>
      <c r="G2035" s="3" t="s">
        <v>128</v>
      </c>
      <c r="H2035" s="3" t="s">
        <v>60</v>
      </c>
      <c r="I2035" s="786">
        <v>267.60000000000002</v>
      </c>
      <c r="J2035" s="786">
        <v>452.5</v>
      </c>
      <c r="K2035" s="3" t="str">
        <f>TEXT(L2035,"mmmm")</f>
        <v>September</v>
      </c>
      <c r="L2035" s="761">
        <v>44833</v>
      </c>
      <c r="M2035" s="761" t="s">
        <v>2661</v>
      </c>
      <c r="N2035" s="761">
        <v>44833</v>
      </c>
      <c r="O2035" s="761" t="s">
        <v>62</v>
      </c>
      <c r="P2035" s="3" t="s">
        <v>5409</v>
      </c>
      <c r="Q2035" s="3" t="s">
        <v>5410</v>
      </c>
      <c r="R2035" s="967"/>
      <c r="S2035" s="3" t="s">
        <v>130</v>
      </c>
      <c r="T2035" s="967"/>
      <c r="U2035" s="786">
        <v>279.10000000000002</v>
      </c>
      <c r="V2035" s="4" t="str">
        <f>TEXT(W2035,"mmmm")</f>
        <v>September</v>
      </c>
      <c r="W2035" s="761">
        <v>44833</v>
      </c>
      <c r="X2035" s="761"/>
      <c r="Y2035" s="761"/>
      <c r="Z2035" s="761" t="s">
        <v>62</v>
      </c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</row>
    <row r="2036" spans="1:39">
      <c r="B2036" s="895">
        <v>10</v>
      </c>
      <c r="C2036" s="963" t="s">
        <v>1237</v>
      </c>
      <c r="D2036" s="860">
        <v>300019289</v>
      </c>
      <c r="E2036" s="11" t="s">
        <v>5411</v>
      </c>
      <c r="F2036" s="749">
        <v>2</v>
      </c>
      <c r="G2036" s="3" t="s">
        <v>128</v>
      </c>
      <c r="H2036" s="3" t="s">
        <v>60</v>
      </c>
      <c r="I2036" s="786">
        <v>273.02999999999997</v>
      </c>
      <c r="J2036" s="786">
        <v>456.75</v>
      </c>
      <c r="K2036" s="3" t="s">
        <v>2661</v>
      </c>
      <c r="L2036" s="761">
        <v>44833</v>
      </c>
      <c r="M2036" s="761" t="s">
        <v>2661</v>
      </c>
      <c r="N2036" s="761">
        <v>44833</v>
      </c>
      <c r="O2036" s="761" t="s">
        <v>62</v>
      </c>
      <c r="P2036" s="3" t="s">
        <v>5412</v>
      </c>
      <c r="Q2036" s="3" t="s">
        <v>5413</v>
      </c>
      <c r="R2036" s="967"/>
      <c r="S2036" s="3" t="s">
        <v>130</v>
      </c>
      <c r="T2036" s="967"/>
      <c r="U2036" s="786">
        <v>284.39999999999998</v>
      </c>
      <c r="V2036" s="4" t="s">
        <v>2661</v>
      </c>
      <c r="W2036" s="761">
        <v>44834</v>
      </c>
      <c r="X2036" s="761"/>
      <c r="Y2036" s="761"/>
      <c r="Z2036" s="761" t="s">
        <v>62</v>
      </c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</row>
    <row r="2037" spans="1:39">
      <c r="B2037" s="895">
        <v>10</v>
      </c>
      <c r="C2037" s="963" t="s">
        <v>1237</v>
      </c>
      <c r="D2037" s="860">
        <v>300019290</v>
      </c>
      <c r="E2037" s="11" t="s">
        <v>5414</v>
      </c>
      <c r="F2037" s="749">
        <v>3</v>
      </c>
      <c r="G2037" s="3" t="s">
        <v>60</v>
      </c>
      <c r="H2037" s="3" t="s">
        <v>60</v>
      </c>
      <c r="I2037" s="786">
        <v>265.20999999999998</v>
      </c>
      <c r="J2037" s="786">
        <v>460.52</v>
      </c>
      <c r="K2037" s="3" t="s">
        <v>2661</v>
      </c>
      <c r="L2037" s="761">
        <v>44834</v>
      </c>
      <c r="M2037" s="761" t="s">
        <v>2661</v>
      </c>
      <c r="N2037" s="761">
        <v>44833</v>
      </c>
      <c r="O2037" s="761" t="s">
        <v>62</v>
      </c>
      <c r="P2037" s="3" t="s">
        <v>5415</v>
      </c>
      <c r="Q2037" s="3" t="s">
        <v>5416</v>
      </c>
      <c r="R2037" s="967"/>
      <c r="S2037" s="3" t="s">
        <v>130</v>
      </c>
      <c r="T2037" s="967"/>
      <c r="U2037" s="786">
        <v>276.89999999999998</v>
      </c>
      <c r="V2037" s="4" t="s">
        <v>2661</v>
      </c>
      <c r="W2037" s="761">
        <v>44834</v>
      </c>
      <c r="X2037" s="761"/>
      <c r="Y2037" s="761"/>
      <c r="Z2037" s="761" t="s">
        <v>62</v>
      </c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</row>
    <row r="2038" spans="1:39">
      <c r="B2038" s="895">
        <v>10</v>
      </c>
      <c r="C2038" s="963" t="s">
        <v>1237</v>
      </c>
      <c r="D2038" s="860">
        <v>300019291</v>
      </c>
      <c r="E2038" s="11" t="s">
        <v>5417</v>
      </c>
      <c r="F2038" s="749">
        <v>4</v>
      </c>
      <c r="G2038" s="3" t="s">
        <v>60</v>
      </c>
      <c r="H2038" s="3" t="s">
        <v>60</v>
      </c>
      <c r="I2038" s="786">
        <v>268.10000000000002</v>
      </c>
      <c r="J2038" s="786">
        <v>456.96</v>
      </c>
      <c r="K2038" s="3" t="s">
        <v>2661</v>
      </c>
      <c r="L2038" s="761">
        <v>44834</v>
      </c>
      <c r="M2038" s="761" t="s">
        <v>2661</v>
      </c>
      <c r="N2038" s="761">
        <v>44834</v>
      </c>
      <c r="O2038" s="761" t="s">
        <v>62</v>
      </c>
      <c r="P2038" s="3" t="s">
        <v>5418</v>
      </c>
      <c r="Q2038" s="3" t="s">
        <v>5419</v>
      </c>
      <c r="R2038" s="967"/>
      <c r="S2038" s="3" t="s">
        <v>130</v>
      </c>
      <c r="T2038" s="967"/>
      <c r="U2038" s="762">
        <v>279.5</v>
      </c>
      <c r="V2038" s="4" t="s">
        <v>2661</v>
      </c>
      <c r="W2038" s="761">
        <v>44834</v>
      </c>
      <c r="X2038" s="761"/>
      <c r="Y2038" s="761"/>
      <c r="Z2038" s="761" t="s">
        <v>62</v>
      </c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</row>
    <row r="2039" spans="1:39">
      <c r="B2039" s="895">
        <v>10</v>
      </c>
      <c r="C2039" s="963" t="s">
        <v>1237</v>
      </c>
      <c r="D2039" s="860">
        <v>300019292</v>
      </c>
      <c r="E2039" s="11" t="s">
        <v>5420</v>
      </c>
      <c r="F2039" s="749">
        <v>5</v>
      </c>
      <c r="G2039" s="3" t="s">
        <v>60</v>
      </c>
      <c r="H2039" s="3" t="s">
        <v>60</v>
      </c>
      <c r="I2039" s="762">
        <v>269.45</v>
      </c>
      <c r="J2039" s="762">
        <v>452.13</v>
      </c>
      <c r="K2039" s="3" t="s">
        <v>2661</v>
      </c>
      <c r="L2039" s="761">
        <v>44834</v>
      </c>
      <c r="M2039" s="761" t="s">
        <v>2661</v>
      </c>
      <c r="N2039" s="761">
        <v>44834</v>
      </c>
      <c r="O2039" s="761" t="s">
        <v>62</v>
      </c>
      <c r="P2039" s="3" t="s">
        <v>5421</v>
      </c>
      <c r="Q2039" s="3" t="s">
        <v>5422</v>
      </c>
      <c r="R2039" s="967"/>
      <c r="S2039" s="3" t="s">
        <v>130</v>
      </c>
      <c r="T2039" s="967"/>
      <c r="U2039" s="785">
        <v>280.7</v>
      </c>
      <c r="V2039" s="4" t="s">
        <v>2661</v>
      </c>
      <c r="W2039" s="761">
        <v>44837</v>
      </c>
      <c r="X2039" s="761"/>
      <c r="Y2039" s="761"/>
      <c r="Z2039" s="761" t="s">
        <v>62</v>
      </c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</row>
    <row r="2040" spans="1:39">
      <c r="B2040" s="895">
        <v>10</v>
      </c>
      <c r="C2040" s="963" t="s">
        <v>1237</v>
      </c>
      <c r="D2040" s="860">
        <v>300019293</v>
      </c>
      <c r="E2040" s="11" t="s">
        <v>5423</v>
      </c>
      <c r="F2040" s="749">
        <v>6</v>
      </c>
      <c r="G2040" s="3" t="s">
        <v>60</v>
      </c>
      <c r="H2040" s="3" t="s">
        <v>60</v>
      </c>
      <c r="I2040" s="786">
        <v>274.52999999999997</v>
      </c>
      <c r="J2040" s="762">
        <v>456.29</v>
      </c>
      <c r="K2040" s="3" t="s">
        <v>2661</v>
      </c>
      <c r="L2040" s="761">
        <v>44834</v>
      </c>
      <c r="M2040" s="761" t="s">
        <v>2661</v>
      </c>
      <c r="N2040" s="761">
        <v>44834</v>
      </c>
      <c r="O2040" s="761" t="s">
        <v>62</v>
      </c>
      <c r="P2040" s="3" t="s">
        <v>5424</v>
      </c>
      <c r="Q2040" s="3" t="s">
        <v>5425</v>
      </c>
      <c r="R2040" s="967"/>
      <c r="S2040" s="3" t="s">
        <v>130</v>
      </c>
      <c r="T2040" s="967"/>
      <c r="U2040" s="785">
        <v>285.8</v>
      </c>
      <c r="V2040" s="4" t="s">
        <v>2661</v>
      </c>
      <c r="W2040" s="761">
        <v>44837</v>
      </c>
      <c r="X2040" s="761"/>
      <c r="Y2040" s="761"/>
      <c r="Z2040" s="761" t="s">
        <v>62</v>
      </c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</row>
    <row r="2041" spans="1:39">
      <c r="B2041" s="895">
        <v>10</v>
      </c>
      <c r="C2041" s="963" t="s">
        <v>1237</v>
      </c>
      <c r="D2041" s="860">
        <v>300019294</v>
      </c>
      <c r="E2041" s="11" t="s">
        <v>5426</v>
      </c>
      <c r="F2041" s="749">
        <v>7</v>
      </c>
      <c r="G2041" s="3" t="s">
        <v>128</v>
      </c>
      <c r="H2041" s="3" t="s">
        <v>60</v>
      </c>
      <c r="I2041" s="785">
        <v>267.20999999999998</v>
      </c>
      <c r="J2041" s="785">
        <v>449.94</v>
      </c>
      <c r="K2041" s="3" t="s">
        <v>2716</v>
      </c>
      <c r="L2041" s="761">
        <v>44838</v>
      </c>
      <c r="M2041" s="761" t="s">
        <v>2716</v>
      </c>
      <c r="N2041" s="761">
        <v>44838</v>
      </c>
      <c r="O2041" s="761" t="s">
        <v>62</v>
      </c>
      <c r="P2041" s="3" t="s">
        <v>5427</v>
      </c>
      <c r="Q2041" s="3" t="s">
        <v>5428</v>
      </c>
      <c r="R2041" s="967"/>
      <c r="S2041" s="3" t="s">
        <v>130</v>
      </c>
      <c r="T2041" s="967"/>
      <c r="U2041" s="785">
        <v>278.60000000000002</v>
      </c>
      <c r="V2041" s="4" t="s">
        <v>2698</v>
      </c>
      <c r="W2041" s="761">
        <v>44838</v>
      </c>
      <c r="X2041" s="761"/>
      <c r="Y2041" s="761"/>
      <c r="Z2041" s="761" t="s">
        <v>62</v>
      </c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</row>
    <row r="2042" spans="1:39">
      <c r="B2042" s="895">
        <v>10</v>
      </c>
      <c r="C2042" s="963" t="s">
        <v>1237</v>
      </c>
      <c r="D2042" s="860">
        <v>300019300</v>
      </c>
      <c r="E2042" s="11" t="s">
        <v>5429</v>
      </c>
      <c r="F2042" s="749">
        <v>8</v>
      </c>
      <c r="G2042" s="3" t="s">
        <v>128</v>
      </c>
      <c r="H2042" s="3" t="s">
        <v>60</v>
      </c>
      <c r="I2042" s="785">
        <v>272.33999999999997</v>
      </c>
      <c r="J2042" s="785">
        <v>455.98</v>
      </c>
      <c r="K2042" s="3" t="s">
        <v>2716</v>
      </c>
      <c r="L2042" s="761">
        <v>44838</v>
      </c>
      <c r="M2042" s="761" t="s">
        <v>2716</v>
      </c>
      <c r="N2042" s="761">
        <v>44838</v>
      </c>
      <c r="O2042" s="761" t="s">
        <v>62</v>
      </c>
      <c r="P2042" s="3" t="s">
        <v>3533</v>
      </c>
      <c r="Q2042" s="3" t="s">
        <v>5430</v>
      </c>
      <c r="R2042" s="967"/>
      <c r="S2042" s="3" t="s">
        <v>130</v>
      </c>
      <c r="T2042" s="967"/>
      <c r="U2042" s="785">
        <v>283.7</v>
      </c>
      <c r="V2042" s="4" t="s">
        <v>2698</v>
      </c>
      <c r="W2042" s="761">
        <v>44838</v>
      </c>
      <c r="X2042" s="761"/>
      <c r="Y2042" s="761"/>
      <c r="Z2042" s="761" t="s">
        <v>62</v>
      </c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</row>
    <row r="2043" spans="1:39">
      <c r="B2043" s="895">
        <v>10</v>
      </c>
      <c r="C2043" s="963" t="s">
        <v>1237</v>
      </c>
      <c r="D2043" s="860">
        <v>300019301</v>
      </c>
      <c r="E2043" s="11" t="s">
        <v>5431</v>
      </c>
      <c r="F2043" s="749">
        <v>9</v>
      </c>
      <c r="G2043" s="3" t="s">
        <v>60</v>
      </c>
      <c r="H2043" s="3" t="s">
        <v>60</v>
      </c>
      <c r="I2043" s="785">
        <v>267.74</v>
      </c>
      <c r="J2043" s="785">
        <v>453.4</v>
      </c>
      <c r="K2043" s="3" t="s">
        <v>2716</v>
      </c>
      <c r="L2043" s="761">
        <v>44840</v>
      </c>
      <c r="M2043" s="761" t="s">
        <v>2716</v>
      </c>
      <c r="N2043" s="761">
        <v>44840</v>
      </c>
      <c r="O2043" s="761" t="s">
        <v>62</v>
      </c>
      <c r="P2043" s="3" t="s">
        <v>5432</v>
      </c>
      <c r="Q2043" s="3" t="s">
        <v>5433</v>
      </c>
      <c r="R2043" s="967"/>
      <c r="S2043" s="3" t="s">
        <v>130</v>
      </c>
      <c r="T2043" s="967"/>
      <c r="U2043" s="785">
        <v>279.2</v>
      </c>
      <c r="V2043" s="4" t="s">
        <v>2698</v>
      </c>
      <c r="W2043" s="761">
        <v>44840</v>
      </c>
      <c r="X2043" s="761"/>
      <c r="Y2043" s="761"/>
      <c r="Z2043" s="761" t="s">
        <v>62</v>
      </c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</row>
    <row r="2044" spans="1:39">
      <c r="B2044" s="895">
        <v>10</v>
      </c>
      <c r="C2044" s="963" t="s">
        <v>1237</v>
      </c>
      <c r="D2044" s="860">
        <v>300019392</v>
      </c>
      <c r="E2044" s="11" t="s">
        <v>5434</v>
      </c>
      <c r="F2044" s="749">
        <v>10</v>
      </c>
      <c r="G2044" s="3" t="s">
        <v>128</v>
      </c>
      <c r="H2044" s="3" t="s">
        <v>60</v>
      </c>
      <c r="I2044" s="786">
        <v>266.99</v>
      </c>
      <c r="J2044" s="786">
        <v>446.37</v>
      </c>
      <c r="K2044" s="3" t="s">
        <v>2716</v>
      </c>
      <c r="L2044" s="761">
        <v>44854</v>
      </c>
      <c r="M2044" s="761" t="s">
        <v>2716</v>
      </c>
      <c r="N2044" s="761">
        <v>44854</v>
      </c>
      <c r="O2044" s="761" t="s">
        <v>62</v>
      </c>
      <c r="P2044" s="3" t="s">
        <v>5435</v>
      </c>
      <c r="Q2044" s="3" t="s">
        <v>5436</v>
      </c>
      <c r="R2044" s="967"/>
      <c r="S2044" s="3" t="s">
        <v>130</v>
      </c>
      <c r="T2044" s="967"/>
      <c r="U2044" s="786">
        <v>278.5</v>
      </c>
      <c r="V2044" s="4" t="s">
        <v>2698</v>
      </c>
      <c r="W2044" s="761">
        <v>44854</v>
      </c>
      <c r="X2044" s="761"/>
      <c r="Y2044" s="761"/>
      <c r="Z2044" s="761" t="s">
        <v>62</v>
      </c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</row>
    <row r="2045" spans="1:39">
      <c r="B2045" s="895">
        <v>10</v>
      </c>
      <c r="C2045" s="963" t="s">
        <v>1237</v>
      </c>
      <c r="D2045" s="860">
        <v>300019393</v>
      </c>
      <c r="E2045" s="11" t="s">
        <v>5437</v>
      </c>
      <c r="F2045" s="749">
        <v>11</v>
      </c>
      <c r="G2045" s="3" t="s">
        <v>128</v>
      </c>
      <c r="H2045" s="3" t="s">
        <v>60</v>
      </c>
      <c r="I2045" s="786">
        <v>271.75</v>
      </c>
      <c r="J2045" s="786">
        <v>452.42</v>
      </c>
      <c r="K2045" s="3" t="s">
        <v>2716</v>
      </c>
      <c r="L2045" s="761">
        <v>44854</v>
      </c>
      <c r="M2045" s="761" t="s">
        <v>2716</v>
      </c>
      <c r="N2045" s="761">
        <v>44854</v>
      </c>
      <c r="O2045" s="761" t="s">
        <v>62</v>
      </c>
      <c r="P2045" s="3" t="s">
        <v>5438</v>
      </c>
      <c r="Q2045" s="3" t="s">
        <v>5439</v>
      </c>
      <c r="R2045" s="967"/>
      <c r="S2045" s="3" t="s">
        <v>130</v>
      </c>
      <c r="T2045" s="967"/>
      <c r="U2045" s="786">
        <v>283.3</v>
      </c>
      <c r="V2045" s="4" t="s">
        <v>2698</v>
      </c>
      <c r="W2045" s="761">
        <v>44854</v>
      </c>
      <c r="X2045" s="761"/>
      <c r="Y2045" s="761"/>
      <c r="Z2045" s="761" t="s">
        <v>62</v>
      </c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</row>
    <row r="2046" spans="1:39" s="707" customFormat="1" ht="24" customHeight="1">
      <c r="A2046"/>
      <c r="B2046" s="797" t="s">
        <v>13</v>
      </c>
      <c r="C2046" s="960">
        <v>2023</v>
      </c>
      <c r="D2046" s="853"/>
      <c r="E2046" s="874"/>
      <c r="F2046" s="808"/>
      <c r="G2046" s="966" t="s">
        <v>3954</v>
      </c>
      <c r="H2046" s="966" t="s">
        <v>3392</v>
      </c>
      <c r="I2046" s="966" t="s">
        <v>3954</v>
      </c>
      <c r="J2046" s="966" t="s">
        <v>3392</v>
      </c>
      <c r="K2046" s="807"/>
      <c r="L2046" s="819"/>
      <c r="M2046" s="819"/>
      <c r="N2046" s="819"/>
      <c r="O2046" s="819"/>
      <c r="P2046" s="807"/>
      <c r="Q2046" s="807"/>
      <c r="R2046" s="807"/>
      <c r="S2046" s="807"/>
      <c r="T2046" s="807"/>
      <c r="U2046" s="807"/>
      <c r="V2046" s="710"/>
      <c r="W2046" s="819"/>
      <c r="X2046" s="819"/>
      <c r="Y2046" s="819"/>
      <c r="Z2046" s="819"/>
      <c r="AA2046" s="710"/>
      <c r="AB2046" s="710"/>
      <c r="AC2046" s="710"/>
      <c r="AD2046" s="710"/>
      <c r="AE2046" s="710"/>
      <c r="AF2046" s="710"/>
      <c r="AG2046" s="710"/>
      <c r="AH2046" s="710"/>
      <c r="AI2046" s="710"/>
      <c r="AJ2046" s="710"/>
      <c r="AK2046" s="710"/>
      <c r="AL2046" s="710"/>
      <c r="AM2046" s="710"/>
    </row>
    <row r="2047" spans="1:39">
      <c r="B2047" s="895">
        <v>3</v>
      </c>
      <c r="C2047" s="963" t="s">
        <v>1237</v>
      </c>
      <c r="D2047" s="860">
        <v>300019459</v>
      </c>
      <c r="E2047" s="11" t="s">
        <v>5440</v>
      </c>
      <c r="F2047" s="749">
        <v>1</v>
      </c>
      <c r="G2047" s="3" t="s">
        <v>932</v>
      </c>
      <c r="H2047" s="3" t="s">
        <v>932</v>
      </c>
      <c r="I2047" s="786">
        <v>267.08999999999997</v>
      </c>
      <c r="J2047" s="762">
        <v>450.6</v>
      </c>
      <c r="K2047" s="3" t="s">
        <v>1716</v>
      </c>
      <c r="L2047" s="761">
        <v>44993</v>
      </c>
      <c r="M2047" s="3" t="s">
        <v>1716</v>
      </c>
      <c r="N2047" s="761">
        <v>44993</v>
      </c>
      <c r="O2047" s="761" t="s">
        <v>62</v>
      </c>
      <c r="P2047" s="3" t="s">
        <v>5441</v>
      </c>
      <c r="Q2047" s="3" t="s">
        <v>5442</v>
      </c>
      <c r="R2047" s="967"/>
      <c r="S2047" s="3" t="s">
        <v>1547</v>
      </c>
      <c r="T2047" s="967"/>
      <c r="U2047" s="786">
        <v>278.8</v>
      </c>
      <c r="V2047" s="4" t="s">
        <v>1716</v>
      </c>
      <c r="W2047" s="761">
        <v>44993</v>
      </c>
      <c r="X2047" s="761"/>
      <c r="Y2047" s="761"/>
      <c r="Z2047" s="761" t="s">
        <v>62</v>
      </c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</row>
    <row r="2048" spans="1:39">
      <c r="B2048" s="895">
        <v>3</v>
      </c>
      <c r="C2048" s="963" t="s">
        <v>1237</v>
      </c>
      <c r="D2048" s="860">
        <v>300019463</v>
      </c>
      <c r="E2048" s="11" t="s">
        <v>5443</v>
      </c>
      <c r="F2048" s="749">
        <v>2</v>
      </c>
      <c r="G2048" s="3" t="s">
        <v>932</v>
      </c>
      <c r="H2048" s="3" t="s">
        <v>932</v>
      </c>
      <c r="I2048" s="786">
        <v>272.5</v>
      </c>
      <c r="J2048" s="786">
        <v>456.3</v>
      </c>
      <c r="K2048" s="3" t="s">
        <v>1716</v>
      </c>
      <c r="L2048" s="761">
        <v>44993</v>
      </c>
      <c r="M2048" s="3" t="s">
        <v>1716</v>
      </c>
      <c r="N2048" s="761">
        <v>44993</v>
      </c>
      <c r="O2048" s="761" t="s">
        <v>62</v>
      </c>
      <c r="P2048" s="3" t="s">
        <v>5444</v>
      </c>
      <c r="Q2048" s="3" t="s">
        <v>5445</v>
      </c>
      <c r="R2048" s="967"/>
      <c r="S2048" s="3" t="s">
        <v>1547</v>
      </c>
      <c r="T2048" s="967"/>
      <c r="U2048" s="786">
        <v>283.89999999999998</v>
      </c>
      <c r="V2048" s="4" t="s">
        <v>1716</v>
      </c>
      <c r="W2048" s="761">
        <v>44993</v>
      </c>
      <c r="X2048" s="761"/>
      <c r="Y2048" s="761"/>
      <c r="Z2048" s="761" t="s">
        <v>62</v>
      </c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</row>
    <row r="2049" spans="1:39">
      <c r="B2049" s="895">
        <v>3</v>
      </c>
      <c r="C2049" s="963" t="s">
        <v>1237</v>
      </c>
      <c r="D2049" s="860">
        <v>300019615</v>
      </c>
      <c r="E2049" s="11" t="s">
        <v>5446</v>
      </c>
      <c r="F2049" s="749">
        <v>3</v>
      </c>
      <c r="G2049" s="3" t="s">
        <v>932</v>
      </c>
      <c r="H2049" s="3" t="s">
        <v>932</v>
      </c>
      <c r="I2049" s="786">
        <v>273.25</v>
      </c>
      <c r="J2049" s="786">
        <v>454.2</v>
      </c>
      <c r="K2049" s="3" t="s">
        <v>1716</v>
      </c>
      <c r="L2049" s="761">
        <v>44993</v>
      </c>
      <c r="M2049" s="761" t="s">
        <v>1716</v>
      </c>
      <c r="N2049" s="761">
        <v>44994</v>
      </c>
      <c r="O2049" s="761" t="s">
        <v>62</v>
      </c>
      <c r="P2049" s="3" t="s">
        <v>5447</v>
      </c>
      <c r="Q2049" s="3" t="s">
        <v>5448</v>
      </c>
      <c r="R2049" s="967"/>
      <c r="S2049" s="3" t="s">
        <v>1547</v>
      </c>
      <c r="T2049" s="967"/>
      <c r="U2049" s="786">
        <v>284.89999999999998</v>
      </c>
      <c r="V2049" s="4" t="s">
        <v>1716</v>
      </c>
      <c r="W2049" s="761">
        <v>44993</v>
      </c>
      <c r="X2049" s="761"/>
      <c r="Y2049" s="761"/>
      <c r="Z2049" s="761" t="s">
        <v>62</v>
      </c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</row>
    <row r="2050" spans="1:39" s="707" customFormat="1">
      <c r="A2050"/>
      <c r="B2050" s="797" t="s">
        <v>13</v>
      </c>
      <c r="C2050" s="807" t="s">
        <v>2226</v>
      </c>
      <c r="D2050" s="853"/>
      <c r="E2050" s="874"/>
      <c r="F2050" s="808"/>
      <c r="G2050" s="807"/>
      <c r="H2050" s="807"/>
      <c r="I2050" s="820"/>
      <c r="J2050" s="820"/>
      <c r="K2050" s="807"/>
      <c r="L2050" s="819"/>
      <c r="M2050" s="807"/>
      <c r="N2050" s="819"/>
      <c r="O2050" s="819"/>
      <c r="P2050" s="807"/>
      <c r="Q2050" s="807"/>
      <c r="R2050" s="807"/>
      <c r="S2050" s="807"/>
      <c r="T2050" s="807"/>
      <c r="U2050" s="820"/>
      <c r="V2050" s="710"/>
      <c r="W2050" s="819"/>
      <c r="X2050" s="819"/>
      <c r="Y2050" s="819"/>
      <c r="Z2050" s="819"/>
      <c r="AA2050" s="710"/>
      <c r="AB2050" s="710"/>
      <c r="AC2050" s="710"/>
      <c r="AD2050" s="710"/>
      <c r="AE2050" s="710"/>
      <c r="AF2050" s="710"/>
      <c r="AG2050" s="710"/>
      <c r="AH2050" s="710"/>
      <c r="AI2050" s="710"/>
      <c r="AJ2050" s="710"/>
      <c r="AK2050" s="710"/>
      <c r="AL2050" s="710"/>
      <c r="AM2050" s="710"/>
    </row>
    <row r="2051" spans="1:39">
      <c r="B2051" s="895" t="s">
        <v>277</v>
      </c>
      <c r="C2051" s="963" t="s">
        <v>1237</v>
      </c>
      <c r="D2051" s="860">
        <v>300019649</v>
      </c>
      <c r="E2051" s="11" t="s">
        <v>5449</v>
      </c>
      <c r="F2051" s="749">
        <v>1</v>
      </c>
      <c r="G2051" s="3" t="s">
        <v>128</v>
      </c>
      <c r="H2051" s="3" t="s">
        <v>128</v>
      </c>
      <c r="I2051" s="830">
        <v>268.20999999999998</v>
      </c>
      <c r="J2051" s="830">
        <v>452.8</v>
      </c>
      <c r="K2051" s="3" t="s">
        <v>2272</v>
      </c>
      <c r="L2051" s="761">
        <v>45021</v>
      </c>
      <c r="M2051" s="3" t="s">
        <v>2272</v>
      </c>
      <c r="N2051" s="761">
        <v>45020</v>
      </c>
      <c r="O2051" s="761" t="s">
        <v>62</v>
      </c>
      <c r="P2051" s="3" t="s">
        <v>5450</v>
      </c>
      <c r="Q2051" s="3" t="s">
        <v>5451</v>
      </c>
      <c r="R2051" s="967"/>
      <c r="S2051" s="3" t="s">
        <v>130</v>
      </c>
      <c r="T2051" s="967"/>
      <c r="U2051" s="830">
        <v>279.8</v>
      </c>
      <c r="V2051" s="4" t="s">
        <v>2272</v>
      </c>
      <c r="W2051" s="761">
        <v>45021</v>
      </c>
      <c r="X2051" s="761"/>
      <c r="Y2051" s="761"/>
      <c r="Z2051" s="761" t="s">
        <v>62</v>
      </c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</row>
    <row r="2052" spans="1:39">
      <c r="B2052" s="895" t="s">
        <v>277</v>
      </c>
      <c r="C2052" s="963" t="s">
        <v>1237</v>
      </c>
      <c r="D2052" s="860">
        <v>300019650</v>
      </c>
      <c r="E2052" s="11" t="s">
        <v>5452</v>
      </c>
      <c r="F2052" s="749">
        <v>2</v>
      </c>
      <c r="G2052" s="3" t="s">
        <v>128</v>
      </c>
      <c r="H2052" s="3" t="s">
        <v>128</v>
      </c>
      <c r="I2052" s="830">
        <v>271.5</v>
      </c>
      <c r="J2052" s="830">
        <v>455.3</v>
      </c>
      <c r="K2052" s="3" t="s">
        <v>2272</v>
      </c>
      <c r="L2052" s="761">
        <v>45021</v>
      </c>
      <c r="M2052" s="3" t="s">
        <v>2272</v>
      </c>
      <c r="N2052" s="761">
        <v>45020</v>
      </c>
      <c r="O2052" s="761" t="s">
        <v>62</v>
      </c>
      <c r="P2052" s="3" t="s">
        <v>5453</v>
      </c>
      <c r="Q2052" s="3" t="s">
        <v>5454</v>
      </c>
      <c r="R2052" s="967"/>
      <c r="S2052" s="3" t="s">
        <v>130</v>
      </c>
      <c r="T2052" s="967"/>
      <c r="U2052" s="830">
        <v>283.5</v>
      </c>
      <c r="V2052" s="4" t="s">
        <v>2272</v>
      </c>
      <c r="W2052" s="761">
        <v>45021</v>
      </c>
      <c r="X2052" s="761"/>
      <c r="Y2052" s="761"/>
      <c r="Z2052" s="761" t="s">
        <v>62</v>
      </c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</row>
    <row r="2053" spans="1:39">
      <c r="B2053" s="895" t="s">
        <v>277</v>
      </c>
      <c r="C2053" s="963" t="s">
        <v>1237</v>
      </c>
      <c r="D2053" s="860">
        <v>300019684</v>
      </c>
      <c r="E2053" s="11" t="s">
        <v>5455</v>
      </c>
      <c r="F2053" s="749">
        <v>3</v>
      </c>
      <c r="G2053" s="3" t="s">
        <v>128</v>
      </c>
      <c r="H2053" s="3" t="s">
        <v>128</v>
      </c>
      <c r="I2053" s="830">
        <v>269.01</v>
      </c>
      <c r="J2053" s="830">
        <v>455</v>
      </c>
      <c r="K2053" s="3" t="s">
        <v>2272</v>
      </c>
      <c r="L2053" s="761">
        <v>45022</v>
      </c>
      <c r="M2053" s="3" t="s">
        <v>2272</v>
      </c>
      <c r="N2053" s="761">
        <v>45020</v>
      </c>
      <c r="O2053" s="761" t="s">
        <v>62</v>
      </c>
      <c r="P2053" s="3" t="s">
        <v>5456</v>
      </c>
      <c r="Q2053" s="3" t="s">
        <v>5457</v>
      </c>
      <c r="R2053" s="967"/>
      <c r="S2053" s="3" t="s">
        <v>130</v>
      </c>
      <c r="T2053" s="967"/>
      <c r="U2053" s="786">
        <v>280.5</v>
      </c>
      <c r="V2053" s="4" t="s">
        <v>2272</v>
      </c>
      <c r="W2053" s="761">
        <v>45026</v>
      </c>
      <c r="X2053" s="761"/>
      <c r="Y2053" s="761"/>
      <c r="Z2053" s="761" t="s">
        <v>62</v>
      </c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</row>
    <row r="2054" spans="1:39">
      <c r="B2054" s="895" t="s">
        <v>277</v>
      </c>
      <c r="C2054" s="963" t="s">
        <v>1237</v>
      </c>
      <c r="D2054" s="860">
        <v>300019685</v>
      </c>
      <c r="E2054" s="11" t="s">
        <v>5458</v>
      </c>
      <c r="F2054" s="749">
        <v>4</v>
      </c>
      <c r="G2054" s="3" t="s">
        <v>128</v>
      </c>
      <c r="H2054" s="3" t="s">
        <v>128</v>
      </c>
      <c r="I2054" s="830">
        <v>272.73</v>
      </c>
      <c r="J2054" s="830">
        <v>458.6</v>
      </c>
      <c r="K2054" s="3" t="s">
        <v>2272</v>
      </c>
      <c r="L2054" s="761">
        <v>45022</v>
      </c>
      <c r="M2054" s="3" t="s">
        <v>2272</v>
      </c>
      <c r="N2054" s="761">
        <v>45021</v>
      </c>
      <c r="O2054" s="761" t="s">
        <v>62</v>
      </c>
      <c r="P2054" s="3" t="s">
        <v>5459</v>
      </c>
      <c r="Q2054" s="3" t="s">
        <v>5460</v>
      </c>
      <c r="R2054" s="967"/>
      <c r="S2054" s="3" t="s">
        <v>130</v>
      </c>
      <c r="T2054" s="967"/>
      <c r="U2054" s="786">
        <v>284.60000000000002</v>
      </c>
      <c r="V2054" s="4" t="s">
        <v>2272</v>
      </c>
      <c r="W2054" s="761">
        <v>45026</v>
      </c>
      <c r="X2054" s="761"/>
      <c r="Y2054" s="761"/>
      <c r="Z2054" s="761" t="s">
        <v>62</v>
      </c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</row>
    <row r="2055" spans="1:39" s="707" customFormat="1">
      <c r="A2055"/>
      <c r="B2055" s="797" t="s">
        <v>13</v>
      </c>
      <c r="C2055" s="807" t="s">
        <v>1759</v>
      </c>
      <c r="D2055" s="853"/>
      <c r="E2055" s="874"/>
      <c r="F2055" s="808"/>
      <c r="G2055" s="807"/>
      <c r="H2055" s="807"/>
      <c r="I2055" s="837"/>
      <c r="J2055" s="837"/>
      <c r="K2055" s="807"/>
      <c r="L2055" s="819"/>
      <c r="M2055" s="807"/>
      <c r="N2055" s="819"/>
      <c r="O2055" s="819"/>
      <c r="P2055" s="807"/>
      <c r="Q2055" s="807"/>
      <c r="R2055" s="807"/>
      <c r="S2055" s="807"/>
      <c r="T2055" s="807"/>
      <c r="U2055" s="820"/>
      <c r="V2055" s="710"/>
      <c r="W2055" s="819"/>
      <c r="X2055" s="819"/>
      <c r="Y2055" s="819"/>
      <c r="Z2055" s="819"/>
      <c r="AA2055" s="710"/>
      <c r="AB2055" s="710"/>
      <c r="AC2055" s="710"/>
      <c r="AD2055" s="710"/>
      <c r="AE2055" s="710"/>
      <c r="AF2055" s="710"/>
      <c r="AG2055" s="710"/>
      <c r="AH2055" s="710"/>
      <c r="AI2055" s="710"/>
      <c r="AJ2055" s="710"/>
      <c r="AK2055" s="710"/>
      <c r="AL2055" s="710"/>
      <c r="AM2055" s="710"/>
    </row>
    <row r="2056" spans="1:39">
      <c r="B2056" s="895" t="s">
        <v>72</v>
      </c>
      <c r="C2056" s="963" t="s">
        <v>1237</v>
      </c>
      <c r="D2056" s="860">
        <v>300019851</v>
      </c>
      <c r="E2056" s="11" t="s">
        <v>5461</v>
      </c>
      <c r="F2056" s="749">
        <v>1</v>
      </c>
      <c r="G2056" s="3" t="s">
        <v>128</v>
      </c>
      <c r="H2056" s="3" t="s">
        <v>60</v>
      </c>
      <c r="I2056" s="786">
        <v>268.20999999999998</v>
      </c>
      <c r="J2056" s="786">
        <v>450.52</v>
      </c>
      <c r="K2056" s="3" t="s">
        <v>2411</v>
      </c>
      <c r="L2056" s="761">
        <v>45084</v>
      </c>
      <c r="M2056" s="3" t="s">
        <v>2411</v>
      </c>
      <c r="N2056" s="761">
        <v>45083</v>
      </c>
      <c r="O2056" s="761" t="s">
        <v>62</v>
      </c>
      <c r="P2056" s="3" t="s">
        <v>5462</v>
      </c>
      <c r="Q2056" s="3" t="s">
        <v>5463</v>
      </c>
      <c r="R2056" s="967"/>
      <c r="S2056" s="3" t="s">
        <v>130</v>
      </c>
      <c r="T2056" s="967"/>
      <c r="U2056" s="786">
        <v>279.8</v>
      </c>
      <c r="V2056" s="4" t="s">
        <v>2411</v>
      </c>
      <c r="W2056" s="761">
        <v>45084</v>
      </c>
      <c r="X2056" s="761"/>
      <c r="Y2056" s="761"/>
      <c r="Z2056" s="761" t="s">
        <v>62</v>
      </c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</row>
    <row r="2057" spans="1:39">
      <c r="B2057" s="895" t="s">
        <v>72</v>
      </c>
      <c r="C2057" s="963" t="s">
        <v>1237</v>
      </c>
      <c r="D2057" s="860">
        <v>300019852</v>
      </c>
      <c r="E2057" s="11" t="s">
        <v>5464</v>
      </c>
      <c r="F2057" s="749">
        <v>2</v>
      </c>
      <c r="G2057" s="3" t="s">
        <v>128</v>
      </c>
      <c r="H2057" s="3" t="s">
        <v>60</v>
      </c>
      <c r="I2057" s="786">
        <v>274.47000000000003</v>
      </c>
      <c r="J2057" s="786">
        <v>451.94</v>
      </c>
      <c r="K2057" s="3" t="s">
        <v>2411</v>
      </c>
      <c r="L2057" s="761">
        <v>45084</v>
      </c>
      <c r="M2057" s="3" t="s">
        <v>2411</v>
      </c>
      <c r="N2057" s="761">
        <v>45084</v>
      </c>
      <c r="O2057" s="761" t="s">
        <v>62</v>
      </c>
      <c r="P2057" s="3" t="s">
        <v>5465</v>
      </c>
      <c r="Q2057" s="3" t="s">
        <v>5466</v>
      </c>
      <c r="R2057" s="967"/>
      <c r="S2057" s="3" t="s">
        <v>130</v>
      </c>
      <c r="T2057" s="967"/>
      <c r="U2057" s="786">
        <v>285.89999999999998</v>
      </c>
      <c r="V2057" s="4" t="s">
        <v>2411</v>
      </c>
      <c r="W2057" s="761">
        <v>45085</v>
      </c>
      <c r="X2057" s="761"/>
      <c r="Y2057" s="761"/>
      <c r="Z2057" s="761" t="s">
        <v>62</v>
      </c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</row>
    <row r="2058" spans="1:39">
      <c r="B2058" s="895" t="s">
        <v>72</v>
      </c>
      <c r="C2058" s="963" t="s">
        <v>1237</v>
      </c>
      <c r="D2058" s="860">
        <v>300019860</v>
      </c>
      <c r="E2058" s="11" t="s">
        <v>5467</v>
      </c>
      <c r="F2058" s="749">
        <v>3</v>
      </c>
      <c r="G2058" s="3" t="s">
        <v>128</v>
      </c>
      <c r="H2058" s="3" t="s">
        <v>60</v>
      </c>
      <c r="I2058" s="786">
        <v>271.57</v>
      </c>
      <c r="J2058" s="786">
        <v>454.9</v>
      </c>
      <c r="K2058" s="3" t="s">
        <v>2411</v>
      </c>
      <c r="L2058" s="761">
        <v>45084</v>
      </c>
      <c r="M2058" s="3" t="s">
        <v>2411</v>
      </c>
      <c r="N2058" s="761">
        <v>45084</v>
      </c>
      <c r="O2058" s="761" t="s">
        <v>62</v>
      </c>
      <c r="P2058" s="3" t="s">
        <v>664</v>
      </c>
      <c r="Q2058" s="3" t="s">
        <v>5468</v>
      </c>
      <c r="R2058" s="967"/>
      <c r="S2058" s="3" t="s">
        <v>130</v>
      </c>
      <c r="T2058" s="967"/>
      <c r="U2058" s="786">
        <v>282.89999999999998</v>
      </c>
      <c r="V2058" s="4" t="s">
        <v>2411</v>
      </c>
      <c r="W2058" s="761">
        <v>45085</v>
      </c>
      <c r="X2058" s="761"/>
      <c r="Y2058" s="761"/>
      <c r="Z2058" s="761" t="s">
        <v>62</v>
      </c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</row>
    <row r="2059" spans="1:39">
      <c r="B2059" s="895" t="s">
        <v>72</v>
      </c>
      <c r="C2059" s="963" t="s">
        <v>1237</v>
      </c>
      <c r="D2059" s="860">
        <v>300019861</v>
      </c>
      <c r="E2059" s="11" t="s">
        <v>5469</v>
      </c>
      <c r="F2059" s="749">
        <v>4</v>
      </c>
      <c r="G2059" s="3" t="s">
        <v>128</v>
      </c>
      <c r="H2059" s="3" t="s">
        <v>60</v>
      </c>
      <c r="I2059" s="786">
        <v>274.91000000000003</v>
      </c>
      <c r="J2059" s="786">
        <v>456.5</v>
      </c>
      <c r="K2059" s="3" t="s">
        <v>2411</v>
      </c>
      <c r="L2059" s="761">
        <v>45084</v>
      </c>
      <c r="M2059" s="3" t="s">
        <v>2411</v>
      </c>
      <c r="N2059" s="761">
        <v>45084</v>
      </c>
      <c r="O2059" s="761" t="s">
        <v>62</v>
      </c>
      <c r="P2059" s="3" t="s">
        <v>5470</v>
      </c>
      <c r="Q2059" s="3" t="s">
        <v>5471</v>
      </c>
      <c r="R2059" s="967"/>
      <c r="S2059" s="3" t="s">
        <v>130</v>
      </c>
      <c r="T2059" s="967"/>
      <c r="U2059" s="786">
        <v>286.2</v>
      </c>
      <c r="V2059" s="4" t="s">
        <v>2411</v>
      </c>
      <c r="W2059" s="761">
        <v>45085</v>
      </c>
      <c r="X2059" s="761"/>
      <c r="Y2059" s="761"/>
      <c r="Z2059" s="761" t="s">
        <v>62</v>
      </c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</row>
    <row r="2060" spans="1:39" s="707" customFormat="1">
      <c r="A2060"/>
      <c r="B2060" s="797" t="s">
        <v>13</v>
      </c>
      <c r="C2060" s="807" t="s">
        <v>1764</v>
      </c>
      <c r="D2060" s="853"/>
      <c r="E2060" s="874"/>
      <c r="F2060" s="808"/>
      <c r="G2060" s="807"/>
      <c r="H2060" s="807"/>
      <c r="I2060" s="837"/>
      <c r="J2060" s="837"/>
      <c r="K2060" s="807"/>
      <c r="L2060" s="819"/>
      <c r="M2060" s="807"/>
      <c r="N2060" s="819"/>
      <c r="O2060" s="819"/>
      <c r="P2060" s="807"/>
      <c r="Q2060" s="807"/>
      <c r="R2060" s="807"/>
      <c r="S2060" s="807"/>
      <c r="T2060" s="807"/>
      <c r="U2060" s="820"/>
      <c r="V2060" s="710"/>
      <c r="W2060" s="819"/>
      <c r="X2060" s="819"/>
      <c r="Y2060" s="819"/>
      <c r="Z2060" s="819"/>
      <c r="AA2060" s="710"/>
      <c r="AB2060" s="710"/>
      <c r="AC2060" s="710"/>
      <c r="AD2060" s="710"/>
      <c r="AE2060" s="710"/>
      <c r="AF2060" s="710"/>
      <c r="AG2060" s="710"/>
      <c r="AH2060" s="710"/>
      <c r="AI2060" s="710"/>
      <c r="AJ2060" s="710"/>
      <c r="AK2060" s="710"/>
      <c r="AL2060" s="710"/>
      <c r="AM2060" s="710"/>
    </row>
    <row r="2061" spans="1:39">
      <c r="B2061" s="895">
        <v>7</v>
      </c>
      <c r="C2061" s="963" t="s">
        <v>1237</v>
      </c>
      <c r="D2061" s="860">
        <v>300020000</v>
      </c>
      <c r="E2061" s="11" t="s">
        <v>5472</v>
      </c>
      <c r="F2061" s="749">
        <v>1</v>
      </c>
      <c r="G2061" s="3" t="s">
        <v>128</v>
      </c>
      <c r="H2061" s="3" t="s">
        <v>60</v>
      </c>
      <c r="I2061" s="786">
        <v>269.54000000000002</v>
      </c>
      <c r="J2061" s="786">
        <v>451.47</v>
      </c>
      <c r="K2061" s="3" t="s">
        <v>2411</v>
      </c>
      <c r="L2061" s="761">
        <v>45107</v>
      </c>
      <c r="M2061" s="3" t="s">
        <v>2411</v>
      </c>
      <c r="N2061" s="761">
        <v>45105</v>
      </c>
      <c r="O2061" s="761" t="s">
        <v>62</v>
      </c>
      <c r="P2061" s="3" t="s">
        <v>5473</v>
      </c>
      <c r="Q2061" s="3" t="s">
        <v>5474</v>
      </c>
      <c r="R2061" s="967"/>
      <c r="S2061" s="3" t="s">
        <v>130</v>
      </c>
      <c r="T2061" s="967"/>
      <c r="U2061" s="786">
        <v>281</v>
      </c>
      <c r="V2061" s="4" t="s">
        <v>2411</v>
      </c>
      <c r="W2061" s="761">
        <v>45107</v>
      </c>
      <c r="X2061" s="761"/>
      <c r="Y2061" s="761"/>
      <c r="Z2061" s="761" t="s">
        <v>62</v>
      </c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</row>
    <row r="2062" spans="1:39">
      <c r="B2062" s="895">
        <v>7</v>
      </c>
      <c r="C2062" s="963" t="s">
        <v>1237</v>
      </c>
      <c r="D2062" s="3">
        <v>300020001</v>
      </c>
      <c r="E2062" s="3" t="s">
        <v>5475</v>
      </c>
      <c r="F2062" s="749">
        <v>2</v>
      </c>
      <c r="G2062" s="3" t="s">
        <v>128</v>
      </c>
      <c r="H2062" s="3" t="s">
        <v>60</v>
      </c>
      <c r="I2062" s="786">
        <v>272.45</v>
      </c>
      <c r="J2062" s="786">
        <v>458.09</v>
      </c>
      <c r="K2062" s="3" t="s">
        <v>2411</v>
      </c>
      <c r="L2062" s="761">
        <v>45107</v>
      </c>
      <c r="M2062" s="3" t="s">
        <v>2411</v>
      </c>
      <c r="N2062" s="761">
        <v>45105</v>
      </c>
      <c r="O2062" s="761" t="s">
        <v>62</v>
      </c>
      <c r="P2062" s="3" t="s">
        <v>5476</v>
      </c>
      <c r="Q2062" s="3" t="s">
        <v>5477</v>
      </c>
      <c r="R2062" s="967"/>
      <c r="S2062" s="3" t="s">
        <v>130</v>
      </c>
      <c r="T2062" s="967"/>
      <c r="U2062" s="786">
        <v>284</v>
      </c>
      <c r="V2062" s="4" t="s">
        <v>2411</v>
      </c>
      <c r="W2062" s="761">
        <v>45107</v>
      </c>
      <c r="X2062" s="761"/>
      <c r="Y2062" s="761"/>
      <c r="Z2062" s="761" t="s">
        <v>62</v>
      </c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</row>
    <row r="2063" spans="1:39">
      <c r="B2063" s="895">
        <v>7</v>
      </c>
      <c r="C2063" s="963" t="s">
        <v>1237</v>
      </c>
      <c r="D2063" s="3">
        <v>300020002</v>
      </c>
      <c r="E2063" s="3" t="s">
        <v>5478</v>
      </c>
      <c r="F2063" s="749">
        <v>3</v>
      </c>
      <c r="G2063" s="3" t="s">
        <v>128</v>
      </c>
      <c r="H2063" s="3" t="s">
        <v>60</v>
      </c>
      <c r="I2063" s="786">
        <v>266.56</v>
      </c>
      <c r="J2063" s="786">
        <v>452.23</v>
      </c>
      <c r="K2063" s="3" t="s">
        <v>2512</v>
      </c>
      <c r="L2063" s="761">
        <v>45110</v>
      </c>
      <c r="M2063" s="3" t="s">
        <v>2512</v>
      </c>
      <c r="N2063" s="761">
        <v>45110</v>
      </c>
      <c r="O2063" s="761" t="s">
        <v>62</v>
      </c>
      <c r="P2063" s="3" t="s">
        <v>5479</v>
      </c>
      <c r="Q2063" s="4" t="s">
        <v>5480</v>
      </c>
      <c r="R2063" s="967"/>
      <c r="S2063" s="3" t="s">
        <v>130</v>
      </c>
      <c r="T2063" s="967"/>
      <c r="U2063" s="786">
        <v>278</v>
      </c>
      <c r="V2063" s="4" t="s">
        <v>2512</v>
      </c>
      <c r="W2063" s="761">
        <v>45110</v>
      </c>
      <c r="X2063" s="761"/>
      <c r="Y2063" s="761"/>
      <c r="Z2063" s="761" t="s">
        <v>62</v>
      </c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</row>
    <row r="2064" spans="1:39">
      <c r="B2064" s="895">
        <v>7</v>
      </c>
      <c r="C2064" s="963" t="s">
        <v>1237</v>
      </c>
      <c r="D2064" s="3">
        <v>300020020</v>
      </c>
      <c r="E2064" s="3" t="s">
        <v>5481</v>
      </c>
      <c r="F2064" s="749">
        <v>4</v>
      </c>
      <c r="G2064" s="3" t="s">
        <v>128</v>
      </c>
      <c r="H2064" s="3" t="s">
        <v>60</v>
      </c>
      <c r="I2064" s="786">
        <v>272.02999999999997</v>
      </c>
      <c r="J2064" s="786">
        <v>451.43</v>
      </c>
      <c r="K2064" s="3" t="s">
        <v>2512</v>
      </c>
      <c r="L2064" s="761">
        <v>45110</v>
      </c>
      <c r="M2064" s="3" t="s">
        <v>2512</v>
      </c>
      <c r="N2064" s="761">
        <v>45110</v>
      </c>
      <c r="O2064" s="761" t="s">
        <v>62</v>
      </c>
      <c r="P2064" s="3" t="s">
        <v>5482</v>
      </c>
      <c r="Q2064" s="4" t="s">
        <v>5483</v>
      </c>
      <c r="R2064" s="967"/>
      <c r="S2064" s="3" t="s">
        <v>130</v>
      </c>
      <c r="T2064" s="967"/>
      <c r="U2064" s="786">
        <v>283.5</v>
      </c>
      <c r="V2064" s="4" t="s">
        <v>2512</v>
      </c>
      <c r="W2064" s="761">
        <v>45110</v>
      </c>
      <c r="X2064" s="761"/>
      <c r="Y2064" s="761"/>
      <c r="Z2064" s="761" t="s">
        <v>62</v>
      </c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</row>
    <row r="2065" spans="1:39" ht="13.95" customHeight="1">
      <c r="B2065" s="895">
        <v>7</v>
      </c>
      <c r="C2065" s="963" t="s">
        <v>1237</v>
      </c>
      <c r="D2065" s="3">
        <v>300020021</v>
      </c>
      <c r="E2065" s="3" t="s">
        <v>5484</v>
      </c>
      <c r="F2065" s="749">
        <v>5</v>
      </c>
      <c r="G2065" s="3" t="s">
        <v>128</v>
      </c>
      <c r="H2065" s="3" t="s">
        <v>60</v>
      </c>
      <c r="I2065" s="786">
        <v>271.58</v>
      </c>
      <c r="J2065" s="762">
        <v>457.05</v>
      </c>
      <c r="K2065" s="3" t="s">
        <v>2512</v>
      </c>
      <c r="L2065" s="761">
        <v>45110</v>
      </c>
      <c r="M2065" s="3" t="s">
        <v>2512</v>
      </c>
      <c r="N2065" s="761">
        <v>45110</v>
      </c>
      <c r="O2065" s="761" t="s">
        <v>62</v>
      </c>
      <c r="P2065" s="3" t="s">
        <v>5485</v>
      </c>
      <c r="Q2065" s="4" t="s">
        <v>5486</v>
      </c>
      <c r="R2065" s="967"/>
      <c r="S2065" s="3" t="s">
        <v>130</v>
      </c>
      <c r="T2065" s="967"/>
      <c r="U2065" s="786">
        <v>283</v>
      </c>
      <c r="V2065" s="4" t="s">
        <v>2512</v>
      </c>
      <c r="W2065" s="761">
        <v>45110</v>
      </c>
      <c r="X2065" s="761"/>
      <c r="Y2065" s="761"/>
      <c r="Z2065" s="761" t="s">
        <v>62</v>
      </c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</row>
    <row r="2066" spans="1:39" s="707" customFormat="1">
      <c r="A2066"/>
      <c r="B2066" s="797" t="s">
        <v>13</v>
      </c>
      <c r="C2066" s="807" t="s">
        <v>1761</v>
      </c>
      <c r="D2066" s="853"/>
      <c r="E2066" s="874"/>
      <c r="F2066" s="808"/>
      <c r="G2066" s="807"/>
      <c r="H2066" s="807"/>
      <c r="I2066" s="837"/>
      <c r="J2066" s="837"/>
      <c r="K2066" s="807"/>
      <c r="L2066" s="819"/>
      <c r="M2066" s="807"/>
      <c r="N2066" s="819"/>
      <c r="O2066" s="819"/>
      <c r="P2066" s="807"/>
      <c r="Q2066" s="807"/>
      <c r="R2066" s="807"/>
      <c r="S2066" s="807"/>
      <c r="T2066" s="807"/>
      <c r="U2066" s="820"/>
      <c r="V2066" s="710"/>
      <c r="W2066" s="819"/>
      <c r="X2066" s="819"/>
      <c r="Y2066" s="819"/>
      <c r="Z2066" s="819"/>
      <c r="AA2066" s="710"/>
      <c r="AB2066" s="710"/>
      <c r="AC2066" s="710"/>
      <c r="AD2066" s="710"/>
      <c r="AE2066" s="710"/>
      <c r="AF2066" s="710"/>
      <c r="AG2066" s="710"/>
      <c r="AH2066" s="710"/>
      <c r="AI2066" s="710"/>
      <c r="AJ2066" s="710"/>
      <c r="AK2066" s="710"/>
      <c r="AL2066" s="710"/>
      <c r="AM2066" s="710"/>
    </row>
    <row r="2067" spans="1:39" ht="13.95" customHeight="1">
      <c r="B2067" s="895">
        <v>8</v>
      </c>
      <c r="C2067" s="963" t="s">
        <v>1237</v>
      </c>
      <c r="D2067" s="860">
        <v>300020008</v>
      </c>
      <c r="E2067" s="3" t="s">
        <v>5487</v>
      </c>
      <c r="F2067" s="749">
        <v>1</v>
      </c>
      <c r="G2067" s="3" t="s">
        <v>60</v>
      </c>
      <c r="H2067" s="3" t="s">
        <v>60</v>
      </c>
      <c r="I2067" s="786">
        <v>267.20999999999998</v>
      </c>
      <c r="J2067" s="786">
        <v>451.9</v>
      </c>
      <c r="K2067" s="3" t="s">
        <v>2556</v>
      </c>
      <c r="L2067" s="761">
        <v>45156</v>
      </c>
      <c r="M2067" s="3" t="s">
        <v>2556</v>
      </c>
      <c r="N2067" s="761">
        <v>45154</v>
      </c>
      <c r="O2067" s="761" t="s">
        <v>62</v>
      </c>
      <c r="P2067" s="3" t="s">
        <v>5488</v>
      </c>
      <c r="Q2067" s="4" t="s">
        <v>5489</v>
      </c>
      <c r="R2067" s="967"/>
      <c r="S2067" s="3" t="s">
        <v>130</v>
      </c>
      <c r="T2067" s="967"/>
      <c r="U2067" s="786">
        <v>279</v>
      </c>
      <c r="V2067" s="4" t="s">
        <v>2556</v>
      </c>
      <c r="W2067" s="761">
        <v>45156</v>
      </c>
      <c r="X2067" s="761"/>
      <c r="Y2067" s="761"/>
      <c r="Z2067" s="761" t="s">
        <v>62</v>
      </c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</row>
    <row r="2068" spans="1:39" ht="13.95" customHeight="1">
      <c r="B2068" s="895">
        <v>8</v>
      </c>
      <c r="C2068" s="963" t="s">
        <v>1237</v>
      </c>
      <c r="D2068" s="860">
        <v>300020009</v>
      </c>
      <c r="E2068" s="3" t="s">
        <v>5490</v>
      </c>
      <c r="F2068" s="749">
        <v>2</v>
      </c>
      <c r="G2068" s="3" t="s">
        <v>60</v>
      </c>
      <c r="H2068" s="3" t="s">
        <v>60</v>
      </c>
      <c r="I2068" s="786">
        <v>271.85000000000002</v>
      </c>
      <c r="J2068" s="786">
        <v>454.1</v>
      </c>
      <c r="K2068" s="3" t="s">
        <v>2556</v>
      </c>
      <c r="L2068" s="761">
        <v>45156</v>
      </c>
      <c r="M2068" s="3" t="s">
        <v>2556</v>
      </c>
      <c r="N2068" s="761">
        <v>45154</v>
      </c>
      <c r="O2068" s="761" t="s">
        <v>62</v>
      </c>
      <c r="P2068" s="3" t="s">
        <v>3628</v>
      </c>
      <c r="Q2068" s="4" t="s">
        <v>5491</v>
      </c>
      <c r="R2068" s="967"/>
      <c r="S2068" s="3" t="s">
        <v>130</v>
      </c>
      <c r="T2068" s="967"/>
      <c r="U2068" s="786">
        <v>283.89999999999998</v>
      </c>
      <c r="V2068" s="4" t="s">
        <v>2556</v>
      </c>
      <c r="W2068" s="761">
        <v>45156</v>
      </c>
      <c r="X2068" s="761"/>
      <c r="Y2068" s="761"/>
      <c r="Z2068" s="761" t="s">
        <v>62</v>
      </c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</row>
    <row r="2069" spans="1:39" ht="13.95" customHeight="1">
      <c r="B2069" s="895">
        <v>8</v>
      </c>
      <c r="C2069" s="963" t="s">
        <v>1237</v>
      </c>
      <c r="D2069" s="860">
        <v>300020120</v>
      </c>
      <c r="E2069" s="3" t="s">
        <v>5492</v>
      </c>
      <c r="F2069" s="749">
        <v>3</v>
      </c>
      <c r="G2069" s="3" t="s">
        <v>60</v>
      </c>
      <c r="H2069" s="3" t="s">
        <v>60</v>
      </c>
      <c r="I2069" s="786">
        <v>271.73</v>
      </c>
      <c r="J2069" s="786">
        <v>455.4</v>
      </c>
      <c r="K2069" s="3" t="s">
        <v>2556</v>
      </c>
      <c r="L2069" s="761">
        <v>45156</v>
      </c>
      <c r="M2069" s="3" t="s">
        <v>2556</v>
      </c>
      <c r="N2069" s="761">
        <v>45154</v>
      </c>
      <c r="O2069" s="761" t="s">
        <v>62</v>
      </c>
      <c r="P2069" s="3" t="s">
        <v>5493</v>
      </c>
      <c r="Q2069" s="4" t="s">
        <v>5494</v>
      </c>
      <c r="R2069" s="967"/>
      <c r="S2069" s="3" t="s">
        <v>130</v>
      </c>
      <c r="T2069" s="967"/>
      <c r="U2069" s="786">
        <v>283.3</v>
      </c>
      <c r="V2069" s="4" t="s">
        <v>2556</v>
      </c>
      <c r="W2069" s="761">
        <v>45159</v>
      </c>
      <c r="X2069" s="761"/>
      <c r="Y2069" s="761"/>
      <c r="Z2069" s="761" t="s">
        <v>62</v>
      </c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</row>
    <row r="2070" spans="1:39" ht="13.95" customHeight="1">
      <c r="B2070" s="895">
        <v>8</v>
      </c>
      <c r="C2070" s="963" t="s">
        <v>1237</v>
      </c>
      <c r="D2070" s="860">
        <v>300020121</v>
      </c>
      <c r="E2070" s="3" t="s">
        <v>5495</v>
      </c>
      <c r="F2070" s="749">
        <v>4</v>
      </c>
      <c r="G2070" s="3" t="s">
        <v>60</v>
      </c>
      <c r="H2070" s="3" t="s">
        <v>60</v>
      </c>
      <c r="I2070" s="786">
        <v>272</v>
      </c>
      <c r="J2070" s="786">
        <v>453.6</v>
      </c>
      <c r="K2070" s="3" t="s">
        <v>2556</v>
      </c>
      <c r="L2070" s="761">
        <v>45156</v>
      </c>
      <c r="M2070" s="3" t="s">
        <v>2556</v>
      </c>
      <c r="N2070" s="761">
        <v>45159</v>
      </c>
      <c r="O2070" s="761" t="s">
        <v>62</v>
      </c>
      <c r="P2070" s="3" t="s">
        <v>5496</v>
      </c>
      <c r="Q2070" s="4" t="s">
        <v>5497</v>
      </c>
      <c r="R2070" s="967"/>
      <c r="S2070" s="3" t="s">
        <v>130</v>
      </c>
      <c r="T2070" s="967"/>
      <c r="U2070" s="786">
        <v>283.8</v>
      </c>
      <c r="V2070" s="4" t="s">
        <v>2556</v>
      </c>
      <c r="W2070" s="761">
        <v>45159</v>
      </c>
      <c r="X2070" s="761"/>
      <c r="Y2070" s="761"/>
      <c r="Z2070" s="761" t="s">
        <v>62</v>
      </c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</row>
    <row r="2071" spans="1:39" ht="13.95" customHeight="1">
      <c r="B2071" s="895">
        <v>8</v>
      </c>
      <c r="C2071" s="963" t="s">
        <v>1237</v>
      </c>
      <c r="D2071" s="860">
        <v>300020122</v>
      </c>
      <c r="E2071" s="3" t="s">
        <v>5498</v>
      </c>
      <c r="F2071" s="749">
        <v>5</v>
      </c>
      <c r="G2071" s="3" t="s">
        <v>128</v>
      </c>
      <c r="H2071" s="3" t="s">
        <v>60</v>
      </c>
      <c r="I2071" s="786">
        <v>269.37</v>
      </c>
      <c r="J2071" s="786">
        <v>457.7</v>
      </c>
      <c r="K2071" s="3" t="s">
        <v>2556</v>
      </c>
      <c r="L2071" s="761">
        <v>45159</v>
      </c>
      <c r="M2071" s="3" t="s">
        <v>2556</v>
      </c>
      <c r="N2071" s="761">
        <v>45159</v>
      </c>
      <c r="O2071" s="761" t="s">
        <v>62</v>
      </c>
      <c r="P2071" s="3" t="s">
        <v>5499</v>
      </c>
      <c r="Q2071" s="4" t="s">
        <v>5500</v>
      </c>
      <c r="R2071" s="967"/>
      <c r="S2071" s="3" t="s">
        <v>130</v>
      </c>
      <c r="T2071" s="967"/>
      <c r="U2071" s="786">
        <v>281.2</v>
      </c>
      <c r="V2071" s="4" t="s">
        <v>2556</v>
      </c>
      <c r="W2071" s="761">
        <v>45160</v>
      </c>
      <c r="X2071" s="761"/>
      <c r="Y2071" s="761"/>
      <c r="Z2071" s="761" t="s">
        <v>62</v>
      </c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</row>
    <row r="2072" spans="1:39" ht="13.95" customHeight="1">
      <c r="B2072" s="895">
        <v>8</v>
      </c>
      <c r="C2072" s="963" t="s">
        <v>1237</v>
      </c>
      <c r="D2072" s="860">
        <v>300020123</v>
      </c>
      <c r="E2072" s="3" t="s">
        <v>5501</v>
      </c>
      <c r="F2072" s="749">
        <v>6</v>
      </c>
      <c r="G2072" s="3" t="s">
        <v>128</v>
      </c>
      <c r="H2072" s="3" t="s">
        <v>60</v>
      </c>
      <c r="I2072" s="786">
        <v>272.61</v>
      </c>
      <c r="J2072" s="786">
        <v>452.9</v>
      </c>
      <c r="K2072" s="3" t="s">
        <v>2556</v>
      </c>
      <c r="L2072" s="761">
        <v>45159</v>
      </c>
      <c r="M2072" s="3" t="s">
        <v>2556</v>
      </c>
      <c r="N2072" s="761">
        <v>45160</v>
      </c>
      <c r="O2072" s="761" t="s">
        <v>62</v>
      </c>
      <c r="P2072" s="3" t="s">
        <v>5502</v>
      </c>
      <c r="Q2072" s="4" t="s">
        <v>5503</v>
      </c>
      <c r="R2072" s="967"/>
      <c r="S2072" s="3" t="s">
        <v>130</v>
      </c>
      <c r="T2072" s="967"/>
      <c r="U2072" s="786">
        <v>284.60000000000002</v>
      </c>
      <c r="V2072" s="4" t="s">
        <v>2556</v>
      </c>
      <c r="W2072" s="761">
        <v>45160</v>
      </c>
      <c r="X2072" s="761"/>
      <c r="Y2072" s="761"/>
      <c r="Z2072" s="761" t="s">
        <v>62</v>
      </c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</row>
    <row r="2073" spans="1:39" s="707" customFormat="1" ht="27" customHeight="1">
      <c r="A2073"/>
      <c r="B2073" s="797" t="s">
        <v>13</v>
      </c>
      <c r="C2073" s="968" t="s">
        <v>3446</v>
      </c>
      <c r="D2073" s="853"/>
      <c r="E2073" s="874"/>
      <c r="F2073" s="808"/>
      <c r="G2073" s="969" t="s">
        <v>3392</v>
      </c>
      <c r="H2073" s="970" t="s">
        <v>3954</v>
      </c>
      <c r="I2073" s="969" t="s">
        <v>3392</v>
      </c>
      <c r="J2073" s="970" t="s">
        <v>3954</v>
      </c>
      <c r="K2073" s="807"/>
      <c r="L2073" s="819"/>
      <c r="M2073" s="807"/>
      <c r="N2073" s="819"/>
      <c r="O2073" s="819"/>
      <c r="P2073" s="807"/>
      <c r="Q2073" s="807"/>
      <c r="R2073" s="807"/>
      <c r="S2073" s="807"/>
      <c r="T2073" s="807"/>
      <c r="U2073" s="820"/>
      <c r="V2073" s="710"/>
      <c r="W2073" s="819"/>
      <c r="X2073" s="819"/>
      <c r="Y2073" s="819"/>
      <c r="Z2073" s="819"/>
      <c r="AA2073" s="710"/>
      <c r="AB2073" s="710"/>
      <c r="AC2073" s="710"/>
      <c r="AD2073" s="710"/>
      <c r="AE2073" s="710"/>
      <c r="AF2073" s="710"/>
      <c r="AG2073" s="710"/>
      <c r="AH2073" s="710"/>
      <c r="AI2073" s="710"/>
      <c r="AJ2073" s="710"/>
      <c r="AK2073" s="710"/>
      <c r="AL2073" s="710"/>
      <c r="AM2073" s="710"/>
    </row>
    <row r="2074" spans="1:39" ht="13.95" customHeight="1">
      <c r="B2074" s="895" t="s">
        <v>213</v>
      </c>
      <c r="C2074" s="963" t="s">
        <v>1237</v>
      </c>
      <c r="D2074" s="860">
        <v>300020921</v>
      </c>
      <c r="E2074" s="3" t="s">
        <v>1240</v>
      </c>
      <c r="F2074" s="749">
        <v>1</v>
      </c>
      <c r="G2074" s="3" t="s">
        <v>128</v>
      </c>
      <c r="H2074" s="3" t="s">
        <v>60</v>
      </c>
      <c r="I2074" s="858">
        <v>268.45</v>
      </c>
      <c r="J2074" s="786">
        <v>453.3</v>
      </c>
      <c r="K2074" s="3" t="s">
        <v>2125</v>
      </c>
      <c r="L2074" s="958">
        <v>45349</v>
      </c>
      <c r="M2074" s="958" t="s">
        <v>2125</v>
      </c>
      <c r="N2074" s="958">
        <v>45349</v>
      </c>
      <c r="O2074" s="761" t="s">
        <v>62</v>
      </c>
      <c r="P2074" s="3" t="s">
        <v>1241</v>
      </c>
      <c r="Q2074" s="785" t="s">
        <v>1242</v>
      </c>
      <c r="R2074" s="967"/>
      <c r="S2074" s="3" t="s">
        <v>130</v>
      </c>
      <c r="T2074" s="967"/>
      <c r="U2074" s="858">
        <v>279.89999999999998</v>
      </c>
      <c r="V2074" s="4" t="s">
        <v>2125</v>
      </c>
      <c r="W2074" s="890">
        <v>45350</v>
      </c>
      <c r="X2074" s="957"/>
      <c r="Y2074" s="957"/>
      <c r="Z2074" s="761" t="s">
        <v>62</v>
      </c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</row>
    <row r="2075" spans="1:39" ht="13.95" customHeight="1">
      <c r="B2075" s="895" t="s">
        <v>213</v>
      </c>
      <c r="C2075" s="963" t="s">
        <v>1237</v>
      </c>
      <c r="D2075" s="860">
        <v>300020922</v>
      </c>
      <c r="E2075" s="3" t="s">
        <v>1244</v>
      </c>
      <c r="F2075" s="749">
        <f>F2074+1</f>
        <v>2</v>
      </c>
      <c r="G2075" s="3" t="s">
        <v>128</v>
      </c>
      <c r="H2075" s="3" t="s">
        <v>60</v>
      </c>
      <c r="I2075" s="858">
        <v>271.52</v>
      </c>
      <c r="J2075" s="786">
        <v>456.1</v>
      </c>
      <c r="K2075" s="3" t="s">
        <v>2125</v>
      </c>
      <c r="L2075" s="958">
        <v>45349</v>
      </c>
      <c r="M2075" s="958" t="s">
        <v>2125</v>
      </c>
      <c r="N2075" s="958">
        <v>45349</v>
      </c>
      <c r="O2075" s="761" t="s">
        <v>62</v>
      </c>
      <c r="P2075" s="3" t="s">
        <v>1245</v>
      </c>
      <c r="Q2075" s="3" t="s">
        <v>1246</v>
      </c>
      <c r="R2075" s="967"/>
      <c r="S2075" s="3" t="s">
        <v>130</v>
      </c>
      <c r="T2075" s="967"/>
      <c r="U2075" s="858">
        <v>283.3</v>
      </c>
      <c r="V2075" s="4" t="s">
        <v>2125</v>
      </c>
      <c r="W2075" s="890">
        <v>45350</v>
      </c>
      <c r="X2075" s="957"/>
      <c r="Y2075" s="957"/>
      <c r="Z2075" s="761" t="s">
        <v>62</v>
      </c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</row>
    <row r="2076" spans="1:39" ht="13.95" customHeight="1">
      <c r="B2076" s="895" t="s">
        <v>213</v>
      </c>
      <c r="C2076" s="963" t="s">
        <v>1237</v>
      </c>
      <c r="D2076" s="860">
        <v>300020923</v>
      </c>
      <c r="E2076" s="3" t="s">
        <v>1247</v>
      </c>
      <c r="F2076" s="749">
        <v>3</v>
      </c>
      <c r="G2076" s="3" t="s">
        <v>128</v>
      </c>
      <c r="H2076" s="3" t="s">
        <v>60</v>
      </c>
      <c r="I2076" s="858">
        <v>268.94</v>
      </c>
      <c r="J2076" s="762">
        <v>452</v>
      </c>
      <c r="K2076" s="3" t="s">
        <v>2125</v>
      </c>
      <c r="L2076" s="958">
        <v>45350</v>
      </c>
      <c r="M2076" s="958" t="s">
        <v>2125</v>
      </c>
      <c r="N2076" s="958">
        <v>45351</v>
      </c>
      <c r="O2076" s="761" t="s">
        <v>62</v>
      </c>
      <c r="P2076" s="3" t="s">
        <v>1248</v>
      </c>
      <c r="Q2076" s="3" t="s">
        <v>1249</v>
      </c>
      <c r="R2076" s="967"/>
      <c r="S2076" s="3" t="s">
        <v>130</v>
      </c>
      <c r="T2076" s="967"/>
      <c r="U2076" s="858">
        <v>280.7</v>
      </c>
      <c r="V2076" s="4" t="s">
        <v>2125</v>
      </c>
      <c r="W2076" s="890">
        <v>45350</v>
      </c>
      <c r="X2076" s="957"/>
      <c r="Y2076" s="957"/>
      <c r="Z2076" s="761" t="s">
        <v>62</v>
      </c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</row>
    <row r="2077" spans="1:39" ht="13.95" customHeight="1">
      <c r="B2077" s="895" t="s">
        <v>213</v>
      </c>
      <c r="C2077" s="963" t="s">
        <v>1237</v>
      </c>
      <c r="D2077" s="860">
        <v>300020924</v>
      </c>
      <c r="E2077" s="3" t="s">
        <v>1250</v>
      </c>
      <c r="F2077" s="749">
        <v>4</v>
      </c>
      <c r="G2077" s="3" t="s">
        <v>128</v>
      </c>
      <c r="H2077" s="3" t="s">
        <v>60</v>
      </c>
      <c r="I2077" s="858">
        <v>269.14</v>
      </c>
      <c r="J2077" s="762">
        <v>455.3</v>
      </c>
      <c r="K2077" s="3" t="s">
        <v>2125</v>
      </c>
      <c r="L2077" s="958">
        <v>45350</v>
      </c>
      <c r="M2077" s="958" t="s">
        <v>2125</v>
      </c>
      <c r="N2077" s="958">
        <v>45351</v>
      </c>
      <c r="O2077" s="761" t="s">
        <v>62</v>
      </c>
      <c r="P2077" s="3" t="s">
        <v>1251</v>
      </c>
      <c r="Q2077" s="3" t="s">
        <v>1252</v>
      </c>
      <c r="R2077" s="967"/>
      <c r="S2077" s="3" t="s">
        <v>130</v>
      </c>
      <c r="T2077" s="967"/>
      <c r="U2077" s="858">
        <v>280.7</v>
      </c>
      <c r="V2077" s="4" t="s">
        <v>2125</v>
      </c>
      <c r="W2077" s="890">
        <v>45350</v>
      </c>
      <c r="X2077" s="957"/>
      <c r="Y2077" s="957"/>
      <c r="Z2077" s="761" t="s">
        <v>62</v>
      </c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</row>
    <row r="2078" spans="1:39" ht="13.95" customHeight="1">
      <c r="B2078" s="895" t="s">
        <v>213</v>
      </c>
      <c r="C2078" s="963" t="s">
        <v>1237</v>
      </c>
      <c r="D2078" s="860">
        <v>300020925</v>
      </c>
      <c r="E2078" s="3" t="s">
        <v>1253</v>
      </c>
      <c r="F2078" s="749">
        <v>5</v>
      </c>
      <c r="G2078" s="3" t="s">
        <v>128</v>
      </c>
      <c r="H2078" s="3" t="s">
        <v>60</v>
      </c>
      <c r="I2078" s="786">
        <v>271.23</v>
      </c>
      <c r="J2078" s="762">
        <v>449.2</v>
      </c>
      <c r="K2078" s="3" t="s">
        <v>1716</v>
      </c>
      <c r="L2078" s="958">
        <v>45352</v>
      </c>
      <c r="M2078" s="958" t="s">
        <v>1716</v>
      </c>
      <c r="N2078" s="958">
        <v>45355</v>
      </c>
      <c r="O2078" s="761" t="s">
        <v>62</v>
      </c>
      <c r="P2078" s="3" t="s">
        <v>1254</v>
      </c>
      <c r="Q2078" s="3" t="s">
        <v>1255</v>
      </c>
      <c r="R2078" s="967"/>
      <c r="S2078" s="3" t="s">
        <v>130</v>
      </c>
      <c r="T2078" s="967"/>
      <c r="U2078" s="786">
        <v>282.8</v>
      </c>
      <c r="V2078" s="4" t="s">
        <v>1716</v>
      </c>
      <c r="W2078" s="890">
        <v>45355</v>
      </c>
      <c r="X2078" s="957"/>
      <c r="Y2078" s="957"/>
      <c r="Z2078" s="761" t="s">
        <v>62</v>
      </c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</row>
    <row r="2079" spans="1:39" ht="13.95" customHeight="1">
      <c r="B2079" s="895" t="s">
        <v>213</v>
      </c>
      <c r="C2079" s="963" t="s">
        <v>1237</v>
      </c>
      <c r="D2079" s="860">
        <v>300020926</v>
      </c>
      <c r="E2079" s="3" t="s">
        <v>1256</v>
      </c>
      <c r="F2079" s="749">
        <v>6</v>
      </c>
      <c r="G2079" s="3" t="s">
        <v>128</v>
      </c>
      <c r="H2079" s="3" t="s">
        <v>60</v>
      </c>
      <c r="I2079" s="786">
        <v>268.87</v>
      </c>
      <c r="J2079" s="762">
        <v>455.3</v>
      </c>
      <c r="K2079" s="3" t="s">
        <v>1716</v>
      </c>
      <c r="L2079" s="958">
        <v>45352</v>
      </c>
      <c r="M2079" s="958" t="s">
        <v>1716</v>
      </c>
      <c r="N2079" s="958">
        <v>45355</v>
      </c>
      <c r="O2079" s="761" t="s">
        <v>62</v>
      </c>
      <c r="P2079" s="3" t="s">
        <v>1257</v>
      </c>
      <c r="Q2079" s="3" t="s">
        <v>1258</v>
      </c>
      <c r="R2079" s="967"/>
      <c r="S2079" s="3" t="s">
        <v>130</v>
      </c>
      <c r="T2079" s="967"/>
      <c r="U2079" s="786">
        <v>280.2</v>
      </c>
      <c r="V2079" s="4" t="s">
        <v>1716</v>
      </c>
      <c r="W2079" s="890">
        <v>45355</v>
      </c>
      <c r="X2079" s="957"/>
      <c r="Y2079" s="957"/>
      <c r="Z2079" s="761" t="s">
        <v>62</v>
      </c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</row>
    <row r="2080" spans="1:39" ht="13.95" customHeight="1">
      <c r="B2080" s="895" t="s">
        <v>213</v>
      </c>
      <c r="C2080" s="963" t="s">
        <v>1237</v>
      </c>
      <c r="D2080" s="860">
        <v>300020927</v>
      </c>
      <c r="E2080" s="3" t="s">
        <v>1259</v>
      </c>
      <c r="F2080" s="749">
        <v>7</v>
      </c>
      <c r="G2080" s="3" t="s">
        <v>128</v>
      </c>
      <c r="H2080" s="3" t="s">
        <v>60</v>
      </c>
      <c r="I2080" s="786">
        <v>270.3</v>
      </c>
      <c r="J2080" s="785">
        <v>454.3</v>
      </c>
      <c r="K2080" s="3" t="s">
        <v>1716</v>
      </c>
      <c r="L2080" s="958">
        <v>45355</v>
      </c>
      <c r="M2080" s="958" t="s">
        <v>1716</v>
      </c>
      <c r="N2080" s="958">
        <v>45355</v>
      </c>
      <c r="O2080" s="761" t="s">
        <v>62</v>
      </c>
      <c r="P2080" s="3" t="s">
        <v>1260</v>
      </c>
      <c r="Q2080" s="4" t="s">
        <v>1261</v>
      </c>
      <c r="R2080" s="967"/>
      <c r="S2080" s="3" t="s">
        <v>130</v>
      </c>
      <c r="T2080" s="967"/>
      <c r="U2080" s="762">
        <v>282.10000000000002</v>
      </c>
      <c r="V2080" s="4" t="s">
        <v>1716</v>
      </c>
      <c r="W2080" s="890">
        <v>45356</v>
      </c>
      <c r="X2080" s="957"/>
      <c r="Y2080" s="957"/>
      <c r="Z2080" s="761" t="s">
        <v>62</v>
      </c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</row>
    <row r="2081" spans="1:39" ht="13.95" customHeight="1">
      <c r="B2081" s="895" t="s">
        <v>213</v>
      </c>
      <c r="C2081" s="963" t="s">
        <v>1237</v>
      </c>
      <c r="D2081" s="860">
        <v>300020960</v>
      </c>
      <c r="E2081" s="3" t="s">
        <v>1262</v>
      </c>
      <c r="F2081" s="749">
        <v>8</v>
      </c>
      <c r="G2081" s="3" t="s">
        <v>128</v>
      </c>
      <c r="H2081" s="3" t="s">
        <v>60</v>
      </c>
      <c r="I2081" s="786">
        <v>272.61</v>
      </c>
      <c r="J2081" s="785">
        <v>458.5</v>
      </c>
      <c r="K2081" s="3" t="s">
        <v>1716</v>
      </c>
      <c r="L2081" s="958">
        <v>45355</v>
      </c>
      <c r="M2081" s="958" t="s">
        <v>1716</v>
      </c>
      <c r="N2081" s="958">
        <v>45355</v>
      </c>
      <c r="O2081" s="761" t="s">
        <v>62</v>
      </c>
      <c r="P2081" s="3" t="s">
        <v>1263</v>
      </c>
      <c r="Q2081" s="4" t="s">
        <v>1264</v>
      </c>
      <c r="R2081" s="967"/>
      <c r="S2081" s="3" t="s">
        <v>130</v>
      </c>
      <c r="T2081" s="967"/>
      <c r="U2081" s="762">
        <v>284.39999999999998</v>
      </c>
      <c r="V2081" s="4" t="s">
        <v>1716</v>
      </c>
      <c r="W2081" s="890">
        <v>45356</v>
      </c>
      <c r="X2081" s="957"/>
      <c r="Y2081" s="957"/>
      <c r="Z2081" s="761" t="s">
        <v>62</v>
      </c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</row>
    <row r="2082" spans="1:39" ht="13.95" customHeight="1">
      <c r="B2082" s="895" t="s">
        <v>213</v>
      </c>
      <c r="C2082" s="963" t="s">
        <v>1237</v>
      </c>
      <c r="D2082" s="860">
        <v>300020961</v>
      </c>
      <c r="E2082" s="3" t="s">
        <v>1265</v>
      </c>
      <c r="F2082" s="749">
        <v>9</v>
      </c>
      <c r="G2082" s="3" t="s">
        <v>128</v>
      </c>
      <c r="H2082" s="3" t="s">
        <v>60</v>
      </c>
      <c r="I2082" s="762">
        <v>269.19</v>
      </c>
      <c r="J2082" s="786">
        <v>450.9</v>
      </c>
      <c r="K2082" s="3" t="s">
        <v>1716</v>
      </c>
      <c r="L2082" s="958">
        <v>45355</v>
      </c>
      <c r="M2082" s="958" t="s">
        <v>1716</v>
      </c>
      <c r="N2082" s="958">
        <v>45356</v>
      </c>
      <c r="O2082" s="761" t="s">
        <v>62</v>
      </c>
      <c r="P2082" s="3" t="s">
        <v>1266</v>
      </c>
      <c r="Q2082" s="931" t="s">
        <v>1267</v>
      </c>
      <c r="R2082" s="967"/>
      <c r="S2082" s="3" t="s">
        <v>130</v>
      </c>
      <c r="T2082" s="967"/>
      <c r="U2082" s="762">
        <v>280.7</v>
      </c>
      <c r="V2082" s="4" t="s">
        <v>1716</v>
      </c>
      <c r="W2082" s="890">
        <v>45356</v>
      </c>
      <c r="X2082" s="957"/>
      <c r="Y2082" s="957"/>
      <c r="Z2082" s="761" t="s">
        <v>62</v>
      </c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</row>
    <row r="2083" spans="1:39" ht="13.95" customHeight="1">
      <c r="B2083" s="895" t="s">
        <v>213</v>
      </c>
      <c r="C2083" s="963" t="s">
        <v>1237</v>
      </c>
      <c r="D2083" s="860">
        <v>300020962</v>
      </c>
      <c r="E2083" s="3" t="s">
        <v>1268</v>
      </c>
      <c r="F2083" s="749">
        <v>10</v>
      </c>
      <c r="G2083" s="3" t="s">
        <v>128</v>
      </c>
      <c r="H2083" s="3" t="s">
        <v>60</v>
      </c>
      <c r="I2083" s="762">
        <v>271.43</v>
      </c>
      <c r="J2083" s="762">
        <v>454.78</v>
      </c>
      <c r="K2083" s="3" t="s">
        <v>1716</v>
      </c>
      <c r="L2083" s="958">
        <v>45355</v>
      </c>
      <c r="M2083" s="958" t="s">
        <v>1716</v>
      </c>
      <c r="N2083" s="958">
        <v>45356</v>
      </c>
      <c r="O2083" s="761" t="s">
        <v>62</v>
      </c>
      <c r="P2083" s="3" t="s">
        <v>1241</v>
      </c>
      <c r="Q2083" s="3" t="s">
        <v>1269</v>
      </c>
      <c r="R2083" s="967"/>
      <c r="S2083" s="3" t="s">
        <v>130</v>
      </c>
      <c r="T2083" s="967"/>
      <c r="U2083" s="786">
        <v>283.2</v>
      </c>
      <c r="V2083" s="4" t="s">
        <v>1716</v>
      </c>
      <c r="W2083" s="890">
        <v>45356</v>
      </c>
      <c r="X2083" s="957"/>
      <c r="Y2083" s="957"/>
      <c r="Z2083" s="761" t="s">
        <v>62</v>
      </c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</row>
    <row r="2084" spans="1:39" ht="13.95" customHeight="1">
      <c r="B2084" s="895" t="s">
        <v>213</v>
      </c>
      <c r="C2084" s="963" t="s">
        <v>1237</v>
      </c>
      <c r="D2084" s="860">
        <v>300020963</v>
      </c>
      <c r="E2084" s="3" t="s">
        <v>1270</v>
      </c>
      <c r="F2084" s="749">
        <v>11</v>
      </c>
      <c r="G2084" s="3" t="s">
        <v>128</v>
      </c>
      <c r="H2084" s="3" t="s">
        <v>60</v>
      </c>
      <c r="I2084" s="762">
        <v>274.58</v>
      </c>
      <c r="J2084" s="762">
        <v>452.79</v>
      </c>
      <c r="K2084" s="3" t="s">
        <v>1716</v>
      </c>
      <c r="L2084" s="958">
        <v>45355</v>
      </c>
      <c r="M2084" s="958" t="s">
        <v>1716</v>
      </c>
      <c r="N2084" s="958">
        <v>45356</v>
      </c>
      <c r="O2084" s="761" t="s">
        <v>62</v>
      </c>
      <c r="P2084" s="3" t="s">
        <v>1271</v>
      </c>
      <c r="Q2084" s="3" t="s">
        <v>1272</v>
      </c>
      <c r="R2084" s="967"/>
      <c r="S2084" s="3" t="s">
        <v>130</v>
      </c>
      <c r="T2084" s="967"/>
      <c r="U2084" s="786">
        <v>286.10000000000002</v>
      </c>
      <c r="V2084" s="4" t="s">
        <v>1716</v>
      </c>
      <c r="W2084" s="890">
        <v>45356</v>
      </c>
      <c r="X2084" s="957"/>
      <c r="Y2084" s="957"/>
      <c r="Z2084" s="761" t="s">
        <v>62</v>
      </c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</row>
    <row r="2085" spans="1:39" ht="13.95" customHeight="1">
      <c r="B2085" s="895" t="s">
        <v>213</v>
      </c>
      <c r="C2085" s="963" t="s">
        <v>1237</v>
      </c>
      <c r="D2085" s="860">
        <v>300020964</v>
      </c>
      <c r="E2085" s="3" t="s">
        <v>1273</v>
      </c>
      <c r="F2085" s="749">
        <v>12</v>
      </c>
      <c r="G2085" s="3" t="s">
        <v>128</v>
      </c>
      <c r="H2085" s="3" t="s">
        <v>60</v>
      </c>
      <c r="I2085" s="762">
        <v>268.44</v>
      </c>
      <c r="J2085" s="762">
        <v>453.6</v>
      </c>
      <c r="K2085" s="3" t="s">
        <v>1716</v>
      </c>
      <c r="L2085" s="958">
        <v>45366</v>
      </c>
      <c r="M2085" s="958" t="s">
        <v>1716</v>
      </c>
      <c r="N2085" s="958">
        <v>45366</v>
      </c>
      <c r="O2085" s="761" t="s">
        <v>62</v>
      </c>
      <c r="P2085" s="3" t="s">
        <v>1274</v>
      </c>
      <c r="Q2085" s="3" t="s">
        <v>1275</v>
      </c>
      <c r="R2085" s="967"/>
      <c r="S2085" s="3" t="s">
        <v>130</v>
      </c>
      <c r="T2085" s="967"/>
      <c r="U2085" s="786">
        <v>280</v>
      </c>
      <c r="V2085" s="4" t="s">
        <v>1716</v>
      </c>
      <c r="W2085" s="890">
        <v>45366</v>
      </c>
      <c r="X2085" s="957"/>
      <c r="Y2085" s="957"/>
      <c r="Z2085" s="761" t="s">
        <v>62</v>
      </c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</row>
    <row r="2086" spans="1:39" ht="13.95" customHeight="1">
      <c r="B2086" s="895" t="s">
        <v>213</v>
      </c>
      <c r="C2086" s="963" t="s">
        <v>1237</v>
      </c>
      <c r="D2086" s="860">
        <v>300020944</v>
      </c>
      <c r="E2086" s="3" t="s">
        <v>1276</v>
      </c>
      <c r="F2086" s="749">
        <v>13</v>
      </c>
      <c r="G2086" s="3" t="s">
        <v>128</v>
      </c>
      <c r="H2086" s="3" t="s">
        <v>60</v>
      </c>
      <c r="I2086" s="762">
        <v>268.73</v>
      </c>
      <c r="J2086" s="786">
        <v>453.7</v>
      </c>
      <c r="K2086" s="3" t="s">
        <v>1716</v>
      </c>
      <c r="L2086" s="958">
        <v>45366</v>
      </c>
      <c r="M2086" s="958" t="s">
        <v>1716</v>
      </c>
      <c r="N2086" s="958">
        <v>45366</v>
      </c>
      <c r="O2086" s="761" t="s">
        <v>62</v>
      </c>
      <c r="P2086" s="3" t="s">
        <v>1277</v>
      </c>
      <c r="Q2086" s="785" t="s">
        <v>1278</v>
      </c>
      <c r="R2086" s="967"/>
      <c r="S2086" s="3" t="s">
        <v>130</v>
      </c>
      <c r="T2086" s="967"/>
      <c r="U2086" s="786">
        <v>280.39999999999998</v>
      </c>
      <c r="V2086" s="4" t="s">
        <v>1716</v>
      </c>
      <c r="W2086" s="890">
        <v>45366</v>
      </c>
      <c r="X2086" s="957"/>
      <c r="Y2086" s="957"/>
      <c r="Z2086" s="761" t="s">
        <v>62</v>
      </c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</row>
    <row r="2087" spans="1:39" ht="13.95" customHeight="1">
      <c r="B2087" s="895" t="s">
        <v>213</v>
      </c>
      <c r="C2087" s="963" t="s">
        <v>1237</v>
      </c>
      <c r="D2087" s="860">
        <v>300020945</v>
      </c>
      <c r="E2087" s="3" t="s">
        <v>1279</v>
      </c>
      <c r="F2087" s="749">
        <v>14</v>
      </c>
      <c r="G2087" s="3" t="s">
        <v>128</v>
      </c>
      <c r="H2087" s="3" t="s">
        <v>60</v>
      </c>
      <c r="I2087" s="786">
        <v>270.39999999999998</v>
      </c>
      <c r="J2087" s="786">
        <v>451.2</v>
      </c>
      <c r="K2087" s="3" t="s">
        <v>1716</v>
      </c>
      <c r="L2087" s="958">
        <v>45366</v>
      </c>
      <c r="M2087" s="958" t="s">
        <v>1716</v>
      </c>
      <c r="N2087" s="958">
        <v>45366</v>
      </c>
      <c r="O2087" s="761" t="s">
        <v>62</v>
      </c>
      <c r="P2087" s="785" t="s">
        <v>1280</v>
      </c>
      <c r="Q2087" s="785" t="s">
        <v>1281</v>
      </c>
      <c r="R2087" s="967"/>
      <c r="S2087" s="3" t="s">
        <v>130</v>
      </c>
      <c r="T2087" s="967"/>
      <c r="U2087" s="786">
        <v>282.2</v>
      </c>
      <c r="V2087" s="4" t="s">
        <v>1716</v>
      </c>
      <c r="W2087" s="890">
        <v>45369</v>
      </c>
      <c r="X2087" s="957"/>
      <c r="Y2087" s="957"/>
      <c r="Z2087" s="761" t="s">
        <v>62</v>
      </c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</row>
    <row r="2088" spans="1:39" ht="13.95" customHeight="1">
      <c r="B2088" s="895" t="s">
        <v>213</v>
      </c>
      <c r="C2088" s="963" t="s">
        <v>1237</v>
      </c>
      <c r="D2088" s="860">
        <v>300020946</v>
      </c>
      <c r="E2088" s="3" t="s">
        <v>1282</v>
      </c>
      <c r="F2088" s="749">
        <v>15</v>
      </c>
      <c r="G2088" s="3" t="s">
        <v>128</v>
      </c>
      <c r="H2088" s="3" t="s">
        <v>60</v>
      </c>
      <c r="I2088" s="786">
        <v>274.3</v>
      </c>
      <c r="J2088" s="786">
        <v>452.6</v>
      </c>
      <c r="K2088" s="3" t="s">
        <v>1716</v>
      </c>
      <c r="L2088" s="958">
        <v>45366</v>
      </c>
      <c r="M2088" s="958" t="s">
        <v>1716</v>
      </c>
      <c r="N2088" s="958">
        <v>45369</v>
      </c>
      <c r="O2088" s="761" t="s">
        <v>62</v>
      </c>
      <c r="P2088" s="785" t="s">
        <v>1283</v>
      </c>
      <c r="Q2088" s="785" t="s">
        <v>1284</v>
      </c>
      <c r="R2088" s="967"/>
      <c r="S2088" s="3" t="s">
        <v>130</v>
      </c>
      <c r="T2088" s="967"/>
      <c r="U2088" s="786">
        <v>286.2</v>
      </c>
      <c r="V2088" s="4" t="s">
        <v>1716</v>
      </c>
      <c r="W2088" s="890">
        <v>45369</v>
      </c>
      <c r="X2088" s="957"/>
      <c r="Y2088" s="957"/>
      <c r="Z2088" s="761" t="s">
        <v>62</v>
      </c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</row>
    <row r="2089" spans="1:39" ht="13.95" customHeight="1">
      <c r="B2089" s="895" t="s">
        <v>213</v>
      </c>
      <c r="C2089" s="963" t="s">
        <v>1237</v>
      </c>
      <c r="D2089" s="860">
        <v>300020947</v>
      </c>
      <c r="E2089" s="3" t="s">
        <v>1285</v>
      </c>
      <c r="F2089" s="749">
        <v>16</v>
      </c>
      <c r="G2089" s="3" t="s">
        <v>128</v>
      </c>
      <c r="H2089" s="3" t="s">
        <v>60</v>
      </c>
      <c r="I2089" s="786">
        <v>266.91000000000003</v>
      </c>
      <c r="J2089" s="786">
        <v>455.8</v>
      </c>
      <c r="K2089" s="3" t="s">
        <v>1716</v>
      </c>
      <c r="L2089" s="958">
        <v>45370</v>
      </c>
      <c r="M2089" s="958" t="s">
        <v>1716</v>
      </c>
      <c r="N2089" s="958">
        <v>45369</v>
      </c>
      <c r="O2089" s="761" t="s">
        <v>62</v>
      </c>
      <c r="P2089" s="785" t="s">
        <v>1286</v>
      </c>
      <c r="Q2089" s="785" t="s">
        <v>1287</v>
      </c>
      <c r="R2089" s="967"/>
      <c r="S2089" s="3" t="s">
        <v>130</v>
      </c>
      <c r="T2089" s="967"/>
      <c r="U2089" s="786">
        <v>278.7</v>
      </c>
      <c r="V2089" s="4" t="s">
        <v>1716</v>
      </c>
      <c r="W2089" s="890">
        <v>45370</v>
      </c>
      <c r="X2089" s="957"/>
      <c r="Y2089" s="957"/>
      <c r="Z2089" s="761" t="s">
        <v>62</v>
      </c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</row>
    <row r="2090" spans="1:39" ht="13.95" customHeight="1">
      <c r="B2090" s="895" t="s">
        <v>213</v>
      </c>
      <c r="C2090" s="963" t="s">
        <v>1237</v>
      </c>
      <c r="D2090" s="860">
        <v>300020948</v>
      </c>
      <c r="E2090" s="3" t="s">
        <v>1288</v>
      </c>
      <c r="F2090" s="749">
        <v>17</v>
      </c>
      <c r="G2090" s="3" t="s">
        <v>128</v>
      </c>
      <c r="H2090" s="3" t="s">
        <v>60</v>
      </c>
      <c r="I2090" s="786">
        <v>271.41000000000003</v>
      </c>
      <c r="J2090" s="786">
        <v>462.6</v>
      </c>
      <c r="K2090" s="3" t="s">
        <v>1716</v>
      </c>
      <c r="L2090" s="958">
        <v>45370</v>
      </c>
      <c r="M2090" s="958" t="s">
        <v>1716</v>
      </c>
      <c r="N2090" s="958">
        <v>45371</v>
      </c>
      <c r="O2090" s="761" t="s">
        <v>62</v>
      </c>
      <c r="P2090" s="785" t="s">
        <v>1241</v>
      </c>
      <c r="Q2090" s="3" t="s">
        <v>1289</v>
      </c>
      <c r="R2090" s="967"/>
      <c r="S2090" s="3" t="s">
        <v>130</v>
      </c>
      <c r="T2090" s="967"/>
      <c r="U2090" s="762">
        <v>283.39999999999998</v>
      </c>
      <c r="V2090" s="4" t="s">
        <v>1716</v>
      </c>
      <c r="W2090" s="890">
        <v>45371</v>
      </c>
      <c r="X2090" s="957"/>
      <c r="Y2090" s="957"/>
      <c r="Z2090" s="761" t="s">
        <v>62</v>
      </c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</row>
    <row r="2091" spans="1:39" ht="13.95" customHeight="1">
      <c r="B2091" s="895" t="s">
        <v>213</v>
      </c>
      <c r="C2091" s="963" t="s">
        <v>1237</v>
      </c>
      <c r="D2091" s="860">
        <v>300020949</v>
      </c>
      <c r="E2091" s="3" t="s">
        <v>1290</v>
      </c>
      <c r="F2091" s="749">
        <v>18</v>
      </c>
      <c r="G2091" s="3" t="s">
        <v>128</v>
      </c>
      <c r="H2091" s="3" t="s">
        <v>60</v>
      </c>
      <c r="I2091" s="786">
        <v>268.44</v>
      </c>
      <c r="J2091" s="786">
        <v>454</v>
      </c>
      <c r="K2091" s="3" t="s">
        <v>1716</v>
      </c>
      <c r="L2091" s="958">
        <v>45370</v>
      </c>
      <c r="M2091" s="958" t="s">
        <v>1716</v>
      </c>
      <c r="N2091" s="958">
        <v>45371</v>
      </c>
      <c r="O2091" s="761" t="s">
        <v>62</v>
      </c>
      <c r="P2091" s="3" t="s">
        <v>1291</v>
      </c>
      <c r="Q2091" s="785" t="s">
        <v>1292</v>
      </c>
      <c r="R2091" s="967"/>
      <c r="S2091" s="3" t="s">
        <v>130</v>
      </c>
      <c r="T2091" s="967"/>
      <c r="U2091" s="786">
        <v>280</v>
      </c>
      <c r="V2091" s="4" t="s">
        <v>1716</v>
      </c>
      <c r="W2091" s="890">
        <v>45372</v>
      </c>
      <c r="X2091" s="957"/>
      <c r="Y2091" s="957"/>
      <c r="Z2091" s="761" t="s">
        <v>62</v>
      </c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</row>
    <row r="2092" spans="1:39" ht="13.95" customHeight="1">
      <c r="B2092" s="895" t="s">
        <v>213</v>
      </c>
      <c r="C2092" s="963" t="s">
        <v>1237</v>
      </c>
      <c r="D2092" s="860">
        <v>300020950</v>
      </c>
      <c r="E2092" s="3" t="s">
        <v>1293</v>
      </c>
      <c r="F2092" s="749">
        <v>19</v>
      </c>
      <c r="G2092" s="3" t="s">
        <v>128</v>
      </c>
      <c r="H2092" s="3" t="s">
        <v>60</v>
      </c>
      <c r="I2092" s="786">
        <v>272.47000000000003</v>
      </c>
      <c r="J2092" s="786">
        <v>450.7</v>
      </c>
      <c r="K2092" s="3" t="s">
        <v>1716</v>
      </c>
      <c r="L2092" s="958">
        <v>45370</v>
      </c>
      <c r="M2092" s="958" t="s">
        <v>1716</v>
      </c>
      <c r="N2092" s="958">
        <v>45371</v>
      </c>
      <c r="O2092" s="761" t="s">
        <v>62</v>
      </c>
      <c r="P2092" s="3" t="s">
        <v>1294</v>
      </c>
      <c r="Q2092" s="3" t="s">
        <v>1295</v>
      </c>
      <c r="R2092" s="967"/>
      <c r="S2092" s="3" t="s">
        <v>130</v>
      </c>
      <c r="T2092" s="967"/>
      <c r="U2092" s="786">
        <v>284.2</v>
      </c>
      <c r="V2092" s="4" t="s">
        <v>1716</v>
      </c>
      <c r="W2092" s="890">
        <v>45372</v>
      </c>
      <c r="X2092" s="957"/>
      <c r="Y2092" s="957"/>
      <c r="Z2092" s="761" t="s">
        <v>62</v>
      </c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</row>
    <row r="2093" spans="1:39" ht="13.95" customHeight="1">
      <c r="B2093" s="895" t="s">
        <v>213</v>
      </c>
      <c r="C2093" s="963" t="s">
        <v>1237</v>
      </c>
      <c r="D2093" s="860">
        <v>300020951</v>
      </c>
      <c r="E2093" s="3" t="s">
        <v>1296</v>
      </c>
      <c r="F2093" s="749">
        <v>20</v>
      </c>
      <c r="G2093" s="3" t="s">
        <v>128</v>
      </c>
      <c r="H2093" s="3" t="s">
        <v>60</v>
      </c>
      <c r="I2093" s="786">
        <v>268.7</v>
      </c>
      <c r="J2093" s="786">
        <v>461.4</v>
      </c>
      <c r="K2093" s="3" t="s">
        <v>1716</v>
      </c>
      <c r="L2093" s="958">
        <v>45372</v>
      </c>
      <c r="M2093" s="958" t="s">
        <v>1716</v>
      </c>
      <c r="N2093" s="958">
        <v>45371</v>
      </c>
      <c r="O2093" s="761" t="s">
        <v>62</v>
      </c>
      <c r="P2093" s="785" t="s">
        <v>1297</v>
      </c>
      <c r="Q2093" s="3" t="s">
        <v>1298</v>
      </c>
      <c r="R2093" s="967"/>
      <c r="S2093" s="3" t="s">
        <v>130</v>
      </c>
      <c r="T2093" s="967"/>
      <c r="U2093" s="786">
        <v>280.39999999999998</v>
      </c>
      <c r="V2093" s="4" t="s">
        <v>1716</v>
      </c>
      <c r="W2093" s="890">
        <v>45372</v>
      </c>
      <c r="X2093" s="957"/>
      <c r="Y2093" s="957"/>
      <c r="Z2093" s="761" t="s">
        <v>62</v>
      </c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</row>
    <row r="2094" spans="1:39" ht="13.95" customHeight="1">
      <c r="B2094" s="895" t="s">
        <v>213</v>
      </c>
      <c r="C2094" s="963" t="s">
        <v>1237</v>
      </c>
      <c r="D2094" s="860">
        <v>300020952</v>
      </c>
      <c r="E2094" s="3" t="s">
        <v>1299</v>
      </c>
      <c r="F2094" s="749">
        <v>21</v>
      </c>
      <c r="G2094" s="3" t="s">
        <v>128</v>
      </c>
      <c r="H2094" s="3" t="s">
        <v>60</v>
      </c>
      <c r="I2094" s="786">
        <v>272.17</v>
      </c>
      <c r="J2094" s="786">
        <v>454.5</v>
      </c>
      <c r="K2094" s="3" t="s">
        <v>1716</v>
      </c>
      <c r="L2094" s="958">
        <v>45372</v>
      </c>
      <c r="M2094" s="958" t="s">
        <v>1716</v>
      </c>
      <c r="N2094" s="958">
        <v>45372</v>
      </c>
      <c r="O2094" s="761" t="s">
        <v>62</v>
      </c>
      <c r="P2094" s="785" t="s">
        <v>1300</v>
      </c>
      <c r="Q2094" s="3" t="s">
        <v>1301</v>
      </c>
      <c r="R2094" s="967"/>
      <c r="S2094" s="3" t="s">
        <v>130</v>
      </c>
      <c r="T2094" s="967"/>
      <c r="U2094" s="786">
        <v>283.89999999999998</v>
      </c>
      <c r="V2094" s="4" t="s">
        <v>1716</v>
      </c>
      <c r="W2094" s="890">
        <v>45372</v>
      </c>
      <c r="X2094" s="957"/>
      <c r="Y2094" s="957"/>
      <c r="Z2094" s="761" t="s">
        <v>62</v>
      </c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</row>
    <row r="2095" spans="1:39" s="707" customFormat="1" ht="27" customHeight="1">
      <c r="A2095"/>
      <c r="B2095" s="797" t="s">
        <v>13</v>
      </c>
      <c r="C2095" s="968" t="s">
        <v>3320</v>
      </c>
      <c r="D2095" s="853"/>
      <c r="E2095" s="874"/>
      <c r="F2095" s="808"/>
      <c r="G2095" s="969" t="s">
        <v>3392</v>
      </c>
      <c r="H2095" s="970" t="s">
        <v>3954</v>
      </c>
      <c r="I2095" s="969" t="s">
        <v>3392</v>
      </c>
      <c r="J2095" s="970" t="s">
        <v>3954</v>
      </c>
      <c r="K2095" s="807"/>
      <c r="L2095" s="819"/>
      <c r="M2095" s="807"/>
      <c r="N2095" s="819"/>
      <c r="O2095" s="819"/>
      <c r="P2095" s="807"/>
      <c r="Q2095" s="807"/>
      <c r="R2095" s="807"/>
      <c r="S2095" s="807"/>
      <c r="T2095" s="807"/>
      <c r="U2095" s="820"/>
      <c r="V2095" s="710"/>
      <c r="W2095" s="819"/>
      <c r="X2095" s="819"/>
      <c r="Y2095" s="819"/>
      <c r="Z2095" s="819"/>
      <c r="AA2095" s="710"/>
      <c r="AB2095" s="710"/>
      <c r="AC2095" s="710"/>
      <c r="AD2095" s="710"/>
      <c r="AE2095" s="710"/>
      <c r="AF2095" s="710"/>
      <c r="AG2095" s="710"/>
      <c r="AH2095" s="710"/>
      <c r="AI2095" s="710"/>
      <c r="AJ2095" s="710"/>
      <c r="AK2095" s="710"/>
      <c r="AL2095" s="710"/>
      <c r="AM2095" s="710"/>
    </row>
    <row r="2096" spans="1:39" ht="13.95" customHeight="1">
      <c r="B2096" s="895" t="s">
        <v>433</v>
      </c>
      <c r="C2096" s="963" t="s">
        <v>1237</v>
      </c>
      <c r="D2096" s="860">
        <v>300021417</v>
      </c>
      <c r="E2096" s="3" t="s">
        <v>1303</v>
      </c>
      <c r="F2096" s="749">
        <v>1</v>
      </c>
      <c r="G2096" s="3" t="s">
        <v>128</v>
      </c>
      <c r="H2096" s="3" t="s">
        <v>60</v>
      </c>
      <c r="I2096" s="858">
        <v>267.83999999999997</v>
      </c>
      <c r="J2096" s="858">
        <v>453.4</v>
      </c>
      <c r="K2096" s="3" t="s">
        <v>2512</v>
      </c>
      <c r="L2096" s="761">
        <v>45484</v>
      </c>
      <c r="M2096" s="3" t="s">
        <v>2512</v>
      </c>
      <c r="N2096" s="761">
        <v>45485</v>
      </c>
      <c r="O2096" s="761" t="s">
        <v>62</v>
      </c>
      <c r="P2096" s="785" t="s">
        <v>1304</v>
      </c>
      <c r="Q2096" s="3" t="s">
        <v>1305</v>
      </c>
      <c r="R2096" s="967"/>
      <c r="S2096" s="3" t="s">
        <v>130</v>
      </c>
      <c r="T2096" s="967"/>
      <c r="U2096" s="858">
        <v>279.7</v>
      </c>
      <c r="V2096" s="4" t="s">
        <v>2512</v>
      </c>
      <c r="W2096" s="890">
        <v>45488</v>
      </c>
      <c r="X2096" s="957"/>
      <c r="Y2096" s="957"/>
      <c r="Z2096" s="761" t="s">
        <v>62</v>
      </c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</row>
    <row r="2097" spans="1:39" ht="13.95" customHeight="1">
      <c r="B2097" s="895" t="s">
        <v>433</v>
      </c>
      <c r="C2097" s="963" t="s">
        <v>1237</v>
      </c>
      <c r="D2097" s="860">
        <v>300021418</v>
      </c>
      <c r="E2097" s="3" t="s">
        <v>1306</v>
      </c>
      <c r="F2097" s="749">
        <v>2</v>
      </c>
      <c r="G2097" s="3" t="s">
        <v>128</v>
      </c>
      <c r="H2097" s="3" t="s">
        <v>60</v>
      </c>
      <c r="I2097" s="858">
        <v>273.64999999999998</v>
      </c>
      <c r="J2097" s="858">
        <v>457.6</v>
      </c>
      <c r="K2097" s="3" t="s">
        <v>2512</v>
      </c>
      <c r="L2097" s="761">
        <v>45484</v>
      </c>
      <c r="M2097" s="3" t="s">
        <v>2512</v>
      </c>
      <c r="N2097" s="761">
        <v>45485</v>
      </c>
      <c r="O2097" s="761" t="s">
        <v>62</v>
      </c>
      <c r="P2097" s="785" t="s">
        <v>1307</v>
      </c>
      <c r="Q2097" s="4" t="s">
        <v>1308</v>
      </c>
      <c r="R2097" s="967"/>
      <c r="S2097" s="3" t="s">
        <v>130</v>
      </c>
      <c r="T2097" s="967"/>
      <c r="U2097" s="858">
        <v>285.2</v>
      </c>
      <c r="V2097" s="4" t="s">
        <v>2512</v>
      </c>
      <c r="W2097" s="890">
        <v>45488</v>
      </c>
      <c r="X2097" s="957"/>
      <c r="Y2097" s="957"/>
      <c r="Z2097" s="761" t="s">
        <v>62</v>
      </c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</row>
    <row r="2098" spans="1:39" s="707" customFormat="1" ht="27" customHeight="1">
      <c r="A2098"/>
      <c r="B2098" s="797" t="s">
        <v>13</v>
      </c>
      <c r="C2098" s="968" t="s">
        <v>4301</v>
      </c>
      <c r="D2098" s="853"/>
      <c r="E2098" s="874"/>
      <c r="F2098" s="808"/>
      <c r="G2098" s="969" t="s">
        <v>3392</v>
      </c>
      <c r="H2098" s="970" t="s">
        <v>3954</v>
      </c>
      <c r="I2098" s="969" t="s">
        <v>3392</v>
      </c>
      <c r="J2098" s="970" t="s">
        <v>3954</v>
      </c>
      <c r="K2098" s="807"/>
      <c r="L2098" s="819"/>
      <c r="M2098" s="807"/>
      <c r="N2098" s="819"/>
      <c r="O2098" s="819"/>
      <c r="P2098" s="807"/>
      <c r="Q2098" s="807"/>
      <c r="R2098" s="807"/>
      <c r="S2098" s="807"/>
      <c r="T2098" s="807"/>
      <c r="U2098" s="820"/>
      <c r="V2098" s="710"/>
      <c r="W2098" s="974"/>
      <c r="X2098" s="819"/>
      <c r="Y2098" s="819"/>
      <c r="Z2098" s="819"/>
      <c r="AA2098" s="710"/>
      <c r="AB2098" s="710"/>
      <c r="AC2098" s="710"/>
      <c r="AD2098" s="710"/>
      <c r="AE2098" s="710"/>
      <c r="AF2098" s="710"/>
      <c r="AG2098" s="710"/>
      <c r="AH2098" s="710"/>
      <c r="AI2098" s="710"/>
      <c r="AJ2098" s="710"/>
      <c r="AK2098" s="710"/>
      <c r="AL2098" s="710"/>
      <c r="AM2098" s="710"/>
    </row>
    <row r="2099" spans="1:39" ht="13.95" customHeight="1">
      <c r="B2099" s="895" t="s">
        <v>100</v>
      </c>
      <c r="C2099" s="963" t="s">
        <v>1237</v>
      </c>
      <c r="D2099" s="860">
        <v>300021518</v>
      </c>
      <c r="E2099" s="3" t="s">
        <v>1309</v>
      </c>
      <c r="F2099" s="749">
        <v>1</v>
      </c>
      <c r="G2099" s="3" t="s">
        <v>128</v>
      </c>
      <c r="H2099" s="3" t="s">
        <v>60</v>
      </c>
      <c r="I2099" s="865">
        <v>266.69</v>
      </c>
      <c r="J2099" s="858">
        <v>450.1</v>
      </c>
      <c r="K2099" s="3" t="s">
        <v>2556</v>
      </c>
      <c r="L2099" s="890">
        <v>45506</v>
      </c>
      <c r="M2099" s="890" t="s">
        <v>2556</v>
      </c>
      <c r="N2099" s="890">
        <v>45505</v>
      </c>
      <c r="O2099" s="761" t="s">
        <v>62</v>
      </c>
      <c r="P2099" s="3" t="s">
        <v>1310</v>
      </c>
      <c r="Q2099" s="4" t="s">
        <v>1311</v>
      </c>
      <c r="R2099" s="967"/>
      <c r="S2099" s="3" t="s">
        <v>130</v>
      </c>
      <c r="T2099" s="967"/>
      <c r="U2099" s="865">
        <v>278.3</v>
      </c>
      <c r="V2099" s="4" t="s">
        <v>2556</v>
      </c>
      <c r="W2099" s="890">
        <v>45506</v>
      </c>
      <c r="X2099" s="957"/>
      <c r="Y2099" s="957"/>
      <c r="Z2099" s="761" t="s">
        <v>62</v>
      </c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</row>
    <row r="2100" spans="1:39" ht="13.95" customHeight="1">
      <c r="B2100" s="895" t="s">
        <v>100</v>
      </c>
      <c r="C2100" s="963" t="s">
        <v>1237</v>
      </c>
      <c r="D2100" s="860">
        <v>300021519</v>
      </c>
      <c r="E2100" s="3" t="s">
        <v>1313</v>
      </c>
      <c r="F2100" s="749">
        <v>2</v>
      </c>
      <c r="G2100" s="3" t="s">
        <v>128</v>
      </c>
      <c r="H2100" s="3" t="s">
        <v>60</v>
      </c>
      <c r="I2100" s="865">
        <f>134.53+138.37</f>
        <v>272.89999999999998</v>
      </c>
      <c r="J2100" s="858">
        <v>457.2</v>
      </c>
      <c r="K2100" s="3" t="s">
        <v>2556</v>
      </c>
      <c r="L2100" s="890">
        <v>45506</v>
      </c>
      <c r="M2100" s="890" t="s">
        <v>2556</v>
      </c>
      <c r="N2100" s="890">
        <v>45505</v>
      </c>
      <c r="O2100" s="761" t="s">
        <v>62</v>
      </c>
      <c r="P2100" s="3" t="s">
        <v>1314</v>
      </c>
      <c r="Q2100" s="4" t="s">
        <v>1315</v>
      </c>
      <c r="R2100" s="967"/>
      <c r="S2100" s="3" t="s">
        <v>130</v>
      </c>
      <c r="T2100" s="967"/>
      <c r="U2100" s="858">
        <v>284.7</v>
      </c>
      <c r="V2100" s="4" t="s">
        <v>2556</v>
      </c>
      <c r="W2100" s="890">
        <v>45509</v>
      </c>
      <c r="X2100" s="957"/>
      <c r="Y2100" s="957"/>
      <c r="Z2100" s="761" t="s">
        <v>62</v>
      </c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</row>
    <row r="2101" spans="1:39" ht="13.95" customHeight="1">
      <c r="B2101" s="895" t="s">
        <v>100</v>
      </c>
      <c r="C2101" s="963" t="s">
        <v>1237</v>
      </c>
      <c r="D2101" s="860">
        <v>300021560</v>
      </c>
      <c r="E2101" s="3" t="s">
        <v>1316</v>
      </c>
      <c r="F2101" s="749">
        <v>3</v>
      </c>
      <c r="G2101" s="3" t="s">
        <v>128</v>
      </c>
      <c r="H2101" s="3" t="s">
        <v>60</v>
      </c>
      <c r="I2101" s="858">
        <v>271.87</v>
      </c>
      <c r="J2101" s="858">
        <v>450.8</v>
      </c>
      <c r="K2101" s="3" t="s">
        <v>2556</v>
      </c>
      <c r="L2101" s="890">
        <v>45506</v>
      </c>
      <c r="M2101" s="890"/>
      <c r="N2101" s="890">
        <v>45506</v>
      </c>
      <c r="O2101" s="761" t="s">
        <v>62</v>
      </c>
      <c r="P2101" s="3" t="s">
        <v>1317</v>
      </c>
      <c r="Q2101" s="4" t="s">
        <v>1318</v>
      </c>
      <c r="R2101" s="967"/>
      <c r="S2101" s="3" t="s">
        <v>130</v>
      </c>
      <c r="T2101" s="967"/>
      <c r="U2101" s="858">
        <v>283.39999999999998</v>
      </c>
      <c r="V2101" s="4" t="s">
        <v>2556</v>
      </c>
      <c r="W2101" s="890">
        <v>45509</v>
      </c>
      <c r="X2101" s="957"/>
      <c r="Y2101" s="957"/>
      <c r="Z2101" s="761" t="s">
        <v>62</v>
      </c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</row>
    <row r="2102" spans="1:39" ht="13.95" customHeight="1">
      <c r="B2102" s="895" t="s">
        <v>100</v>
      </c>
      <c r="C2102" s="963" t="s">
        <v>1237</v>
      </c>
      <c r="D2102" s="860">
        <v>300021561</v>
      </c>
      <c r="E2102" s="3" t="s">
        <v>1319</v>
      </c>
      <c r="F2102" s="749">
        <v>4</v>
      </c>
      <c r="G2102" s="3" t="s">
        <v>128</v>
      </c>
      <c r="H2102" s="3" t="s">
        <v>60</v>
      </c>
      <c r="I2102" s="858">
        <v>273.49</v>
      </c>
      <c r="J2102" s="858">
        <f>148.2+149.4+155.3</f>
        <v>452.90000000000003</v>
      </c>
      <c r="K2102" s="3" t="s">
        <v>2556</v>
      </c>
      <c r="L2102" s="890">
        <v>45506</v>
      </c>
      <c r="M2102" s="890"/>
      <c r="N2102" s="890">
        <v>45506</v>
      </c>
      <c r="O2102" s="761" t="s">
        <v>62</v>
      </c>
      <c r="P2102" s="3" t="s">
        <v>1320</v>
      </c>
      <c r="Q2102" s="4" t="s">
        <v>1321</v>
      </c>
      <c r="R2102" s="967"/>
      <c r="S2102" s="3" t="s">
        <v>130</v>
      </c>
      <c r="T2102" s="967"/>
      <c r="U2102" s="865">
        <v>285</v>
      </c>
      <c r="V2102" s="4" t="s">
        <v>2556</v>
      </c>
      <c r="W2102" s="890">
        <v>45509</v>
      </c>
      <c r="X2102" s="957"/>
      <c r="Y2102" s="957"/>
      <c r="Z2102" s="761" t="s">
        <v>62</v>
      </c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</row>
    <row r="2103" spans="1:39" s="707" customFormat="1" ht="31.05" customHeight="1">
      <c r="A2103"/>
      <c r="B2103" s="797"/>
      <c r="C2103" s="960" t="s">
        <v>5504</v>
      </c>
      <c r="D2103" s="853"/>
      <c r="E2103" s="874"/>
      <c r="F2103" s="808"/>
      <c r="G2103" s="971" t="s">
        <v>5505</v>
      </c>
      <c r="H2103" s="970" t="s">
        <v>3954</v>
      </c>
      <c r="I2103" s="971" t="s">
        <v>5505</v>
      </c>
      <c r="J2103" s="970" t="s">
        <v>3954</v>
      </c>
      <c r="K2103" s="807"/>
      <c r="L2103" s="819"/>
      <c r="M2103" s="819"/>
      <c r="N2103" s="819"/>
      <c r="O2103" s="819"/>
      <c r="P2103" s="807"/>
      <c r="Q2103" s="807"/>
      <c r="R2103" s="807"/>
      <c r="S2103" s="807"/>
      <c r="T2103" s="807"/>
      <c r="U2103" s="807"/>
      <c r="V2103" s="710"/>
      <c r="W2103" s="819"/>
      <c r="X2103" s="819"/>
      <c r="Y2103" s="819"/>
      <c r="Z2103" s="819"/>
      <c r="AA2103" s="710"/>
      <c r="AB2103" s="710"/>
      <c r="AC2103" s="710"/>
      <c r="AD2103" s="710"/>
      <c r="AE2103" s="710"/>
      <c r="AF2103" s="710"/>
      <c r="AG2103" s="710"/>
      <c r="AH2103" s="710"/>
      <c r="AI2103" s="710"/>
      <c r="AJ2103" s="710"/>
      <c r="AK2103" s="710"/>
      <c r="AL2103" s="710"/>
      <c r="AM2103" s="710"/>
    </row>
    <row r="2104" spans="1:39">
      <c r="B2104" s="1490" t="s">
        <v>213</v>
      </c>
      <c r="C2104" s="972" t="s">
        <v>5506</v>
      </c>
      <c r="D2104" s="972" t="s">
        <v>5507</v>
      </c>
      <c r="E2104" s="972" t="s">
        <v>5508</v>
      </c>
      <c r="F2104" s="749">
        <v>1</v>
      </c>
      <c r="G2104" s="3" t="s">
        <v>932</v>
      </c>
      <c r="H2104" s="3" t="s">
        <v>1041</v>
      </c>
      <c r="I2104" s="3">
        <v>499.9</v>
      </c>
      <c r="J2104" s="3">
        <v>282.76</v>
      </c>
      <c r="K2104" s="3" t="s">
        <v>2185</v>
      </c>
      <c r="L2104" s="761">
        <v>44622</v>
      </c>
      <c r="M2104" s="761" t="s">
        <v>2185</v>
      </c>
      <c r="N2104" s="761">
        <v>44622</v>
      </c>
      <c r="O2104" s="761" t="s">
        <v>62</v>
      </c>
      <c r="P2104" s="762"/>
      <c r="Q2104" s="3"/>
      <c r="R2104" s="967"/>
      <c r="S2104" s="3" t="s">
        <v>1547</v>
      </c>
      <c r="T2104" s="967"/>
      <c r="U2104" s="3">
        <v>306.8</v>
      </c>
      <c r="V2104" s="4" t="s">
        <v>2185</v>
      </c>
      <c r="W2104" s="761">
        <v>44624</v>
      </c>
      <c r="X2104" s="761" t="s">
        <v>2094</v>
      </c>
      <c r="Y2104" s="761"/>
      <c r="Z2104" s="761" t="s">
        <v>62</v>
      </c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</row>
    <row r="2105" spans="1:39">
      <c r="B2105" s="895">
        <v>7</v>
      </c>
      <c r="C2105" s="973" t="s">
        <v>5506</v>
      </c>
      <c r="D2105" s="860">
        <v>300018842</v>
      </c>
      <c r="E2105" s="11" t="s">
        <v>5509</v>
      </c>
      <c r="F2105" s="749">
        <v>1</v>
      </c>
      <c r="G2105" s="3" t="s">
        <v>60</v>
      </c>
      <c r="H2105" s="3" t="s">
        <v>128</v>
      </c>
      <c r="I2105" s="3">
        <v>494.7</v>
      </c>
      <c r="J2105" s="878">
        <v>300.57</v>
      </c>
      <c r="K2105" s="3" t="s">
        <v>2411</v>
      </c>
      <c r="L2105" s="761">
        <v>44741</v>
      </c>
      <c r="M2105" s="761" t="s">
        <v>2411</v>
      </c>
      <c r="N2105" s="761">
        <v>44741</v>
      </c>
      <c r="O2105" s="761" t="s">
        <v>62</v>
      </c>
      <c r="P2105" s="762" t="s">
        <v>5510</v>
      </c>
      <c r="Q2105" s="3" t="s">
        <v>5511</v>
      </c>
      <c r="R2105" s="967"/>
      <c r="S2105" s="3" t="s">
        <v>130</v>
      </c>
      <c r="T2105" s="967"/>
      <c r="U2105" s="3">
        <v>326.7</v>
      </c>
      <c r="V2105" s="4" t="s">
        <v>2411</v>
      </c>
      <c r="W2105" s="761">
        <v>44741</v>
      </c>
      <c r="X2105" s="761"/>
      <c r="Y2105" s="761"/>
      <c r="Z2105" s="761" t="s">
        <v>62</v>
      </c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</row>
    <row r="2106" spans="1:39">
      <c r="B2106" s="895">
        <v>7</v>
      </c>
      <c r="C2106" s="973" t="s">
        <v>5506</v>
      </c>
      <c r="D2106" s="860">
        <v>300018843</v>
      </c>
      <c r="E2106" s="11" t="s">
        <v>5512</v>
      </c>
      <c r="F2106" s="749">
        <v>2</v>
      </c>
      <c r="G2106" s="3" t="s">
        <v>60</v>
      </c>
      <c r="H2106" s="3" t="s">
        <v>128</v>
      </c>
      <c r="I2106" s="3">
        <v>502.3</v>
      </c>
      <c r="J2106" s="878">
        <v>303.95</v>
      </c>
      <c r="K2106" s="3" t="s">
        <v>2411</v>
      </c>
      <c r="L2106" s="761">
        <v>44741</v>
      </c>
      <c r="M2106" s="761" t="s">
        <v>2411</v>
      </c>
      <c r="N2106" s="761">
        <v>44741</v>
      </c>
      <c r="O2106" s="761" t="s">
        <v>62</v>
      </c>
      <c r="P2106" s="762" t="s">
        <v>5513</v>
      </c>
      <c r="Q2106" s="3" t="s">
        <v>5514</v>
      </c>
      <c r="R2106" s="967"/>
      <c r="S2106" s="3" t="s">
        <v>130</v>
      </c>
      <c r="T2106" s="967"/>
      <c r="U2106" s="3">
        <v>327.9</v>
      </c>
      <c r="V2106" s="4" t="s">
        <v>2411</v>
      </c>
      <c r="W2106" s="761">
        <v>44741</v>
      </c>
      <c r="X2106" s="761"/>
      <c r="Y2106" s="761"/>
      <c r="Z2106" s="761" t="s">
        <v>62</v>
      </c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</row>
    <row r="2107" spans="1:39">
      <c r="B2107" s="895">
        <v>7</v>
      </c>
      <c r="C2107" s="973" t="s">
        <v>5506</v>
      </c>
      <c r="D2107" s="860">
        <v>300018844</v>
      </c>
      <c r="E2107" s="11" t="s">
        <v>5515</v>
      </c>
      <c r="F2107" s="749">
        <v>3</v>
      </c>
      <c r="G2107" s="3" t="s">
        <v>60</v>
      </c>
      <c r="H2107" s="3" t="s">
        <v>128</v>
      </c>
      <c r="I2107" s="3">
        <v>507.9</v>
      </c>
      <c r="J2107" s="878">
        <v>304.91000000000003</v>
      </c>
      <c r="K2107" s="3" t="s">
        <v>2411</v>
      </c>
      <c r="L2107" s="761">
        <v>44741</v>
      </c>
      <c r="M2107" s="761" t="s">
        <v>2411</v>
      </c>
      <c r="N2107" s="761">
        <v>44741</v>
      </c>
      <c r="O2107" s="761" t="s">
        <v>62</v>
      </c>
      <c r="P2107" s="762" t="s">
        <v>5516</v>
      </c>
      <c r="Q2107" s="3" t="s">
        <v>5517</v>
      </c>
      <c r="R2107" s="967"/>
      <c r="S2107" s="3" t="s">
        <v>130</v>
      </c>
      <c r="T2107" s="967"/>
      <c r="U2107" s="3">
        <v>331.5</v>
      </c>
      <c r="V2107" s="4" t="s">
        <v>2411</v>
      </c>
      <c r="W2107" s="761">
        <v>44741</v>
      </c>
      <c r="X2107" s="761"/>
      <c r="Y2107" s="761"/>
      <c r="Z2107" s="761" t="s">
        <v>62</v>
      </c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</row>
    <row r="2108" spans="1:39">
      <c r="B2108" s="895">
        <v>7</v>
      </c>
      <c r="C2108" s="973" t="s">
        <v>5506</v>
      </c>
      <c r="D2108" s="860">
        <v>300018845</v>
      </c>
      <c r="E2108" s="11" t="s">
        <v>5518</v>
      </c>
      <c r="F2108" s="749">
        <v>4</v>
      </c>
      <c r="G2108" s="3" t="s">
        <v>932</v>
      </c>
      <c r="H2108" s="3" t="s">
        <v>128</v>
      </c>
      <c r="I2108" s="3">
        <v>499.78</v>
      </c>
      <c r="J2108" s="878">
        <v>300.58999999999997</v>
      </c>
      <c r="K2108" s="3" t="s">
        <v>2411</v>
      </c>
      <c r="L2108" s="761">
        <v>44742</v>
      </c>
      <c r="M2108" s="761" t="s">
        <v>2411</v>
      </c>
      <c r="N2108" s="761">
        <v>44741</v>
      </c>
      <c r="O2108" s="761" t="s">
        <v>62</v>
      </c>
      <c r="P2108" s="762" t="s">
        <v>5519</v>
      </c>
      <c r="Q2108" s="3" t="s">
        <v>5520</v>
      </c>
      <c r="R2108" s="967"/>
      <c r="S2108" s="3" t="s">
        <v>130</v>
      </c>
      <c r="T2108" s="967"/>
      <c r="U2108" s="3">
        <v>326.89999999999998</v>
      </c>
      <c r="V2108" s="4" t="s">
        <v>2411</v>
      </c>
      <c r="W2108" s="761">
        <v>44741</v>
      </c>
      <c r="X2108" s="761"/>
      <c r="Y2108" s="761"/>
      <c r="Z2108" s="761" t="s">
        <v>62</v>
      </c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</row>
    <row r="2109" spans="1:39">
      <c r="B2109" s="895">
        <v>7</v>
      </c>
      <c r="C2109" s="973" t="s">
        <v>5506</v>
      </c>
      <c r="D2109" s="860">
        <v>300018846</v>
      </c>
      <c r="E2109" s="11" t="s">
        <v>5521</v>
      </c>
      <c r="F2109" s="749">
        <v>5</v>
      </c>
      <c r="G2109" s="3" t="s">
        <v>932</v>
      </c>
      <c r="H2109" s="3" t="s">
        <v>128</v>
      </c>
      <c r="I2109" s="3">
        <v>505.5</v>
      </c>
      <c r="J2109" s="878">
        <v>304.57</v>
      </c>
      <c r="K2109" s="3" t="s">
        <v>2411</v>
      </c>
      <c r="L2109" s="761">
        <v>44742</v>
      </c>
      <c r="M2109" s="761" t="s">
        <v>2411</v>
      </c>
      <c r="N2109" s="761">
        <v>44741</v>
      </c>
      <c r="O2109" s="761" t="s">
        <v>62</v>
      </c>
      <c r="P2109" s="762" t="s">
        <v>5522</v>
      </c>
      <c r="Q2109" s="3" t="s">
        <v>5523</v>
      </c>
      <c r="R2109" s="967"/>
      <c r="S2109" s="3" t="s">
        <v>1547</v>
      </c>
      <c r="T2109" s="967"/>
      <c r="U2109" s="3">
        <v>331.1</v>
      </c>
      <c r="V2109" s="4" t="s">
        <v>2411</v>
      </c>
      <c r="W2109" s="761">
        <v>44742</v>
      </c>
      <c r="X2109" s="761"/>
      <c r="Y2109" s="761"/>
      <c r="Z2109" s="761" t="s">
        <v>62</v>
      </c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</row>
    <row r="2110" spans="1:39">
      <c r="B2110" s="895">
        <v>10</v>
      </c>
      <c r="C2110" s="973" t="s">
        <v>5506</v>
      </c>
      <c r="D2110" s="860">
        <v>300019295</v>
      </c>
      <c r="E2110" s="11" t="s">
        <v>5524</v>
      </c>
      <c r="F2110" s="749">
        <v>1</v>
      </c>
      <c r="G2110" s="3" t="s">
        <v>60</v>
      </c>
      <c r="H2110" s="3" t="s">
        <v>128</v>
      </c>
      <c r="I2110" s="785">
        <v>498.1</v>
      </c>
      <c r="J2110" s="785">
        <v>298.64999999999998</v>
      </c>
      <c r="K2110" s="3" t="s">
        <v>2716</v>
      </c>
      <c r="L2110" s="761">
        <v>44841</v>
      </c>
      <c r="M2110" s="761" t="s">
        <v>2716</v>
      </c>
      <c r="N2110" s="761">
        <v>44841</v>
      </c>
      <c r="O2110" s="761" t="s">
        <v>62</v>
      </c>
      <c r="P2110" s="3" t="s">
        <v>5525</v>
      </c>
      <c r="Q2110" s="3" t="s">
        <v>5526</v>
      </c>
      <c r="R2110" s="967"/>
      <c r="S2110" s="3" t="s">
        <v>130</v>
      </c>
      <c r="T2110" s="967"/>
      <c r="U2110" s="785">
        <v>325.2</v>
      </c>
      <c r="V2110" s="4" t="s">
        <v>2716</v>
      </c>
      <c r="W2110" s="761">
        <v>44841</v>
      </c>
      <c r="X2110" s="761"/>
      <c r="Y2110" s="761"/>
      <c r="Z2110" s="761" t="s">
        <v>62</v>
      </c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</row>
    <row r="2111" spans="1:39">
      <c r="B2111" s="895">
        <v>10</v>
      </c>
      <c r="C2111" s="973" t="s">
        <v>5506</v>
      </c>
      <c r="D2111" s="860">
        <v>300019296</v>
      </c>
      <c r="E2111" s="11" t="s">
        <v>5527</v>
      </c>
      <c r="F2111" s="749">
        <v>2</v>
      </c>
      <c r="G2111" s="3" t="s">
        <v>60</v>
      </c>
      <c r="H2111" s="3" t="s">
        <v>128</v>
      </c>
      <c r="I2111" s="785">
        <v>502.2</v>
      </c>
      <c r="J2111" s="785">
        <v>303.81</v>
      </c>
      <c r="K2111" s="3" t="s">
        <v>2716</v>
      </c>
      <c r="L2111" s="761">
        <v>44844</v>
      </c>
      <c r="M2111" s="761" t="s">
        <v>2716</v>
      </c>
      <c r="N2111" s="761">
        <v>44841</v>
      </c>
      <c r="O2111" s="761" t="s">
        <v>62</v>
      </c>
      <c r="P2111" s="3" t="s">
        <v>5528</v>
      </c>
      <c r="Q2111" s="3" t="s">
        <v>5529</v>
      </c>
      <c r="R2111" s="967"/>
      <c r="S2111" s="3" t="s">
        <v>130</v>
      </c>
      <c r="T2111" s="967"/>
      <c r="U2111" s="785">
        <v>330.2</v>
      </c>
      <c r="V2111" s="4" t="s">
        <v>2716</v>
      </c>
      <c r="W2111" s="761">
        <v>44841</v>
      </c>
      <c r="X2111" s="761"/>
      <c r="Y2111" s="761"/>
      <c r="Z2111" s="761" t="s">
        <v>62</v>
      </c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</row>
    <row r="2112" spans="1:39" s="707" customFormat="1" ht="28.95" customHeight="1">
      <c r="A2112"/>
      <c r="B2112" s="797"/>
      <c r="C2112" s="970">
        <v>2023</v>
      </c>
      <c r="D2112" s="853"/>
      <c r="E2112" s="874"/>
      <c r="F2112" s="808"/>
      <c r="G2112" s="970" t="s">
        <v>5505</v>
      </c>
      <c r="H2112" s="970" t="s">
        <v>3954</v>
      </c>
      <c r="I2112" s="970" t="s">
        <v>5505</v>
      </c>
      <c r="J2112" s="970" t="s">
        <v>3954</v>
      </c>
      <c r="K2112" s="807"/>
      <c r="L2112" s="819"/>
      <c r="M2112" s="819"/>
      <c r="N2112" s="819"/>
      <c r="O2112" s="819"/>
      <c r="P2112" s="807"/>
      <c r="Q2112" s="807"/>
      <c r="R2112" s="807"/>
      <c r="S2112" s="807"/>
      <c r="T2112" s="807"/>
      <c r="U2112" s="807"/>
      <c r="V2112" s="710"/>
      <c r="W2112" s="819"/>
      <c r="X2112" s="819"/>
      <c r="Y2112" s="819"/>
      <c r="Z2112" s="819"/>
      <c r="AA2112" s="710"/>
      <c r="AB2112" s="710"/>
      <c r="AC2112" s="710"/>
      <c r="AD2112" s="710"/>
      <c r="AE2112" s="710"/>
      <c r="AF2112" s="710"/>
      <c r="AG2112" s="710"/>
      <c r="AH2112" s="710"/>
      <c r="AI2112" s="710"/>
      <c r="AJ2112" s="710"/>
      <c r="AK2112" s="710"/>
      <c r="AL2112" s="710"/>
      <c r="AM2112" s="710"/>
    </row>
    <row r="2113" spans="1:39">
      <c r="B2113" s="895">
        <v>2</v>
      </c>
      <c r="C2113" s="973" t="s">
        <v>5506</v>
      </c>
      <c r="D2113" s="860">
        <v>300019501</v>
      </c>
      <c r="E2113" s="11" t="s">
        <v>5530</v>
      </c>
      <c r="F2113" s="749">
        <v>1</v>
      </c>
      <c r="G2113" s="3" t="s">
        <v>60</v>
      </c>
      <c r="H2113" s="3" t="s">
        <v>60</v>
      </c>
      <c r="I2113" s="786">
        <v>499.76</v>
      </c>
      <c r="J2113" s="786">
        <f>148.07+151.42</f>
        <v>299.49</v>
      </c>
      <c r="K2113" s="3" t="s">
        <v>2125</v>
      </c>
      <c r="L2113" s="761">
        <v>44971</v>
      </c>
      <c r="M2113" s="761" t="s">
        <v>2125</v>
      </c>
      <c r="N2113" s="761">
        <v>44971</v>
      </c>
      <c r="O2113" s="761" t="s">
        <v>62</v>
      </c>
      <c r="P2113" s="3" t="s">
        <v>5531</v>
      </c>
      <c r="Q2113" s="3" t="s">
        <v>5532</v>
      </c>
      <c r="R2113" s="967"/>
      <c r="S2113" s="3" t="s">
        <v>130</v>
      </c>
      <c r="T2113" s="967"/>
      <c r="U2113" s="786">
        <f>326.5</f>
        <v>326.5</v>
      </c>
      <c r="V2113" s="4" t="s">
        <v>2125</v>
      </c>
      <c r="W2113" s="761">
        <v>44972</v>
      </c>
      <c r="X2113" s="761"/>
      <c r="Y2113" s="761"/>
      <c r="Z2113" s="761" t="s">
        <v>62</v>
      </c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</row>
    <row r="2114" spans="1:39">
      <c r="B2114" s="895">
        <v>2</v>
      </c>
      <c r="C2114" s="973" t="s">
        <v>5506</v>
      </c>
      <c r="D2114" s="860">
        <v>300019502</v>
      </c>
      <c r="E2114" s="11" t="s">
        <v>5533</v>
      </c>
      <c r="F2114" s="749">
        <v>2</v>
      </c>
      <c r="G2114" s="3" t="s">
        <v>60</v>
      </c>
      <c r="H2114" s="3" t="s">
        <v>128</v>
      </c>
      <c r="I2114" s="786">
        <v>495.5</v>
      </c>
      <c r="J2114" s="786">
        <v>297.43</v>
      </c>
      <c r="K2114" s="3" t="s">
        <v>2125</v>
      </c>
      <c r="L2114" s="761">
        <v>44972</v>
      </c>
      <c r="M2114" s="761" t="s">
        <v>2125</v>
      </c>
      <c r="N2114" s="761">
        <v>44971</v>
      </c>
      <c r="O2114" s="761" t="s">
        <v>62</v>
      </c>
      <c r="P2114" s="3" t="s">
        <v>5534</v>
      </c>
      <c r="Q2114" s="3" t="s">
        <v>5535</v>
      </c>
      <c r="R2114" s="967"/>
      <c r="S2114" s="3" t="s">
        <v>130</v>
      </c>
      <c r="T2114" s="967"/>
      <c r="U2114" s="786">
        <v>323.39999999999998</v>
      </c>
      <c r="V2114" s="4" t="s">
        <v>2125</v>
      </c>
      <c r="W2114" s="761">
        <v>44972</v>
      </c>
      <c r="X2114" s="761"/>
      <c r="Y2114" s="761"/>
      <c r="Z2114" s="761" t="s">
        <v>62</v>
      </c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</row>
    <row r="2115" spans="1:39">
      <c r="B2115" s="895">
        <v>2</v>
      </c>
      <c r="C2115" s="973" t="s">
        <v>5506</v>
      </c>
      <c r="D2115" s="860">
        <v>300019503</v>
      </c>
      <c r="E2115" s="11" t="s">
        <v>5536</v>
      </c>
      <c r="F2115" s="749">
        <v>3</v>
      </c>
      <c r="G2115" s="3" t="s">
        <v>60</v>
      </c>
      <c r="H2115" s="3" t="s">
        <v>128</v>
      </c>
      <c r="I2115" s="786">
        <v>500.1</v>
      </c>
      <c r="J2115" s="786">
        <v>299.11</v>
      </c>
      <c r="K2115" s="3" t="s">
        <v>2125</v>
      </c>
      <c r="L2115" s="761">
        <v>44973</v>
      </c>
      <c r="M2115" s="761" t="s">
        <v>2125</v>
      </c>
      <c r="N2115" s="761">
        <v>44972</v>
      </c>
      <c r="O2115" s="761" t="s">
        <v>62</v>
      </c>
      <c r="P2115" s="3" t="s">
        <v>5537</v>
      </c>
      <c r="Q2115" s="3" t="s">
        <v>5538</v>
      </c>
      <c r="R2115" s="967"/>
      <c r="S2115" s="3" t="s">
        <v>130</v>
      </c>
      <c r="T2115" s="967"/>
      <c r="U2115" s="786">
        <v>325.39999999999998</v>
      </c>
      <c r="V2115" s="4" t="s">
        <v>2125</v>
      </c>
      <c r="W2115" s="761">
        <v>44972</v>
      </c>
      <c r="X2115" s="761"/>
      <c r="Y2115" s="761"/>
      <c r="Z2115" s="761" t="s">
        <v>62</v>
      </c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</row>
    <row r="2116" spans="1:39">
      <c r="B2116" s="895">
        <v>2</v>
      </c>
      <c r="C2116" s="973" t="s">
        <v>5506</v>
      </c>
      <c r="D2116" s="860">
        <v>300019504</v>
      </c>
      <c r="E2116" s="11" t="s">
        <v>5539</v>
      </c>
      <c r="F2116" s="749">
        <v>4</v>
      </c>
      <c r="G2116" s="3" t="s">
        <v>60</v>
      </c>
      <c r="H2116" s="3" t="s">
        <v>128</v>
      </c>
      <c r="I2116" s="786">
        <v>507.4</v>
      </c>
      <c r="J2116" s="786">
        <v>303.24</v>
      </c>
      <c r="K2116" s="3" t="s">
        <v>2125</v>
      </c>
      <c r="L2116" s="761">
        <v>44973</v>
      </c>
      <c r="M2116" s="761" t="s">
        <v>2125</v>
      </c>
      <c r="N2116" s="761">
        <v>44972</v>
      </c>
      <c r="O2116" s="761" t="s">
        <v>62</v>
      </c>
      <c r="P2116" s="3" t="s">
        <v>5540</v>
      </c>
      <c r="Q2116" s="3" t="s">
        <v>5541</v>
      </c>
      <c r="R2116" s="967"/>
      <c r="S2116" s="3" t="s">
        <v>130</v>
      </c>
      <c r="T2116" s="967"/>
      <c r="U2116" s="786">
        <v>329.6</v>
      </c>
      <c r="V2116" s="4" t="s">
        <v>2125</v>
      </c>
      <c r="W2116" s="761">
        <v>44972</v>
      </c>
      <c r="X2116" s="761"/>
      <c r="Y2116" s="761"/>
      <c r="Z2116" s="761" t="s">
        <v>62</v>
      </c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</row>
    <row r="2117" spans="1:39">
      <c r="B2117" s="895">
        <v>2</v>
      </c>
      <c r="C2117" s="973" t="s">
        <v>5506</v>
      </c>
      <c r="D2117" s="860">
        <v>300019461</v>
      </c>
      <c r="E2117" s="11" t="s">
        <v>5542</v>
      </c>
      <c r="F2117" s="749">
        <v>5</v>
      </c>
      <c r="G2117" s="3" t="s">
        <v>60</v>
      </c>
      <c r="H2117" s="3" t="s">
        <v>128</v>
      </c>
      <c r="I2117" s="786">
        <v>501.5</v>
      </c>
      <c r="J2117" s="786">
        <v>303.8</v>
      </c>
      <c r="K2117" s="3" t="s">
        <v>2125</v>
      </c>
      <c r="L2117" s="761">
        <v>44973</v>
      </c>
      <c r="M2117" s="761" t="s">
        <v>2125</v>
      </c>
      <c r="N2117" s="761">
        <v>44972</v>
      </c>
      <c r="O2117" s="761" t="s">
        <v>62</v>
      </c>
      <c r="P2117" s="3" t="s">
        <v>5543</v>
      </c>
      <c r="Q2117" s="3" t="s">
        <v>5544</v>
      </c>
      <c r="R2117" s="967"/>
      <c r="S2117" s="3" t="s">
        <v>130</v>
      </c>
      <c r="T2117" s="967"/>
      <c r="U2117" s="786">
        <v>330.37</v>
      </c>
      <c r="V2117" s="4" t="s">
        <v>2125</v>
      </c>
      <c r="W2117" s="761">
        <v>44973</v>
      </c>
      <c r="X2117" s="761"/>
      <c r="Y2117" s="761"/>
      <c r="Z2117" s="761" t="s">
        <v>62</v>
      </c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</row>
    <row r="2118" spans="1:39" s="707" customFormat="1" ht="28.05" customHeight="1">
      <c r="A2118"/>
      <c r="B2118" s="797"/>
      <c r="C2118" s="960" t="s">
        <v>5545</v>
      </c>
      <c r="D2118" s="853"/>
      <c r="E2118" s="874"/>
      <c r="F2118" s="808"/>
      <c r="G2118" s="807"/>
      <c r="H2118" s="807"/>
      <c r="I2118" s="807"/>
      <c r="J2118" s="881"/>
      <c r="K2118" s="807"/>
      <c r="L2118" s="819"/>
      <c r="M2118" s="819"/>
      <c r="N2118" s="819"/>
      <c r="O2118" s="819"/>
      <c r="P2118" s="820"/>
      <c r="Q2118" s="807"/>
      <c r="R2118" s="807"/>
      <c r="S2118" s="807"/>
      <c r="T2118" s="807"/>
      <c r="U2118" s="807"/>
      <c r="V2118" s="710"/>
      <c r="W2118" s="819"/>
      <c r="X2118" s="819"/>
      <c r="Y2118" s="819"/>
      <c r="Z2118" s="819"/>
      <c r="AA2118" s="710"/>
      <c r="AB2118" s="710"/>
      <c r="AC2118" s="710"/>
      <c r="AD2118" s="710"/>
      <c r="AE2118" s="710"/>
      <c r="AF2118" s="710"/>
      <c r="AG2118" s="710"/>
      <c r="AH2118" s="710"/>
      <c r="AI2118" s="710"/>
      <c r="AJ2118" s="710"/>
      <c r="AK2118" s="710"/>
      <c r="AL2118" s="710"/>
      <c r="AM2118" s="710"/>
    </row>
    <row r="2119" spans="1:39">
      <c r="B2119" s="1499" t="s">
        <v>163</v>
      </c>
      <c r="C2119" s="3" t="s">
        <v>5546</v>
      </c>
      <c r="D2119" s="12" t="s">
        <v>5547</v>
      </c>
      <c r="E2119" s="11" t="s">
        <v>5548</v>
      </c>
      <c r="F2119" s="3">
        <v>1</v>
      </c>
      <c r="G2119" s="3" t="s">
        <v>932</v>
      </c>
      <c r="H2119" s="3" t="s">
        <v>1041</v>
      </c>
      <c r="I2119" s="3">
        <v>128.69999999999999</v>
      </c>
      <c r="J2119" s="3">
        <v>77.42</v>
      </c>
      <c r="K2119" s="3" t="s">
        <v>2094</v>
      </c>
      <c r="L2119" s="761">
        <v>44581</v>
      </c>
      <c r="M2119" s="761" t="str">
        <f t="shared" ref="M2119:M2136" si="32">TEXT(N2119,"mmmm")</f>
        <v>January</v>
      </c>
      <c r="N2119" s="761">
        <v>44581</v>
      </c>
      <c r="O2119" s="3" t="s">
        <v>62</v>
      </c>
      <c r="P2119" s="762">
        <v>4.01</v>
      </c>
      <c r="Q2119" s="3">
        <v>4.87</v>
      </c>
      <c r="R2119" s="3" t="s">
        <v>1757</v>
      </c>
      <c r="S2119" s="3" t="s">
        <v>5549</v>
      </c>
      <c r="T2119" s="3">
        <v>136</v>
      </c>
      <c r="U2119" s="3">
        <v>81.5</v>
      </c>
      <c r="V2119" s="4" t="s">
        <v>2094</v>
      </c>
      <c r="W2119" s="761">
        <v>44583</v>
      </c>
      <c r="X2119" s="761" t="s">
        <v>2094</v>
      </c>
      <c r="Y2119" s="761">
        <v>44581</v>
      </c>
      <c r="Z2119" s="3" t="s">
        <v>62</v>
      </c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</row>
    <row r="2120" spans="1:39">
      <c r="B2120" s="1499" t="s">
        <v>163</v>
      </c>
      <c r="C2120" s="3" t="s">
        <v>5546</v>
      </c>
      <c r="D2120" s="12" t="s">
        <v>5550</v>
      </c>
      <c r="E2120" s="11" t="s">
        <v>5551</v>
      </c>
      <c r="F2120" s="3">
        <v>2</v>
      </c>
      <c r="G2120" s="3" t="s">
        <v>932</v>
      </c>
      <c r="H2120" s="3" t="s">
        <v>1041</v>
      </c>
      <c r="I2120" s="3">
        <v>130.54</v>
      </c>
      <c r="J2120" s="3">
        <v>77.819999999999993</v>
      </c>
      <c r="K2120" s="3" t="s">
        <v>2094</v>
      </c>
      <c r="L2120" s="761">
        <v>44581</v>
      </c>
      <c r="M2120" s="761" t="str">
        <f t="shared" si="32"/>
        <v>January</v>
      </c>
      <c r="N2120" s="761">
        <v>44581</v>
      </c>
      <c r="O2120" s="3" t="s">
        <v>62</v>
      </c>
      <c r="P2120" s="762">
        <v>4.62</v>
      </c>
      <c r="Q2120" s="3">
        <v>5.1100000000000003</v>
      </c>
      <c r="R2120" s="3" t="s">
        <v>1757</v>
      </c>
      <c r="S2120" s="3" t="s">
        <v>5549</v>
      </c>
      <c r="T2120" s="3">
        <v>137</v>
      </c>
      <c r="U2120" s="3">
        <v>81.900000000000006</v>
      </c>
      <c r="V2120" s="4" t="s">
        <v>2094</v>
      </c>
      <c r="W2120" s="761">
        <v>44583</v>
      </c>
      <c r="X2120" s="761" t="s">
        <v>2094</v>
      </c>
      <c r="Y2120" s="761">
        <v>44581</v>
      </c>
      <c r="Z2120" s="3" t="s">
        <v>62</v>
      </c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</row>
    <row r="2121" spans="1:39">
      <c r="B2121" s="1499" t="s">
        <v>163</v>
      </c>
      <c r="C2121" s="3" t="s">
        <v>5546</v>
      </c>
      <c r="D2121" s="12" t="s">
        <v>5552</v>
      </c>
      <c r="E2121" s="11" t="s">
        <v>5553</v>
      </c>
      <c r="F2121" s="3">
        <v>2</v>
      </c>
      <c r="G2121" s="3" t="s">
        <v>932</v>
      </c>
      <c r="H2121" s="3" t="s">
        <v>1041</v>
      </c>
      <c r="I2121" s="3">
        <v>131.46</v>
      </c>
      <c r="J2121" s="3">
        <v>77.42</v>
      </c>
      <c r="K2121" s="3" t="s">
        <v>2094</v>
      </c>
      <c r="L2121" s="761">
        <v>44581</v>
      </c>
      <c r="M2121" s="761" t="str">
        <f t="shared" si="32"/>
        <v>January</v>
      </c>
      <c r="N2121" s="761">
        <v>44581</v>
      </c>
      <c r="O2121" s="3" t="s">
        <v>62</v>
      </c>
      <c r="P2121" s="762">
        <v>4.8</v>
      </c>
      <c r="Q2121" s="3">
        <v>5.24</v>
      </c>
      <c r="R2121" s="3" t="s">
        <v>1757</v>
      </c>
      <c r="S2121" s="3" t="s">
        <v>5549</v>
      </c>
      <c r="T2121" s="3">
        <v>138.1</v>
      </c>
      <c r="U2121" s="3">
        <v>81.5</v>
      </c>
      <c r="V2121" s="4" t="s">
        <v>2094</v>
      </c>
      <c r="W2121" s="761">
        <v>44583</v>
      </c>
      <c r="X2121" s="761" t="s">
        <v>2094</v>
      </c>
      <c r="Y2121" s="761">
        <v>44581</v>
      </c>
      <c r="Z2121" s="3" t="s">
        <v>62</v>
      </c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</row>
    <row r="2122" spans="1:39">
      <c r="B2122" s="1499" t="s">
        <v>163</v>
      </c>
      <c r="C2122" s="3" t="s">
        <v>5546</v>
      </c>
      <c r="D2122" s="12" t="s">
        <v>5554</v>
      </c>
      <c r="E2122" s="11" t="s">
        <v>5555</v>
      </c>
      <c r="F2122" s="3">
        <v>4</v>
      </c>
      <c r="G2122" s="3" t="s">
        <v>932</v>
      </c>
      <c r="H2122" s="3" t="s">
        <v>1041</v>
      </c>
      <c r="I2122" s="3">
        <v>131.34</v>
      </c>
      <c r="J2122" s="3">
        <v>77.5</v>
      </c>
      <c r="K2122" s="3" t="s">
        <v>2094</v>
      </c>
      <c r="L2122" s="761">
        <v>44581</v>
      </c>
      <c r="M2122" s="761" t="str">
        <f t="shared" si="32"/>
        <v>January</v>
      </c>
      <c r="N2122" s="761">
        <v>44581</v>
      </c>
      <c r="O2122" s="3" t="s">
        <v>62</v>
      </c>
      <c r="P2122" s="762">
        <v>4.62</v>
      </c>
      <c r="Q2122" s="3">
        <v>4.8899999999999997</v>
      </c>
      <c r="R2122" s="3" t="s">
        <v>1757</v>
      </c>
      <c r="S2122" s="3" t="s">
        <v>5549</v>
      </c>
      <c r="T2122" s="3">
        <v>138.19999999999999</v>
      </c>
      <c r="U2122" s="3">
        <v>81.599999999999994</v>
      </c>
      <c r="V2122" s="4" t="s">
        <v>2094</v>
      </c>
      <c r="W2122" s="761">
        <v>44583</v>
      </c>
      <c r="X2122" s="761" t="s">
        <v>2094</v>
      </c>
      <c r="Y2122" s="761">
        <v>44581</v>
      </c>
      <c r="Z2122" s="3" t="s">
        <v>62</v>
      </c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</row>
    <row r="2123" spans="1:39">
      <c r="B2123" s="1499" t="s">
        <v>163</v>
      </c>
      <c r="C2123" s="3" t="s">
        <v>5546</v>
      </c>
      <c r="D2123" s="12" t="s">
        <v>5556</v>
      </c>
      <c r="E2123" s="11" t="s">
        <v>5557</v>
      </c>
      <c r="F2123" s="3">
        <v>5</v>
      </c>
      <c r="G2123" s="3" t="s">
        <v>932</v>
      </c>
      <c r="H2123" s="3" t="s">
        <v>1041</v>
      </c>
      <c r="I2123" s="3">
        <v>131.16</v>
      </c>
      <c r="J2123" s="3">
        <v>77.16</v>
      </c>
      <c r="K2123" s="3" t="s">
        <v>2094</v>
      </c>
      <c r="L2123" s="761">
        <v>44581</v>
      </c>
      <c r="M2123" s="761" t="str">
        <f t="shared" si="32"/>
        <v>January</v>
      </c>
      <c r="N2123" s="761">
        <v>44585</v>
      </c>
      <c r="O2123" s="3" t="s">
        <v>62</v>
      </c>
      <c r="P2123" s="762">
        <v>4.82</v>
      </c>
      <c r="Q2123" s="3">
        <v>5.08</v>
      </c>
      <c r="R2123" s="3" t="s">
        <v>5549</v>
      </c>
      <c r="S2123" s="3" t="s">
        <v>5549</v>
      </c>
      <c r="T2123" s="2">
        <v>137.9</v>
      </c>
      <c r="U2123" s="3">
        <v>81.2</v>
      </c>
      <c r="V2123" s="4" t="s">
        <v>2094</v>
      </c>
      <c r="W2123" s="761">
        <v>44585</v>
      </c>
      <c r="X2123" s="761" t="s">
        <v>2094</v>
      </c>
      <c r="Y2123" s="761">
        <v>44585</v>
      </c>
      <c r="Z2123" s="3" t="s">
        <v>62</v>
      </c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</row>
    <row r="2124" spans="1:39">
      <c r="B2124" s="1499" t="s">
        <v>163</v>
      </c>
      <c r="C2124" s="3" t="s">
        <v>5546</v>
      </c>
      <c r="D2124" s="12" t="s">
        <v>5558</v>
      </c>
      <c r="E2124" s="11" t="s">
        <v>5559</v>
      </c>
      <c r="F2124" s="3">
        <v>6</v>
      </c>
      <c r="G2124" s="3" t="s">
        <v>932</v>
      </c>
      <c r="H2124" s="3" t="s">
        <v>1041</v>
      </c>
      <c r="I2124" s="3">
        <v>131.16</v>
      </c>
      <c r="J2124" s="3">
        <v>77.36</v>
      </c>
      <c r="K2124" s="3" t="s">
        <v>2094</v>
      </c>
      <c r="L2124" s="761">
        <v>44581</v>
      </c>
      <c r="M2124" s="761" t="str">
        <f t="shared" si="32"/>
        <v>January</v>
      </c>
      <c r="N2124" s="761">
        <v>44585</v>
      </c>
      <c r="O2124" s="3" t="s">
        <v>62</v>
      </c>
      <c r="P2124" s="762">
        <v>4.6399999999999997</v>
      </c>
      <c r="Q2124" s="3">
        <v>5.05</v>
      </c>
      <c r="R2124" s="3" t="s">
        <v>5549</v>
      </c>
      <c r="S2124" s="3" t="s">
        <v>5549</v>
      </c>
      <c r="T2124" s="3">
        <v>137.9</v>
      </c>
      <c r="U2124" s="3">
        <v>81.5</v>
      </c>
      <c r="V2124" s="4" t="s">
        <v>2094</v>
      </c>
      <c r="W2124" s="761">
        <v>44585</v>
      </c>
      <c r="X2124" s="761" t="s">
        <v>2094</v>
      </c>
      <c r="Y2124" s="761">
        <v>44585</v>
      </c>
      <c r="Z2124" s="3" t="s">
        <v>62</v>
      </c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</row>
    <row r="2125" spans="1:39">
      <c r="B2125" s="1499" t="s">
        <v>163</v>
      </c>
      <c r="C2125" s="3" t="s">
        <v>5546</v>
      </c>
      <c r="D2125" s="12" t="s">
        <v>5560</v>
      </c>
      <c r="E2125" s="11" t="s">
        <v>5561</v>
      </c>
      <c r="F2125" s="3">
        <v>7</v>
      </c>
      <c r="G2125" s="3" t="s">
        <v>932</v>
      </c>
      <c r="H2125" s="3" t="s">
        <v>1041</v>
      </c>
      <c r="I2125" s="3">
        <v>130.5</v>
      </c>
      <c r="J2125" s="3">
        <v>78.58</v>
      </c>
      <c r="K2125" s="3" t="s">
        <v>2094</v>
      </c>
      <c r="L2125" s="761">
        <v>44582</v>
      </c>
      <c r="M2125" s="761" t="str">
        <f t="shared" si="32"/>
        <v>January</v>
      </c>
      <c r="N2125" s="761">
        <v>44585</v>
      </c>
      <c r="O2125" s="3" t="s">
        <v>62</v>
      </c>
      <c r="P2125" s="762">
        <v>4.26</v>
      </c>
      <c r="Q2125" s="3">
        <v>5.0199999999999996</v>
      </c>
      <c r="R2125" s="3" t="s">
        <v>5549</v>
      </c>
      <c r="S2125" s="3" t="s">
        <v>5549</v>
      </c>
      <c r="T2125" s="3">
        <v>137.19999999999999</v>
      </c>
      <c r="U2125" s="3">
        <v>82.7</v>
      </c>
      <c r="V2125" s="4" t="s">
        <v>2094</v>
      </c>
      <c r="W2125" s="761">
        <v>44585</v>
      </c>
      <c r="X2125" s="761" t="s">
        <v>2094</v>
      </c>
      <c r="Y2125" s="761">
        <v>44585</v>
      </c>
      <c r="Z2125" s="3" t="s">
        <v>62</v>
      </c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</row>
    <row r="2126" spans="1:39">
      <c r="B2126" s="1499" t="s">
        <v>163</v>
      </c>
      <c r="C2126" s="3" t="s">
        <v>5546</v>
      </c>
      <c r="D2126" s="12" t="s">
        <v>5562</v>
      </c>
      <c r="E2126" s="11" t="s">
        <v>5563</v>
      </c>
      <c r="F2126" s="3">
        <v>8</v>
      </c>
      <c r="G2126" s="3" t="s">
        <v>932</v>
      </c>
      <c r="H2126" s="3" t="s">
        <v>1041</v>
      </c>
      <c r="I2126" s="3">
        <v>130.08000000000001</v>
      </c>
      <c r="J2126" s="3">
        <v>78.2</v>
      </c>
      <c r="K2126" s="3" t="s">
        <v>2094</v>
      </c>
      <c r="L2126" s="761">
        <v>44582</v>
      </c>
      <c r="M2126" s="761" t="str">
        <f t="shared" si="32"/>
        <v>January</v>
      </c>
      <c r="N2126" s="761">
        <v>44585</v>
      </c>
      <c r="O2126" s="3" t="s">
        <v>62</v>
      </c>
      <c r="P2126" s="762">
        <v>4.18</v>
      </c>
      <c r="Q2126" s="3">
        <v>4.74</v>
      </c>
      <c r="R2126" s="3" t="s">
        <v>5549</v>
      </c>
      <c r="S2126" s="3" t="s">
        <v>5549</v>
      </c>
      <c r="T2126" s="3">
        <v>136.80000000000001</v>
      </c>
      <c r="U2126" s="3">
        <v>82.4</v>
      </c>
      <c r="V2126" s="4" t="s">
        <v>2094</v>
      </c>
      <c r="W2126" s="761">
        <v>44585</v>
      </c>
      <c r="X2126" s="761" t="s">
        <v>2094</v>
      </c>
      <c r="Y2126" s="761">
        <v>44585</v>
      </c>
      <c r="Z2126" s="3" t="s">
        <v>62</v>
      </c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</row>
    <row r="2127" spans="1:39">
      <c r="B2127" s="1499" t="s">
        <v>163</v>
      </c>
      <c r="C2127" s="3" t="s">
        <v>5546</v>
      </c>
      <c r="D2127" s="12" t="s">
        <v>5564</v>
      </c>
      <c r="E2127" s="11" t="s">
        <v>5565</v>
      </c>
      <c r="F2127" s="3">
        <v>9</v>
      </c>
      <c r="G2127" s="3" t="s">
        <v>932</v>
      </c>
      <c r="H2127" s="3" t="s">
        <v>1041</v>
      </c>
      <c r="I2127" s="3">
        <v>131.46</v>
      </c>
      <c r="J2127" s="3">
        <v>76.260000000000005</v>
      </c>
      <c r="K2127" s="3" t="s">
        <v>2094</v>
      </c>
      <c r="L2127" s="761">
        <v>44582</v>
      </c>
      <c r="M2127" s="761" t="str">
        <f t="shared" si="32"/>
        <v>January</v>
      </c>
      <c r="N2127" s="761">
        <v>44586</v>
      </c>
      <c r="O2127" s="3" t="s">
        <v>62</v>
      </c>
      <c r="P2127" s="762">
        <v>4.6399999999999997</v>
      </c>
      <c r="Q2127" s="3">
        <v>5.18</v>
      </c>
      <c r="R2127" s="3" t="s">
        <v>5549</v>
      </c>
      <c r="S2127" s="3" t="s">
        <v>5549</v>
      </c>
      <c r="T2127" s="3">
        <v>138.19999999999999</v>
      </c>
      <c r="U2127" s="3">
        <v>80.3</v>
      </c>
      <c r="V2127" s="4" t="s">
        <v>2094</v>
      </c>
      <c r="W2127" s="761">
        <v>44585</v>
      </c>
      <c r="X2127" s="761" t="s">
        <v>2094</v>
      </c>
      <c r="Y2127" s="761">
        <v>44586</v>
      </c>
      <c r="Z2127" s="3" t="s">
        <v>62</v>
      </c>
      <c r="AA2127" s="4"/>
      <c r="AB2127" s="4"/>
      <c r="AC2127" s="4"/>
      <c r="AD2127" s="4"/>
      <c r="AE2127" s="4"/>
      <c r="AF2127" s="4"/>
      <c r="AG2127" s="990">
        <v>4.8499999999999996</v>
      </c>
      <c r="AH2127" s="990">
        <v>4.82</v>
      </c>
      <c r="AI2127" s="4"/>
      <c r="AJ2127" s="4"/>
      <c r="AK2127" s="4"/>
      <c r="AL2127" s="4"/>
      <c r="AM2127" s="4"/>
    </row>
    <row r="2128" spans="1:39">
      <c r="B2128" s="1499" t="s">
        <v>163</v>
      </c>
      <c r="C2128" s="3" t="s">
        <v>5546</v>
      </c>
      <c r="D2128" s="12" t="s">
        <v>5566</v>
      </c>
      <c r="E2128" s="12" t="s">
        <v>5567</v>
      </c>
      <c r="F2128" s="3">
        <v>10</v>
      </c>
      <c r="G2128" s="3" t="s">
        <v>932</v>
      </c>
      <c r="H2128" s="3" t="s">
        <v>1041</v>
      </c>
      <c r="I2128" s="3">
        <v>129.38</v>
      </c>
      <c r="J2128" s="3">
        <v>77.06</v>
      </c>
      <c r="K2128" s="3" t="s">
        <v>2094</v>
      </c>
      <c r="L2128" s="761">
        <v>44586</v>
      </c>
      <c r="M2128" s="761" t="str">
        <f t="shared" si="32"/>
        <v>January</v>
      </c>
      <c r="N2128" s="761">
        <v>44586</v>
      </c>
      <c r="O2128" s="3" t="s">
        <v>62</v>
      </c>
      <c r="P2128" s="762">
        <v>4.7</v>
      </c>
      <c r="Q2128" s="3">
        <v>4.83</v>
      </c>
      <c r="R2128" s="3" t="s">
        <v>5549</v>
      </c>
      <c r="S2128" s="3" t="s">
        <v>5549</v>
      </c>
      <c r="T2128" s="3">
        <v>136.4</v>
      </c>
      <c r="U2128" s="3">
        <v>81</v>
      </c>
      <c r="V2128" s="4" t="s">
        <v>2094</v>
      </c>
      <c r="W2128" s="761">
        <v>44586</v>
      </c>
      <c r="X2128" s="761" t="s">
        <v>2094</v>
      </c>
      <c r="Y2128" s="761">
        <v>44586</v>
      </c>
      <c r="Z2128" s="3" t="s">
        <v>62</v>
      </c>
      <c r="AA2128" s="4"/>
      <c r="AB2128" s="4"/>
      <c r="AC2128" s="4"/>
      <c r="AD2128" s="4"/>
      <c r="AE2128" s="4"/>
      <c r="AF2128" s="4"/>
      <c r="AG2128" s="990">
        <v>4.8499999999999996</v>
      </c>
      <c r="AH2128" s="990">
        <v>4.82</v>
      </c>
      <c r="AI2128" s="4"/>
      <c r="AJ2128" s="4"/>
      <c r="AK2128" s="4"/>
      <c r="AL2128" s="4"/>
      <c r="AM2128" s="4"/>
    </row>
    <row r="2129" spans="1:39">
      <c r="B2129" s="1499" t="s">
        <v>163</v>
      </c>
      <c r="C2129" s="3" t="s">
        <v>5546</v>
      </c>
      <c r="D2129" s="12" t="s">
        <v>5568</v>
      </c>
      <c r="E2129" s="12" t="s">
        <v>5569</v>
      </c>
      <c r="F2129" s="3">
        <v>11</v>
      </c>
      <c r="G2129" s="3" t="s">
        <v>932</v>
      </c>
      <c r="H2129" s="3" t="s">
        <v>1041</v>
      </c>
      <c r="I2129" s="3">
        <v>129.38</v>
      </c>
      <c r="J2129" s="3">
        <v>77.36</v>
      </c>
      <c r="K2129" s="3" t="s">
        <v>2094</v>
      </c>
      <c r="L2129" s="761">
        <v>44586</v>
      </c>
      <c r="M2129" s="761" t="str">
        <f t="shared" si="32"/>
        <v>January</v>
      </c>
      <c r="N2129" s="761">
        <v>44586</v>
      </c>
      <c r="O2129" s="3" t="s">
        <v>62</v>
      </c>
      <c r="P2129" s="762">
        <v>4.67</v>
      </c>
      <c r="Q2129" s="3">
        <v>4.88</v>
      </c>
      <c r="R2129" s="3" t="s">
        <v>5549</v>
      </c>
      <c r="S2129" s="3" t="s">
        <v>5549</v>
      </c>
      <c r="T2129" s="3">
        <v>136.1</v>
      </c>
      <c r="U2129" s="3">
        <v>81.3</v>
      </c>
      <c r="V2129" s="4" t="s">
        <v>2094</v>
      </c>
      <c r="W2129" s="761">
        <v>44586</v>
      </c>
      <c r="X2129" s="761" t="s">
        <v>2094</v>
      </c>
      <c r="Y2129" s="761">
        <v>44586</v>
      </c>
      <c r="Z2129" s="3" t="s">
        <v>62</v>
      </c>
      <c r="AA2129" s="4"/>
      <c r="AB2129" s="4"/>
      <c r="AC2129" s="4"/>
      <c r="AD2129" s="4"/>
      <c r="AE2129" s="4"/>
      <c r="AF2129" s="4"/>
      <c r="AG2129" s="990">
        <v>4.8099999999999996</v>
      </c>
      <c r="AH2129" s="990">
        <v>4.8</v>
      </c>
      <c r="AI2129" s="4"/>
      <c r="AJ2129" s="4"/>
      <c r="AK2129" s="4"/>
      <c r="AL2129" s="4"/>
      <c r="AM2129" s="4"/>
    </row>
    <row r="2130" spans="1:39">
      <c r="B2130" s="1499" t="s">
        <v>163</v>
      </c>
      <c r="C2130" s="3" t="s">
        <v>5546</v>
      </c>
      <c r="D2130" s="12" t="s">
        <v>5570</v>
      </c>
      <c r="E2130" s="12" t="s">
        <v>5571</v>
      </c>
      <c r="F2130" s="3">
        <v>12</v>
      </c>
      <c r="G2130" s="3" t="s">
        <v>932</v>
      </c>
      <c r="H2130" s="3" t="s">
        <v>1041</v>
      </c>
      <c r="I2130" s="3">
        <v>129.38</v>
      </c>
      <c r="J2130" s="3">
        <v>77.7</v>
      </c>
      <c r="K2130" s="3" t="s">
        <v>2094</v>
      </c>
      <c r="L2130" s="761">
        <v>44586</v>
      </c>
      <c r="M2130" s="761" t="str">
        <f t="shared" si="32"/>
        <v>January</v>
      </c>
      <c r="N2130" s="761">
        <v>44586</v>
      </c>
      <c r="O2130" s="3" t="s">
        <v>62</v>
      </c>
      <c r="P2130" s="762">
        <v>4.46</v>
      </c>
      <c r="Q2130" s="3">
        <v>4.95</v>
      </c>
      <c r="R2130" s="3" t="s">
        <v>5549</v>
      </c>
      <c r="S2130" s="3" t="s">
        <v>5549</v>
      </c>
      <c r="T2130" s="3">
        <v>136</v>
      </c>
      <c r="U2130" s="3">
        <v>81.8</v>
      </c>
      <c r="V2130" s="4" t="s">
        <v>2094</v>
      </c>
      <c r="W2130" s="761">
        <v>44586</v>
      </c>
      <c r="X2130" s="761" t="s">
        <v>2094</v>
      </c>
      <c r="Y2130" s="761">
        <v>44586</v>
      </c>
      <c r="Z2130" s="3" t="s">
        <v>62</v>
      </c>
      <c r="AA2130" s="4"/>
      <c r="AB2130" s="4"/>
      <c r="AC2130" s="4"/>
      <c r="AD2130" s="4"/>
      <c r="AE2130" s="4"/>
      <c r="AF2130" s="4"/>
      <c r="AG2130" s="990">
        <v>4.8</v>
      </c>
      <c r="AH2130" s="990">
        <v>4.9000000000000004</v>
      </c>
      <c r="AI2130" s="4"/>
      <c r="AJ2130" s="4"/>
      <c r="AK2130" s="4"/>
      <c r="AL2130" s="4"/>
      <c r="AM2130" s="4"/>
    </row>
    <row r="2131" spans="1:39">
      <c r="B2131" s="1499" t="s">
        <v>163</v>
      </c>
      <c r="C2131" s="3" t="s">
        <v>5546</v>
      </c>
      <c r="D2131" s="12" t="s">
        <v>5572</v>
      </c>
      <c r="E2131" s="12" t="s">
        <v>5573</v>
      </c>
      <c r="F2131" s="3">
        <v>13</v>
      </c>
      <c r="G2131" s="3" t="s">
        <v>932</v>
      </c>
      <c r="H2131" s="3" t="s">
        <v>1041</v>
      </c>
      <c r="I2131" s="3">
        <v>129.38</v>
      </c>
      <c r="J2131" s="3">
        <v>78.16</v>
      </c>
      <c r="K2131" s="3" t="s">
        <v>2094</v>
      </c>
      <c r="L2131" s="761">
        <v>44586</v>
      </c>
      <c r="M2131" s="761" t="str">
        <f t="shared" si="32"/>
        <v>January</v>
      </c>
      <c r="N2131" s="761">
        <v>44586</v>
      </c>
      <c r="O2131" s="3" t="s">
        <v>62</v>
      </c>
      <c r="P2131" s="762">
        <v>4.78</v>
      </c>
      <c r="Q2131" s="3">
        <v>4.99</v>
      </c>
      <c r="R2131" s="3" t="s">
        <v>5549</v>
      </c>
      <c r="S2131" s="3" t="s">
        <v>1757</v>
      </c>
      <c r="T2131" s="3">
        <v>135.69999999999999</v>
      </c>
      <c r="U2131" s="3">
        <v>82.4</v>
      </c>
      <c r="V2131" s="4" t="s">
        <v>2094</v>
      </c>
      <c r="W2131" s="761">
        <v>44587</v>
      </c>
      <c r="X2131" s="761" t="s">
        <v>2094</v>
      </c>
      <c r="Y2131" s="761">
        <v>44587</v>
      </c>
      <c r="Z2131" s="3" t="s">
        <v>62</v>
      </c>
      <c r="AA2131" s="4"/>
      <c r="AB2131" s="4"/>
      <c r="AC2131" s="4"/>
      <c r="AD2131" s="4"/>
      <c r="AE2131" s="4"/>
      <c r="AF2131" s="4"/>
      <c r="AG2131" s="990">
        <v>5.01</v>
      </c>
      <c r="AH2131" s="990">
        <v>4.93</v>
      </c>
      <c r="AI2131" s="4"/>
      <c r="AJ2131" s="4"/>
      <c r="AK2131" s="4"/>
      <c r="AL2131" s="4"/>
      <c r="AM2131" s="4"/>
    </row>
    <row r="2132" spans="1:39">
      <c r="B2132" s="1499" t="s">
        <v>163</v>
      </c>
      <c r="C2132" s="3" t="s">
        <v>5546</v>
      </c>
      <c r="D2132" s="12" t="s">
        <v>5574</v>
      </c>
      <c r="E2132" s="12" t="s">
        <v>5575</v>
      </c>
      <c r="F2132" s="3">
        <v>14</v>
      </c>
      <c r="G2132" s="3" t="s">
        <v>932</v>
      </c>
      <c r="H2132" s="3" t="s">
        <v>932</v>
      </c>
      <c r="I2132" s="807">
        <v>131.16</v>
      </c>
      <c r="J2132" s="807">
        <v>77.16</v>
      </c>
      <c r="K2132" s="3" t="s">
        <v>2094</v>
      </c>
      <c r="L2132" s="761">
        <v>44586</v>
      </c>
      <c r="M2132" s="761" t="str">
        <f t="shared" si="32"/>
        <v>January</v>
      </c>
      <c r="N2132" s="761">
        <v>44586</v>
      </c>
      <c r="O2132" s="3" t="s">
        <v>62</v>
      </c>
      <c r="P2132" s="762">
        <v>4.78</v>
      </c>
      <c r="Q2132" s="3">
        <v>5.1100000000000003</v>
      </c>
      <c r="R2132" s="3" t="s">
        <v>5549</v>
      </c>
      <c r="S2132" s="3" t="s">
        <v>1757</v>
      </c>
      <c r="T2132" s="3">
        <v>136.30000000000001</v>
      </c>
      <c r="U2132" s="3">
        <v>82.7</v>
      </c>
      <c r="V2132" s="4" t="s">
        <v>2094</v>
      </c>
      <c r="W2132" s="761">
        <v>44587</v>
      </c>
      <c r="X2132" s="761" t="s">
        <v>2094</v>
      </c>
      <c r="Y2132" s="761">
        <v>44587</v>
      </c>
      <c r="Z2132" s="3" t="s">
        <v>62</v>
      </c>
      <c r="AA2132" s="4"/>
      <c r="AB2132" s="4"/>
      <c r="AC2132" s="4"/>
      <c r="AD2132" s="4"/>
      <c r="AE2132" s="4"/>
      <c r="AF2132" s="4"/>
      <c r="AG2132" s="990">
        <v>4.66</v>
      </c>
      <c r="AH2132" s="990">
        <v>4.88</v>
      </c>
      <c r="AI2132" s="4"/>
      <c r="AJ2132" s="4"/>
      <c r="AK2132" s="4"/>
      <c r="AL2132" s="4"/>
      <c r="AM2132" s="4"/>
    </row>
    <row r="2133" spans="1:39">
      <c r="B2133" s="1499" t="s">
        <v>163</v>
      </c>
      <c r="C2133" s="3" t="s">
        <v>5546</v>
      </c>
      <c r="D2133" s="12" t="s">
        <v>5576</v>
      </c>
      <c r="E2133" s="12" t="s">
        <v>5577</v>
      </c>
      <c r="F2133" s="3">
        <v>15</v>
      </c>
      <c r="G2133" s="3" t="s">
        <v>1041</v>
      </c>
      <c r="H2133" s="3" t="s">
        <v>932</v>
      </c>
      <c r="I2133" s="3">
        <v>129.4</v>
      </c>
      <c r="J2133" s="3">
        <v>76.92</v>
      </c>
      <c r="K2133" s="3" t="s">
        <v>2094</v>
      </c>
      <c r="L2133" s="761">
        <v>44586</v>
      </c>
      <c r="M2133" s="761" t="str">
        <f t="shared" si="32"/>
        <v>January</v>
      </c>
      <c r="N2133" s="761">
        <v>44587</v>
      </c>
      <c r="O2133" s="3" t="s">
        <v>62</v>
      </c>
      <c r="P2133" s="762">
        <v>4.75</v>
      </c>
      <c r="Q2133" s="3"/>
      <c r="R2133" s="3" t="s">
        <v>5549</v>
      </c>
      <c r="S2133" s="3" t="s">
        <v>1757</v>
      </c>
      <c r="T2133" s="3">
        <v>135.19999999999999</v>
      </c>
      <c r="U2133" s="3">
        <v>81</v>
      </c>
      <c r="V2133" s="4" t="s">
        <v>2094</v>
      </c>
      <c r="W2133" s="761">
        <v>44587</v>
      </c>
      <c r="X2133" s="761" t="s">
        <v>2094</v>
      </c>
      <c r="Y2133" s="761">
        <v>44587</v>
      </c>
      <c r="Z2133" s="3" t="s">
        <v>62</v>
      </c>
      <c r="AA2133" s="4"/>
      <c r="AB2133" s="4"/>
      <c r="AC2133" s="4"/>
      <c r="AD2133" s="4"/>
      <c r="AE2133" s="4"/>
      <c r="AF2133" s="4"/>
      <c r="AG2133" s="990">
        <v>4.72</v>
      </c>
      <c r="AH2133" s="990">
        <v>4.7</v>
      </c>
      <c r="AI2133" s="4"/>
      <c r="AJ2133" s="4"/>
      <c r="AK2133" s="4"/>
      <c r="AL2133" s="4"/>
      <c r="AM2133" s="4"/>
    </row>
    <row r="2134" spans="1:39">
      <c r="B2134" s="1499" t="s">
        <v>163</v>
      </c>
      <c r="C2134" s="3" t="s">
        <v>5546</v>
      </c>
      <c r="D2134" s="12" t="s">
        <v>5578</v>
      </c>
      <c r="E2134" s="12" t="s">
        <v>5579</v>
      </c>
      <c r="F2134" s="3">
        <v>16</v>
      </c>
      <c r="G2134" s="3" t="s">
        <v>1041</v>
      </c>
      <c r="H2134" s="3" t="s">
        <v>932</v>
      </c>
      <c r="I2134" s="3">
        <v>130</v>
      </c>
      <c r="J2134" s="3">
        <v>78.040000000000006</v>
      </c>
      <c r="K2134" s="3" t="s">
        <v>2094</v>
      </c>
      <c r="L2134" s="761">
        <v>44586</v>
      </c>
      <c r="M2134" s="761" t="str">
        <f t="shared" si="32"/>
        <v>January</v>
      </c>
      <c r="N2134" s="761">
        <v>44587</v>
      </c>
      <c r="O2134" s="3" t="s">
        <v>62</v>
      </c>
      <c r="P2134" s="762">
        <v>4.1900000000000004</v>
      </c>
      <c r="Q2134" s="3"/>
      <c r="R2134" s="3" t="s">
        <v>5549</v>
      </c>
      <c r="S2134" s="3" t="s">
        <v>1757</v>
      </c>
      <c r="T2134" s="3">
        <v>136.1</v>
      </c>
      <c r="U2134" s="3">
        <v>82.1</v>
      </c>
      <c r="V2134" s="4" t="s">
        <v>2094</v>
      </c>
      <c r="W2134" s="761">
        <v>44587</v>
      </c>
      <c r="X2134" s="761" t="s">
        <v>2094</v>
      </c>
      <c r="Y2134" s="761">
        <v>44587</v>
      </c>
      <c r="Z2134" s="3" t="s">
        <v>62</v>
      </c>
      <c r="AA2134" s="4"/>
      <c r="AB2134" s="4"/>
      <c r="AC2134" s="4"/>
      <c r="AD2134" s="4"/>
      <c r="AE2134" s="4"/>
      <c r="AF2134" s="4"/>
      <c r="AG2134" s="990">
        <v>5.14</v>
      </c>
      <c r="AH2134" s="990">
        <v>5.0199999999999996</v>
      </c>
      <c r="AI2134" s="4"/>
      <c r="AJ2134" s="4"/>
      <c r="AK2134" s="4"/>
      <c r="AL2134" s="4"/>
      <c r="AM2134" s="4"/>
    </row>
    <row r="2135" spans="1:39">
      <c r="B2135" s="1499" t="s">
        <v>163</v>
      </c>
      <c r="C2135" s="3" t="s">
        <v>5546</v>
      </c>
      <c r="D2135" s="12" t="s">
        <v>5580</v>
      </c>
      <c r="E2135" s="12" t="s">
        <v>5581</v>
      </c>
      <c r="F2135" s="3">
        <v>17</v>
      </c>
      <c r="G2135" s="3" t="s">
        <v>1041</v>
      </c>
      <c r="H2135" s="3" t="s">
        <v>932</v>
      </c>
      <c r="I2135" s="3">
        <v>129.4</v>
      </c>
      <c r="J2135" s="3">
        <v>77.64</v>
      </c>
      <c r="K2135" s="3" t="s">
        <v>2094</v>
      </c>
      <c r="L2135" s="761">
        <v>44586</v>
      </c>
      <c r="M2135" s="761" t="str">
        <f t="shared" si="32"/>
        <v>January</v>
      </c>
      <c r="N2135" s="761">
        <v>44587</v>
      </c>
      <c r="O2135" s="3" t="s">
        <v>62</v>
      </c>
      <c r="P2135" s="762">
        <v>4.82</v>
      </c>
      <c r="Q2135" s="3"/>
      <c r="R2135" s="3" t="s">
        <v>5549</v>
      </c>
      <c r="S2135" s="3" t="s">
        <v>1757</v>
      </c>
      <c r="T2135" s="3">
        <v>136.19999999999999</v>
      </c>
      <c r="U2135" s="3">
        <v>81.8</v>
      </c>
      <c r="V2135" s="4" t="s">
        <v>2094</v>
      </c>
      <c r="W2135" s="761">
        <v>44587</v>
      </c>
      <c r="X2135" s="761" t="s">
        <v>2094</v>
      </c>
      <c r="Y2135" s="761">
        <v>44587</v>
      </c>
      <c r="Z2135" s="3" t="s">
        <v>62</v>
      </c>
      <c r="AA2135" s="4"/>
      <c r="AB2135" s="4"/>
      <c r="AC2135" s="4"/>
      <c r="AD2135" s="4"/>
      <c r="AE2135" s="4"/>
      <c r="AF2135" s="4"/>
      <c r="AG2135" s="990">
        <v>5.18</v>
      </c>
      <c r="AH2135" s="990">
        <v>4.97</v>
      </c>
      <c r="AI2135" s="4"/>
      <c r="AJ2135" s="4"/>
      <c r="AK2135" s="4"/>
      <c r="AL2135" s="4"/>
      <c r="AM2135" s="4"/>
    </row>
    <row r="2136" spans="1:39">
      <c r="B2136" s="1499" t="s">
        <v>163</v>
      </c>
      <c r="C2136" s="3" t="s">
        <v>5546</v>
      </c>
      <c r="D2136" s="12" t="s">
        <v>5582</v>
      </c>
      <c r="E2136" s="12" t="s">
        <v>5583</v>
      </c>
      <c r="F2136" s="3">
        <v>18</v>
      </c>
      <c r="G2136" s="3" t="s">
        <v>1041</v>
      </c>
      <c r="H2136" s="3" t="s">
        <v>932</v>
      </c>
      <c r="I2136" s="3">
        <v>129.38</v>
      </c>
      <c r="J2136" s="3">
        <v>78.260000000000005</v>
      </c>
      <c r="K2136" s="3" t="s">
        <v>2094</v>
      </c>
      <c r="L2136" s="761">
        <v>44586</v>
      </c>
      <c r="M2136" s="761" t="str">
        <f t="shared" si="32"/>
        <v>January</v>
      </c>
      <c r="N2136" s="761">
        <v>44587</v>
      </c>
      <c r="O2136" s="3" t="s">
        <v>62</v>
      </c>
      <c r="P2136" s="762">
        <v>4.29</v>
      </c>
      <c r="Q2136" s="3"/>
      <c r="R2136" s="3" t="s">
        <v>5549</v>
      </c>
      <c r="S2136" s="3" t="s">
        <v>1757</v>
      </c>
      <c r="T2136" s="3">
        <v>136.4</v>
      </c>
      <c r="U2136" s="3">
        <v>82.4</v>
      </c>
      <c r="V2136" s="4" t="s">
        <v>2094</v>
      </c>
      <c r="W2136" s="761">
        <v>44587</v>
      </c>
      <c r="X2136" s="761" t="s">
        <v>2094</v>
      </c>
      <c r="Y2136" s="761">
        <v>44587</v>
      </c>
      <c r="Z2136" s="3" t="s">
        <v>62</v>
      </c>
      <c r="AA2136" s="4"/>
      <c r="AB2136" s="4"/>
      <c r="AC2136" s="4"/>
      <c r="AD2136" s="4"/>
      <c r="AE2136" s="4"/>
      <c r="AF2136" s="4"/>
      <c r="AG2136" s="990">
        <v>5.05</v>
      </c>
      <c r="AH2136" s="990">
        <v>4.8</v>
      </c>
      <c r="AI2136" s="4"/>
      <c r="AJ2136" s="4"/>
      <c r="AK2136" s="4"/>
      <c r="AL2136" s="4"/>
      <c r="AM2136" s="4"/>
    </row>
    <row r="2137" spans="1:39" s="707" customFormat="1">
      <c r="A2137"/>
      <c r="B2137" s="976" t="s">
        <v>13</v>
      </c>
      <c r="C2137" s="807"/>
      <c r="D2137" s="977"/>
      <c r="E2137" s="875"/>
      <c r="F2137" s="807"/>
      <c r="G2137" s="807"/>
      <c r="H2137" s="807"/>
      <c r="I2137" s="807"/>
      <c r="J2137" s="807"/>
      <c r="K2137" s="807"/>
      <c r="L2137" s="819"/>
      <c r="M2137" s="819"/>
      <c r="N2137" s="819"/>
      <c r="O2137" s="807"/>
      <c r="P2137" s="820"/>
      <c r="Q2137" s="807"/>
      <c r="R2137" s="807"/>
      <c r="S2137" s="807"/>
      <c r="T2137" s="807"/>
      <c r="U2137" s="807"/>
      <c r="V2137" s="710"/>
      <c r="W2137" s="819"/>
      <c r="X2137" s="819"/>
      <c r="Y2137" s="819"/>
      <c r="Z2137" s="807"/>
      <c r="AA2137" s="710"/>
      <c r="AB2137" s="710"/>
      <c r="AC2137" s="710"/>
      <c r="AD2137" s="710"/>
      <c r="AE2137" s="710"/>
      <c r="AF2137" s="710"/>
      <c r="AG2137" s="710"/>
      <c r="AH2137" s="710"/>
      <c r="AI2137" s="710"/>
      <c r="AJ2137" s="710"/>
      <c r="AK2137" s="710"/>
      <c r="AL2137" s="710"/>
      <c r="AM2137" s="710"/>
    </row>
    <row r="2138" spans="1:39">
      <c r="B2138" s="975">
        <v>8</v>
      </c>
      <c r="C2138" s="3" t="s">
        <v>5546</v>
      </c>
      <c r="D2138" s="860">
        <v>300018776</v>
      </c>
      <c r="E2138" s="11" t="s">
        <v>5584</v>
      </c>
      <c r="F2138" s="3">
        <v>1</v>
      </c>
      <c r="G2138" s="3" t="s">
        <v>60</v>
      </c>
      <c r="H2138" s="3" t="s">
        <v>60</v>
      </c>
      <c r="I2138" s="786">
        <v>129.52000000000001</v>
      </c>
      <c r="J2138" s="784">
        <v>77.72</v>
      </c>
      <c r="K2138" s="3" t="s">
        <v>2556</v>
      </c>
      <c r="L2138" s="761">
        <v>44789</v>
      </c>
      <c r="M2138" s="761" t="str">
        <f t="shared" ref="M2138:M2147" si="33">TEXT(N2138,"mmmm")</f>
        <v>August</v>
      </c>
      <c r="N2138" s="761">
        <v>44792</v>
      </c>
      <c r="O2138" s="3" t="s">
        <v>62</v>
      </c>
      <c r="P2138" s="882">
        <v>4.5199999999999996</v>
      </c>
      <c r="Q2138" s="784">
        <v>4.84</v>
      </c>
      <c r="R2138" s="3" t="s">
        <v>1757</v>
      </c>
      <c r="S2138" s="3" t="s">
        <v>1757</v>
      </c>
      <c r="T2138" s="786">
        <v>136.26</v>
      </c>
      <c r="U2138" s="786">
        <v>81.78</v>
      </c>
      <c r="V2138" s="4" t="str">
        <f t="shared" ref="V2138:V2147" si="34">TEXT(W2138,"mmmm")</f>
        <v>August</v>
      </c>
      <c r="W2138" s="761">
        <v>44789</v>
      </c>
      <c r="X2138" s="761" t="s">
        <v>2556</v>
      </c>
      <c r="Y2138" s="761">
        <v>44792</v>
      </c>
      <c r="Z2138" s="3" t="s">
        <v>62</v>
      </c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</row>
    <row r="2139" spans="1:39">
      <c r="B2139" s="975">
        <v>8</v>
      </c>
      <c r="C2139" s="3" t="s">
        <v>5546</v>
      </c>
      <c r="D2139" s="860">
        <v>300018777</v>
      </c>
      <c r="E2139" s="11" t="s">
        <v>5585</v>
      </c>
      <c r="F2139" s="3">
        <v>2</v>
      </c>
      <c r="G2139" s="3" t="s">
        <v>60</v>
      </c>
      <c r="H2139" s="3" t="s">
        <v>60</v>
      </c>
      <c r="I2139" s="786">
        <v>129.66999999999999</v>
      </c>
      <c r="J2139" s="786">
        <v>78.3</v>
      </c>
      <c r="K2139" s="3" t="s">
        <v>2556</v>
      </c>
      <c r="L2139" s="761">
        <v>44789</v>
      </c>
      <c r="M2139" s="761" t="str">
        <f t="shared" si="33"/>
        <v>August</v>
      </c>
      <c r="N2139" s="761">
        <v>44792</v>
      </c>
      <c r="O2139" s="3" t="s">
        <v>62</v>
      </c>
      <c r="P2139" s="882">
        <v>4.6100000000000003</v>
      </c>
      <c r="Q2139" s="882">
        <v>5.0999999999999996</v>
      </c>
      <c r="R2139" s="3" t="s">
        <v>1757</v>
      </c>
      <c r="S2139" s="3" t="s">
        <v>1757</v>
      </c>
      <c r="T2139" s="786">
        <v>136.4</v>
      </c>
      <c r="U2139" s="786">
        <v>82.44</v>
      </c>
      <c r="V2139" s="4" t="str">
        <f t="shared" si="34"/>
        <v>August</v>
      </c>
      <c r="W2139" s="761">
        <v>44789</v>
      </c>
      <c r="X2139" s="761" t="s">
        <v>2556</v>
      </c>
      <c r="Y2139" s="761">
        <v>44792</v>
      </c>
      <c r="Z2139" s="3" t="s">
        <v>62</v>
      </c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</row>
    <row r="2140" spans="1:39">
      <c r="B2140" s="975">
        <v>8</v>
      </c>
      <c r="C2140" s="3" t="s">
        <v>5546</v>
      </c>
      <c r="D2140" s="860">
        <v>300019047</v>
      </c>
      <c r="E2140" s="11" t="s">
        <v>5586</v>
      </c>
      <c r="F2140" s="3">
        <v>3</v>
      </c>
      <c r="G2140" s="3" t="s">
        <v>60</v>
      </c>
      <c r="H2140" s="3" t="s">
        <v>60</v>
      </c>
      <c r="I2140" s="786">
        <v>129.54</v>
      </c>
      <c r="J2140" s="786">
        <v>78.27</v>
      </c>
      <c r="K2140" s="3" t="s">
        <v>2556</v>
      </c>
      <c r="L2140" s="761">
        <v>44789</v>
      </c>
      <c r="M2140" s="761" t="str">
        <f t="shared" si="33"/>
        <v>August</v>
      </c>
      <c r="N2140" s="761">
        <v>44792</v>
      </c>
      <c r="O2140" s="3" t="s">
        <v>62</v>
      </c>
      <c r="P2140" s="882">
        <v>4.7699999999999996</v>
      </c>
      <c r="Q2140" s="882">
        <v>5.0199999999999996</v>
      </c>
      <c r="R2140" s="3" t="s">
        <v>1757</v>
      </c>
      <c r="S2140" s="3" t="s">
        <v>1757</v>
      </c>
      <c r="T2140" s="786">
        <v>136.31</v>
      </c>
      <c r="U2140" s="786">
        <v>82.45</v>
      </c>
      <c r="V2140" s="4" t="str">
        <f t="shared" si="34"/>
        <v>August</v>
      </c>
      <c r="W2140" s="761">
        <v>44791</v>
      </c>
      <c r="X2140" s="761" t="s">
        <v>2556</v>
      </c>
      <c r="Y2140" s="761">
        <v>44792</v>
      </c>
      <c r="Z2140" s="3" t="s">
        <v>62</v>
      </c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</row>
    <row r="2141" spans="1:39">
      <c r="B2141" s="975">
        <v>8</v>
      </c>
      <c r="C2141" s="3" t="s">
        <v>5546</v>
      </c>
      <c r="D2141" s="860">
        <v>300019048</v>
      </c>
      <c r="E2141" s="11" t="s">
        <v>5587</v>
      </c>
      <c r="F2141" s="3">
        <v>4</v>
      </c>
      <c r="G2141" s="3" t="s">
        <v>60</v>
      </c>
      <c r="H2141" s="3" t="s">
        <v>60</v>
      </c>
      <c r="I2141" s="786">
        <v>130.94999999999999</v>
      </c>
      <c r="J2141" s="786">
        <v>78.599999999999994</v>
      </c>
      <c r="K2141" s="3" t="s">
        <v>2556</v>
      </c>
      <c r="L2141" s="761">
        <v>44789</v>
      </c>
      <c r="M2141" s="761" t="str">
        <f t="shared" si="33"/>
        <v>August</v>
      </c>
      <c r="N2141" s="761">
        <v>44792</v>
      </c>
      <c r="O2141" s="3" t="s">
        <v>62</v>
      </c>
      <c r="P2141" s="882">
        <v>4.7699999999999996</v>
      </c>
      <c r="Q2141" s="882">
        <v>5.17</v>
      </c>
      <c r="R2141" s="3" t="s">
        <v>1757</v>
      </c>
      <c r="S2141" s="3" t="s">
        <v>1757</v>
      </c>
      <c r="T2141" s="786">
        <v>137.59</v>
      </c>
      <c r="U2141" s="786">
        <v>82.76</v>
      </c>
      <c r="V2141" s="4" t="str">
        <f t="shared" si="34"/>
        <v>August</v>
      </c>
      <c r="W2141" s="761">
        <v>44791</v>
      </c>
      <c r="X2141" s="761" t="s">
        <v>2556</v>
      </c>
      <c r="Y2141" s="761">
        <v>44792</v>
      </c>
      <c r="Z2141" s="3" t="s">
        <v>62</v>
      </c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</row>
    <row r="2142" spans="1:39">
      <c r="B2142" s="975">
        <v>8</v>
      </c>
      <c r="C2142" s="3" t="s">
        <v>5546</v>
      </c>
      <c r="D2142" s="860">
        <v>300019049</v>
      </c>
      <c r="E2142" s="11" t="s">
        <v>5588</v>
      </c>
      <c r="F2142" s="3">
        <v>5</v>
      </c>
      <c r="G2142" s="3" t="s">
        <v>60</v>
      </c>
      <c r="H2142" s="3" t="s">
        <v>60</v>
      </c>
      <c r="I2142" s="786">
        <v>130.94</v>
      </c>
      <c r="J2142" s="786">
        <v>78.209999999999994</v>
      </c>
      <c r="K2142" s="3" t="s">
        <v>2556</v>
      </c>
      <c r="L2142" s="761">
        <v>44789</v>
      </c>
      <c r="M2142" s="761" t="str">
        <f t="shared" si="33"/>
        <v>August</v>
      </c>
      <c r="N2142" s="761">
        <v>44792</v>
      </c>
      <c r="O2142" s="3" t="s">
        <v>62</v>
      </c>
      <c r="P2142" s="882">
        <v>4.3099999999999996</v>
      </c>
      <c r="Q2142" s="882">
        <v>5.13</v>
      </c>
      <c r="R2142" s="3" t="s">
        <v>1757</v>
      </c>
      <c r="S2142" s="3" t="s">
        <v>1757</v>
      </c>
      <c r="T2142" s="786">
        <v>137.58000000000001</v>
      </c>
      <c r="U2142" s="786">
        <v>82.32</v>
      </c>
      <c r="V2142" s="4" t="str">
        <f t="shared" si="34"/>
        <v>August</v>
      </c>
      <c r="W2142" s="761">
        <v>44791</v>
      </c>
      <c r="X2142" s="761" t="s">
        <v>2556</v>
      </c>
      <c r="Y2142" s="761">
        <v>44792</v>
      </c>
      <c r="Z2142" s="3" t="s">
        <v>62</v>
      </c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</row>
    <row r="2143" spans="1:39">
      <c r="B2143" s="975">
        <v>8</v>
      </c>
      <c r="C2143" s="3" t="s">
        <v>5546</v>
      </c>
      <c r="D2143" s="860">
        <v>300019050</v>
      </c>
      <c r="E2143" s="11" t="s">
        <v>5589</v>
      </c>
      <c r="F2143" s="3">
        <v>6</v>
      </c>
      <c r="G2143" s="3" t="s">
        <v>60</v>
      </c>
      <c r="H2143" s="3" t="s">
        <v>60</v>
      </c>
      <c r="I2143" s="762">
        <v>130</v>
      </c>
      <c r="J2143" s="786">
        <v>77.38</v>
      </c>
      <c r="K2143" s="3" t="s">
        <v>2556</v>
      </c>
      <c r="L2143" s="761">
        <v>44795</v>
      </c>
      <c r="M2143" s="761" t="str">
        <f t="shared" si="33"/>
        <v>August</v>
      </c>
      <c r="N2143" s="761">
        <v>44792</v>
      </c>
      <c r="O2143" s="3" t="s">
        <v>62</v>
      </c>
      <c r="P2143" s="981">
        <v>4.75</v>
      </c>
      <c r="Q2143" s="882">
        <v>4.92</v>
      </c>
      <c r="R2143" s="3" t="s">
        <v>1757</v>
      </c>
      <c r="S2143" s="3" t="s">
        <v>1757</v>
      </c>
      <c r="T2143" s="786">
        <v>136.81</v>
      </c>
      <c r="U2143" s="762">
        <v>81.400000000000006</v>
      </c>
      <c r="V2143" s="4" t="str">
        <f t="shared" si="34"/>
        <v>August</v>
      </c>
      <c r="W2143" s="761">
        <v>44795</v>
      </c>
      <c r="X2143" s="761" t="s">
        <v>2556</v>
      </c>
      <c r="Y2143" s="761">
        <v>44795</v>
      </c>
      <c r="Z2143" s="3" t="s">
        <v>62</v>
      </c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</row>
    <row r="2144" spans="1:39">
      <c r="B2144" s="975">
        <v>8</v>
      </c>
      <c r="C2144" s="3" t="s">
        <v>5546</v>
      </c>
      <c r="D2144" s="860">
        <v>300019054</v>
      </c>
      <c r="E2144" s="11" t="s">
        <v>5590</v>
      </c>
      <c r="F2144" s="3">
        <v>7</v>
      </c>
      <c r="G2144" s="3" t="s">
        <v>60</v>
      </c>
      <c r="H2144" s="3" t="s">
        <v>60</v>
      </c>
      <c r="I2144" s="762">
        <v>129.99</v>
      </c>
      <c r="J2144" s="786">
        <v>78.2</v>
      </c>
      <c r="K2144" s="3" t="s">
        <v>2556</v>
      </c>
      <c r="L2144" s="761">
        <v>44795</v>
      </c>
      <c r="M2144" s="761" t="str">
        <f t="shared" si="33"/>
        <v>August</v>
      </c>
      <c r="N2144" s="761">
        <v>44792</v>
      </c>
      <c r="O2144" s="3" t="s">
        <v>62</v>
      </c>
      <c r="P2144" s="882">
        <v>4.24</v>
      </c>
      <c r="Q2144" s="882">
        <v>5.14</v>
      </c>
      <c r="R2144" s="3" t="s">
        <v>1757</v>
      </c>
      <c r="S2144" s="3" t="s">
        <v>1757</v>
      </c>
      <c r="T2144" s="786">
        <v>136.94999999999999</v>
      </c>
      <c r="U2144" s="762">
        <v>82.25</v>
      </c>
      <c r="V2144" s="4" t="str">
        <f t="shared" si="34"/>
        <v>August</v>
      </c>
      <c r="W2144" s="761">
        <v>44795</v>
      </c>
      <c r="X2144" s="761" t="s">
        <v>2556</v>
      </c>
      <c r="Y2144" s="761">
        <v>44795</v>
      </c>
      <c r="Z2144" s="3" t="s">
        <v>62</v>
      </c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</row>
    <row r="2145" spans="1:153">
      <c r="B2145" s="975">
        <v>8</v>
      </c>
      <c r="C2145" s="3" t="s">
        <v>5546</v>
      </c>
      <c r="D2145" s="860">
        <v>300019052</v>
      </c>
      <c r="E2145" s="11" t="s">
        <v>5591</v>
      </c>
      <c r="F2145" s="3">
        <v>8</v>
      </c>
      <c r="G2145" s="3" t="s">
        <v>60</v>
      </c>
      <c r="H2145" s="3" t="s">
        <v>60</v>
      </c>
      <c r="I2145" s="762">
        <v>129.96</v>
      </c>
      <c r="J2145" s="786">
        <v>78.569999999999993</v>
      </c>
      <c r="K2145" s="3" t="s">
        <v>2556</v>
      </c>
      <c r="L2145" s="761">
        <v>44795</v>
      </c>
      <c r="M2145" s="761" t="str">
        <f t="shared" si="33"/>
        <v>August</v>
      </c>
      <c r="N2145" s="761">
        <v>44792</v>
      </c>
      <c r="O2145" s="3" t="s">
        <v>62</v>
      </c>
      <c r="P2145" s="882">
        <v>4.67</v>
      </c>
      <c r="Q2145" s="882">
        <v>5.16</v>
      </c>
      <c r="R2145" s="3" t="s">
        <v>1757</v>
      </c>
      <c r="S2145" s="3" t="s">
        <v>1757</v>
      </c>
      <c r="T2145" s="786">
        <v>136.86000000000001</v>
      </c>
      <c r="U2145" s="762">
        <v>82.64</v>
      </c>
      <c r="V2145" s="4" t="str">
        <f t="shared" si="34"/>
        <v>August</v>
      </c>
      <c r="W2145" s="761">
        <v>44795</v>
      </c>
      <c r="X2145" s="761" t="s">
        <v>2556</v>
      </c>
      <c r="Y2145" s="761">
        <v>44795</v>
      </c>
      <c r="Z2145" s="3" t="s">
        <v>62</v>
      </c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</row>
    <row r="2146" spans="1:153">
      <c r="B2146" s="975">
        <v>8</v>
      </c>
      <c r="C2146" s="3" t="s">
        <v>5546</v>
      </c>
      <c r="D2146" s="860">
        <v>300019053</v>
      </c>
      <c r="E2146" s="11" t="s">
        <v>5592</v>
      </c>
      <c r="F2146" s="3">
        <v>9</v>
      </c>
      <c r="G2146" s="3" t="s">
        <v>60</v>
      </c>
      <c r="H2146" s="3" t="s">
        <v>60</v>
      </c>
      <c r="I2146" s="762">
        <v>130.88999999999999</v>
      </c>
      <c r="J2146" s="786">
        <v>78.599999999999994</v>
      </c>
      <c r="K2146" s="3" t="s">
        <v>2556</v>
      </c>
      <c r="L2146" s="761">
        <v>44795</v>
      </c>
      <c r="M2146" s="761" t="str">
        <f t="shared" si="33"/>
        <v>August</v>
      </c>
      <c r="N2146" s="761">
        <v>44792</v>
      </c>
      <c r="O2146" s="3" t="s">
        <v>62</v>
      </c>
      <c r="P2146" s="882">
        <v>4.79</v>
      </c>
      <c r="Q2146" s="882">
        <v>5</v>
      </c>
      <c r="R2146" s="3" t="s">
        <v>1757</v>
      </c>
      <c r="S2146" s="3" t="s">
        <v>1757</v>
      </c>
      <c r="T2146" s="786">
        <v>137.69999999999999</v>
      </c>
      <c r="U2146" s="762">
        <v>82.85</v>
      </c>
      <c r="V2146" s="4" t="str">
        <f t="shared" si="34"/>
        <v>August</v>
      </c>
      <c r="W2146" s="761">
        <v>44795</v>
      </c>
      <c r="X2146" s="761" t="s">
        <v>2556</v>
      </c>
      <c r="Y2146" s="761">
        <v>44795</v>
      </c>
      <c r="Z2146" s="3" t="s">
        <v>62</v>
      </c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</row>
    <row r="2147" spans="1:153">
      <c r="B2147" s="975">
        <v>8</v>
      </c>
      <c r="C2147" s="3" t="s">
        <v>5546</v>
      </c>
      <c r="D2147" s="860">
        <v>300019051</v>
      </c>
      <c r="E2147" s="11" t="s">
        <v>5593</v>
      </c>
      <c r="F2147" s="3">
        <v>10</v>
      </c>
      <c r="G2147" s="3" t="s">
        <v>60</v>
      </c>
      <c r="H2147" s="3" t="s">
        <v>60</v>
      </c>
      <c r="I2147" s="762">
        <v>131.35</v>
      </c>
      <c r="J2147" s="786">
        <v>78.290000000000006</v>
      </c>
      <c r="K2147" s="3" t="s">
        <v>2556</v>
      </c>
      <c r="L2147" s="761">
        <v>44795</v>
      </c>
      <c r="M2147" s="761" t="str">
        <f t="shared" si="33"/>
        <v>August</v>
      </c>
      <c r="N2147" s="761">
        <v>44792</v>
      </c>
      <c r="O2147" s="3" t="s">
        <v>62</v>
      </c>
      <c r="P2147" s="882">
        <v>4.28</v>
      </c>
      <c r="Q2147" s="882">
        <v>4.8499999999999996</v>
      </c>
      <c r="R2147" s="3" t="s">
        <v>1757</v>
      </c>
      <c r="S2147" s="3" t="s">
        <v>1757</v>
      </c>
      <c r="T2147" s="786">
        <v>138.02000000000001</v>
      </c>
      <c r="U2147" s="762">
        <v>82.35</v>
      </c>
      <c r="V2147" s="4" t="str">
        <f t="shared" si="34"/>
        <v>August</v>
      </c>
      <c r="W2147" s="761">
        <v>44795</v>
      </c>
      <c r="X2147" s="761" t="s">
        <v>2556</v>
      </c>
      <c r="Y2147" s="761">
        <v>44795</v>
      </c>
      <c r="Z2147" s="3" t="s">
        <v>62</v>
      </c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</row>
    <row r="2148" spans="1:153" s="707" customFormat="1" ht="27" customHeight="1">
      <c r="A2148"/>
      <c r="B2148" s="1576" t="s">
        <v>13</v>
      </c>
      <c r="C2148" s="960" t="s">
        <v>5594</v>
      </c>
      <c r="D2148" s="1555"/>
      <c r="E2148" s="1578"/>
      <c r="F2148" s="1580"/>
      <c r="G2148" s="1582" t="s">
        <v>4922</v>
      </c>
      <c r="H2148" s="1587" t="s">
        <v>3391</v>
      </c>
      <c r="I2148" s="1582" t="s">
        <v>4922</v>
      </c>
      <c r="J2148" s="1587" t="s">
        <v>3391</v>
      </c>
      <c r="K2148" s="807"/>
      <c r="L2148" s="819"/>
      <c r="M2148" s="819"/>
      <c r="N2148" s="819"/>
      <c r="O2148" s="807"/>
      <c r="P2148" s="1589"/>
      <c r="Q2148" s="1589"/>
      <c r="R2148" s="1587" t="s">
        <v>3391</v>
      </c>
      <c r="S2148" s="1591"/>
      <c r="T2148" s="1587" t="s">
        <v>3391</v>
      </c>
      <c r="U2148" s="1591"/>
      <c r="V2148" s="1591"/>
      <c r="W2148" s="1534"/>
      <c r="X2148" s="1535"/>
      <c r="Y2148" s="1535"/>
      <c r="Z2148" s="1535"/>
      <c r="AA2148" s="1535"/>
      <c r="AB2148" s="1535"/>
      <c r="AC2148" s="1535"/>
      <c r="AD2148" s="1535"/>
      <c r="AE2148" s="1535"/>
      <c r="AF2148" s="1535"/>
      <c r="AG2148" s="1535"/>
      <c r="AH2148" s="1535"/>
      <c r="AI2148" s="1535"/>
      <c r="AJ2148" s="1535"/>
      <c r="AK2148" s="1535"/>
      <c r="AL2148" s="1535"/>
      <c r="AM2148" s="1536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  <c r="DM2148"/>
      <c r="DN2148"/>
      <c r="DO2148"/>
      <c r="DP2148"/>
      <c r="DQ2148"/>
      <c r="DR2148"/>
      <c r="DS2148"/>
      <c r="DT2148"/>
      <c r="DU2148"/>
      <c r="DV2148"/>
      <c r="DW2148"/>
      <c r="DX2148"/>
      <c r="DY2148"/>
      <c r="DZ2148"/>
      <c r="EA2148"/>
      <c r="EB2148"/>
      <c r="EC2148"/>
      <c r="ED2148"/>
      <c r="EE2148"/>
      <c r="EF2148"/>
      <c r="EG2148"/>
      <c r="EH2148"/>
      <c r="EI2148"/>
      <c r="EJ2148"/>
      <c r="EK2148"/>
      <c r="EL2148"/>
      <c r="EM2148"/>
      <c r="EN2148"/>
      <c r="EO2148"/>
      <c r="EP2148"/>
      <c r="EQ2148"/>
      <c r="ER2148"/>
      <c r="ES2148"/>
      <c r="ET2148"/>
      <c r="EU2148"/>
      <c r="EV2148"/>
      <c r="EW2148"/>
    </row>
    <row r="2149" spans="1:153" s="707" customFormat="1">
      <c r="B2149" s="1577"/>
      <c r="C2149" s="807" t="s">
        <v>3446</v>
      </c>
      <c r="D2149" s="1543"/>
      <c r="E2149" s="1579"/>
      <c r="F2149" s="1581"/>
      <c r="G2149" s="1583"/>
      <c r="H2149" s="1588"/>
      <c r="I2149" s="1583"/>
      <c r="J2149" s="1588"/>
      <c r="K2149" s="807"/>
      <c r="L2149" s="819"/>
      <c r="M2149" s="819"/>
      <c r="N2149" s="819"/>
      <c r="O2149" s="807"/>
      <c r="P2149" s="1590"/>
      <c r="Q2149" s="1590"/>
      <c r="R2149" s="1588"/>
      <c r="S2149" s="1592"/>
      <c r="T2149" s="1588"/>
      <c r="U2149" s="1592"/>
      <c r="V2149" s="1592"/>
      <c r="W2149" s="1537"/>
      <c r="X2149" s="1538"/>
      <c r="Y2149" s="1538"/>
      <c r="Z2149" s="1538"/>
      <c r="AA2149" s="1538"/>
      <c r="AB2149" s="1538"/>
      <c r="AC2149" s="1538"/>
      <c r="AD2149" s="1538"/>
      <c r="AE2149" s="1538"/>
      <c r="AF2149" s="1538"/>
      <c r="AG2149" s="1538"/>
      <c r="AH2149" s="1538"/>
      <c r="AI2149" s="1538"/>
      <c r="AJ2149" s="1538"/>
      <c r="AK2149" s="1538"/>
      <c r="AL2149" s="1538"/>
      <c r="AM2149" s="153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  <c r="DH2149"/>
      <c r="DI2149"/>
      <c r="DJ2149"/>
      <c r="DK2149"/>
      <c r="DL2149"/>
      <c r="DM2149"/>
      <c r="DN2149"/>
      <c r="DO2149"/>
      <c r="DP2149"/>
      <c r="DQ2149"/>
      <c r="DR2149"/>
      <c r="DS2149"/>
      <c r="DT2149"/>
      <c r="DU2149"/>
      <c r="DV2149"/>
      <c r="DW2149"/>
      <c r="DX2149"/>
      <c r="DY2149"/>
      <c r="DZ2149"/>
      <c r="EA2149"/>
      <c r="EB2149"/>
      <c r="EC2149"/>
      <c r="ED2149"/>
      <c r="EE2149"/>
      <c r="EF2149"/>
      <c r="EG2149"/>
      <c r="EH2149"/>
      <c r="EI2149"/>
      <c r="EJ2149"/>
      <c r="EK2149"/>
      <c r="EL2149"/>
      <c r="EM2149"/>
      <c r="EN2149"/>
      <c r="EO2149"/>
      <c r="EP2149"/>
      <c r="EQ2149"/>
      <c r="ER2149"/>
      <c r="ES2149"/>
      <c r="ET2149"/>
      <c r="EU2149"/>
      <c r="EV2149"/>
      <c r="EW2149"/>
    </row>
    <row r="2150" spans="1:153">
      <c r="B2150" s="975" t="s">
        <v>213</v>
      </c>
      <c r="C2150" s="3" t="s">
        <v>1559</v>
      </c>
      <c r="D2150" s="860">
        <v>300020896</v>
      </c>
      <c r="E2150" s="11" t="s">
        <v>1562</v>
      </c>
      <c r="F2150" s="3">
        <v>1</v>
      </c>
      <c r="G2150" s="3" t="s">
        <v>128</v>
      </c>
      <c r="H2150" s="7"/>
      <c r="I2150" s="762">
        <f>145.4+146.4+148.3</f>
        <v>440.1</v>
      </c>
      <c r="J2150" s="7"/>
      <c r="K2150" s="3" t="s">
        <v>2125</v>
      </c>
      <c r="L2150" s="958">
        <v>45350</v>
      </c>
      <c r="M2150" s="7"/>
      <c r="N2150" s="7"/>
      <c r="O2150" s="3" t="s">
        <v>3986</v>
      </c>
      <c r="P2150" s="3" t="s">
        <v>1563</v>
      </c>
      <c r="Q2150" s="7"/>
      <c r="R2150" s="3" t="s">
        <v>130</v>
      </c>
      <c r="S2150" s="7"/>
      <c r="T2150" s="786">
        <v>329.7</v>
      </c>
      <c r="U2150" s="7"/>
      <c r="V2150" s="4" t="s">
        <v>2125</v>
      </c>
      <c r="W2150" s="890">
        <v>45350</v>
      </c>
      <c r="X2150" s="957"/>
      <c r="Y2150" s="957"/>
      <c r="Z2150" s="3" t="s">
        <v>3990</v>
      </c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</row>
    <row r="2151" spans="1:153">
      <c r="B2151" s="975" t="s">
        <v>213</v>
      </c>
      <c r="C2151" s="3" t="s">
        <v>1559</v>
      </c>
      <c r="D2151" s="860">
        <v>300020897</v>
      </c>
      <c r="E2151" s="11" t="s">
        <v>1565</v>
      </c>
      <c r="F2151" s="3">
        <v>2</v>
      </c>
      <c r="G2151" s="3" t="s">
        <v>128</v>
      </c>
      <c r="H2151" s="7"/>
      <c r="I2151" s="786">
        <f>145+147.5+144.4</f>
        <v>436.9</v>
      </c>
      <c r="J2151" s="7"/>
      <c r="K2151" s="3" t="s">
        <v>1716</v>
      </c>
      <c r="L2151" s="958">
        <v>45364</v>
      </c>
      <c r="M2151" s="7"/>
      <c r="N2151" s="7"/>
      <c r="O2151" s="3" t="s">
        <v>3986</v>
      </c>
      <c r="P2151" s="3" t="s">
        <v>1566</v>
      </c>
      <c r="Q2151" s="7"/>
      <c r="R2151" s="3" t="s">
        <v>130</v>
      </c>
      <c r="S2151" s="7"/>
      <c r="T2151" s="762">
        <v>329.49</v>
      </c>
      <c r="U2151" s="7"/>
      <c r="V2151" s="4" t="s">
        <v>1716</v>
      </c>
      <c r="W2151" s="890">
        <v>45364</v>
      </c>
      <c r="X2151" s="957"/>
      <c r="Y2151" s="957"/>
      <c r="Z2151" s="3" t="s">
        <v>3990</v>
      </c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</row>
    <row r="2152" spans="1:153">
      <c r="B2152" s="975" t="s">
        <v>213</v>
      </c>
      <c r="C2152" s="3" t="s">
        <v>1559</v>
      </c>
      <c r="D2152" s="860">
        <v>300020898</v>
      </c>
      <c r="E2152" s="11" t="s">
        <v>1567</v>
      </c>
      <c r="F2152" s="3">
        <v>3</v>
      </c>
      <c r="G2152" s="3" t="s">
        <v>128</v>
      </c>
      <c r="H2152" s="7"/>
      <c r="I2152" s="786">
        <v>442.2</v>
      </c>
      <c r="J2152" s="7"/>
      <c r="K2152" s="3" t="s">
        <v>1716</v>
      </c>
      <c r="L2152" s="958">
        <v>45364</v>
      </c>
      <c r="M2152" s="7"/>
      <c r="N2152" s="7"/>
      <c r="O2152" s="3" t="s">
        <v>3986</v>
      </c>
      <c r="P2152" s="785" t="s">
        <v>1568</v>
      </c>
      <c r="Q2152" s="7"/>
      <c r="R2152" s="3" t="s">
        <v>130</v>
      </c>
      <c r="S2152" s="7"/>
      <c r="T2152" s="762">
        <v>329.6</v>
      </c>
      <c r="U2152" s="7"/>
      <c r="V2152" s="4" t="s">
        <v>1716</v>
      </c>
      <c r="W2152" s="890">
        <v>45365</v>
      </c>
      <c r="X2152" s="957"/>
      <c r="Y2152" s="957"/>
      <c r="Z2152" s="3" t="s">
        <v>3990</v>
      </c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</row>
    <row r="2153" spans="1:153" s="707" customFormat="1">
      <c r="B2153" s="978"/>
      <c r="C2153" s="807" t="s">
        <v>4298</v>
      </c>
      <c r="D2153" s="822"/>
      <c r="E2153" s="979"/>
      <c r="F2153" s="9"/>
      <c r="G2153" s="980"/>
      <c r="H2153" s="912"/>
      <c r="I2153" s="980"/>
      <c r="J2153" s="912"/>
      <c r="K2153" s="807"/>
      <c r="L2153" s="983"/>
      <c r="M2153" s="819"/>
      <c r="N2153" s="819"/>
      <c r="O2153" s="807"/>
      <c r="P2153" s="982"/>
      <c r="Q2153" s="982"/>
      <c r="R2153" s="912"/>
      <c r="S2153" s="985"/>
      <c r="T2153" s="912"/>
      <c r="U2153" s="985"/>
      <c r="V2153" s="985"/>
      <c r="W2153" s="987"/>
      <c r="X2153" s="986"/>
      <c r="Y2153" s="986"/>
      <c r="Z2153" s="986"/>
      <c r="AA2153" s="986"/>
      <c r="AB2153" s="986"/>
      <c r="AC2153" s="986"/>
      <c r="AD2153" s="986"/>
      <c r="AE2153" s="986"/>
      <c r="AF2153" s="986"/>
      <c r="AG2153" s="986"/>
      <c r="AH2153" s="986"/>
      <c r="AI2153" s="986"/>
      <c r="AJ2153" s="986"/>
      <c r="AK2153" s="986"/>
      <c r="AL2153" s="986"/>
      <c r="AM2153" s="991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  <c r="DH2153"/>
      <c r="DI2153"/>
      <c r="DJ2153"/>
      <c r="DK2153"/>
      <c r="DL2153"/>
      <c r="DM2153"/>
      <c r="DN2153"/>
      <c r="DO2153"/>
      <c r="DP2153"/>
      <c r="DQ2153"/>
      <c r="DR2153"/>
      <c r="DS2153"/>
      <c r="DT2153"/>
      <c r="DU2153"/>
      <c r="DV2153"/>
      <c r="DW2153"/>
      <c r="DX2153"/>
      <c r="DY2153"/>
      <c r="DZ2153"/>
      <c r="EA2153"/>
      <c r="EB2153"/>
      <c r="EC2153"/>
      <c r="ED2153"/>
      <c r="EE2153"/>
      <c r="EF2153"/>
      <c r="EG2153"/>
      <c r="EH2153"/>
      <c r="EI2153"/>
      <c r="EJ2153"/>
      <c r="EK2153"/>
      <c r="EL2153"/>
      <c r="EM2153"/>
      <c r="EN2153"/>
      <c r="EO2153"/>
      <c r="EP2153"/>
      <c r="EQ2153"/>
      <c r="ER2153"/>
      <c r="ES2153"/>
      <c r="ET2153"/>
      <c r="EU2153"/>
      <c r="EV2153"/>
      <c r="EW2153"/>
    </row>
    <row r="2154" spans="1:153">
      <c r="B2154" s="975" t="s">
        <v>277</v>
      </c>
      <c r="C2154" s="3" t="s">
        <v>1559</v>
      </c>
      <c r="D2154" s="3">
        <v>300021120</v>
      </c>
      <c r="E2154" s="11" t="s">
        <v>1569</v>
      </c>
      <c r="F2154" s="3">
        <v>1</v>
      </c>
      <c r="G2154" s="3" t="s">
        <v>60</v>
      </c>
      <c r="H2154" s="7"/>
      <c r="I2154" s="786">
        <v>438.6</v>
      </c>
      <c r="J2154" s="984"/>
      <c r="K2154" s="3" t="s">
        <v>2272</v>
      </c>
      <c r="L2154" s="958">
        <v>45405</v>
      </c>
      <c r="M2154" s="7"/>
      <c r="N2154" s="7"/>
      <c r="O2154" s="3" t="s">
        <v>62</v>
      </c>
      <c r="P2154" s="3" t="s">
        <v>1570</v>
      </c>
      <c r="Q2154" s="7"/>
      <c r="R2154" s="3" t="s">
        <v>130</v>
      </c>
      <c r="S2154" s="7"/>
      <c r="T2154" s="786">
        <v>329.9</v>
      </c>
      <c r="U2154" s="7"/>
      <c r="V2154" s="4" t="s">
        <v>2272</v>
      </c>
      <c r="W2154" s="890">
        <v>45404</v>
      </c>
      <c r="X2154" s="957"/>
      <c r="Y2154" s="957"/>
      <c r="Z2154" s="3" t="s">
        <v>62</v>
      </c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</row>
    <row r="2155" spans="1:153">
      <c r="B2155" s="975" t="s">
        <v>277</v>
      </c>
      <c r="C2155" s="3" t="s">
        <v>1559</v>
      </c>
      <c r="D2155" s="3">
        <v>300021121</v>
      </c>
      <c r="E2155" s="11" t="s">
        <v>1571</v>
      </c>
      <c r="F2155" s="3">
        <v>2</v>
      </c>
      <c r="G2155" s="3" t="s">
        <v>60</v>
      </c>
      <c r="H2155" s="7"/>
      <c r="I2155" s="786">
        <v>443.5</v>
      </c>
      <c r="J2155" s="984"/>
      <c r="K2155" s="3" t="s">
        <v>2272</v>
      </c>
      <c r="L2155" s="958">
        <v>45405</v>
      </c>
      <c r="M2155" s="7"/>
      <c r="N2155" s="7"/>
      <c r="O2155" s="3" t="s">
        <v>62</v>
      </c>
      <c r="P2155" s="784" t="s">
        <v>1572</v>
      </c>
      <c r="Q2155" s="7"/>
      <c r="R2155" s="3" t="s">
        <v>130</v>
      </c>
      <c r="S2155" s="7"/>
      <c r="T2155" s="786">
        <v>330</v>
      </c>
      <c r="U2155" s="7"/>
      <c r="V2155" s="4" t="s">
        <v>2272</v>
      </c>
      <c r="W2155" s="890">
        <v>45404</v>
      </c>
      <c r="X2155" s="957"/>
      <c r="Y2155" s="957"/>
      <c r="Z2155" s="3" t="s">
        <v>62</v>
      </c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</row>
    <row r="2156" spans="1:153">
      <c r="B2156" s="975" t="s">
        <v>277</v>
      </c>
      <c r="C2156" s="3" t="s">
        <v>1559</v>
      </c>
      <c r="D2156" s="3">
        <v>300021122</v>
      </c>
      <c r="E2156" s="11" t="s">
        <v>1573</v>
      </c>
      <c r="F2156" s="3">
        <v>3</v>
      </c>
      <c r="G2156" s="3" t="s">
        <v>60</v>
      </c>
      <c r="H2156" s="7"/>
      <c r="I2156" s="786">
        <v>441.3</v>
      </c>
      <c r="J2156" s="984"/>
      <c r="K2156" s="3" t="s">
        <v>2272</v>
      </c>
      <c r="L2156" s="958">
        <v>45405</v>
      </c>
      <c r="M2156" s="7"/>
      <c r="N2156" s="7"/>
      <c r="O2156" s="3" t="s">
        <v>62</v>
      </c>
      <c r="P2156" s="784" t="s">
        <v>1574</v>
      </c>
      <c r="Q2156" s="7"/>
      <c r="R2156" s="3" t="s">
        <v>130</v>
      </c>
      <c r="S2156" s="7"/>
      <c r="T2156" s="786">
        <v>329.7</v>
      </c>
      <c r="U2156" s="7"/>
      <c r="V2156" s="4" t="s">
        <v>2272</v>
      </c>
      <c r="W2156" s="890">
        <v>45405</v>
      </c>
      <c r="X2156" s="957"/>
      <c r="Y2156" s="957"/>
      <c r="Z2156" s="3" t="s">
        <v>62</v>
      </c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</row>
    <row r="2157" spans="1:153">
      <c r="B2157" s="975" t="s">
        <v>277</v>
      </c>
      <c r="C2157" s="3" t="s">
        <v>1559</v>
      </c>
      <c r="D2157" s="3">
        <v>300021123</v>
      </c>
      <c r="E2157" s="11" t="s">
        <v>1575</v>
      </c>
      <c r="F2157" s="3">
        <v>4</v>
      </c>
      <c r="G2157" s="3" t="s">
        <v>60</v>
      </c>
      <c r="H2157" s="7"/>
      <c r="I2157" s="786">
        <v>447.1</v>
      </c>
      <c r="J2157" s="984"/>
      <c r="K2157" s="3" t="s">
        <v>2272</v>
      </c>
      <c r="L2157" s="958">
        <v>45405</v>
      </c>
      <c r="M2157" s="7"/>
      <c r="N2157" s="7"/>
      <c r="O2157" s="3" t="s">
        <v>62</v>
      </c>
      <c r="P2157" s="784" t="s">
        <v>1576</v>
      </c>
      <c r="Q2157" s="7"/>
      <c r="R2157" s="3" t="s">
        <v>130</v>
      </c>
      <c r="S2157" s="7"/>
      <c r="T2157" s="786">
        <v>330</v>
      </c>
      <c r="U2157" s="7"/>
      <c r="V2157" s="4" t="s">
        <v>2272</v>
      </c>
      <c r="W2157" s="890">
        <v>45405</v>
      </c>
      <c r="X2157" s="957"/>
      <c r="Y2157" s="957"/>
      <c r="Z2157" s="3" t="s">
        <v>62</v>
      </c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</row>
    <row r="2158" spans="1:153">
      <c r="B2158" s="975" t="s">
        <v>277</v>
      </c>
      <c r="C2158" s="3" t="s">
        <v>1559</v>
      </c>
      <c r="D2158" s="3">
        <v>300021124</v>
      </c>
      <c r="E2158" s="11" t="s">
        <v>1577</v>
      </c>
      <c r="F2158" s="3">
        <v>5</v>
      </c>
      <c r="G2158" s="3" t="s">
        <v>60</v>
      </c>
      <c r="H2158" s="7"/>
      <c r="I2158" s="786">
        <v>441.2</v>
      </c>
      <c r="J2158" s="984"/>
      <c r="K2158" s="3" t="s">
        <v>2272</v>
      </c>
      <c r="L2158" s="958">
        <v>45407</v>
      </c>
      <c r="M2158" s="7"/>
      <c r="N2158" s="7"/>
      <c r="O2158" s="3" t="s">
        <v>62</v>
      </c>
      <c r="P2158" s="784" t="s">
        <v>1578</v>
      </c>
      <c r="Q2158" s="7"/>
      <c r="R2158" s="3" t="s">
        <v>130</v>
      </c>
      <c r="S2158" s="7"/>
      <c r="T2158" s="786">
        <v>330.3</v>
      </c>
      <c r="U2158" s="7"/>
      <c r="V2158" s="4" t="s">
        <v>2272</v>
      </c>
      <c r="W2158" s="890">
        <v>45405</v>
      </c>
      <c r="X2158" s="957"/>
      <c r="Y2158" s="957"/>
      <c r="Z2158" s="3" t="s">
        <v>62</v>
      </c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</row>
    <row r="2159" spans="1:153">
      <c r="B2159" s="975" t="s">
        <v>277</v>
      </c>
      <c r="C2159" s="3" t="s">
        <v>1559</v>
      </c>
      <c r="D2159" s="3">
        <v>300021125</v>
      </c>
      <c r="E2159" s="11" t="s">
        <v>1579</v>
      </c>
      <c r="F2159" s="3">
        <v>6</v>
      </c>
      <c r="G2159" s="3" t="s">
        <v>60</v>
      </c>
      <c r="H2159" s="7"/>
      <c r="I2159" s="786">
        <v>441.7</v>
      </c>
      <c r="J2159" s="984"/>
      <c r="K2159" s="3" t="s">
        <v>2272</v>
      </c>
      <c r="L2159" s="958">
        <v>45407</v>
      </c>
      <c r="M2159" s="7"/>
      <c r="N2159" s="7"/>
      <c r="O2159" s="3" t="s">
        <v>62</v>
      </c>
      <c r="P2159" s="784" t="s">
        <v>1580</v>
      </c>
      <c r="Q2159" s="7"/>
      <c r="R2159" s="3" t="s">
        <v>130</v>
      </c>
      <c r="S2159" s="7"/>
      <c r="T2159" s="786">
        <v>330</v>
      </c>
      <c r="U2159" s="7"/>
      <c r="V2159" s="4" t="s">
        <v>2272</v>
      </c>
      <c r="W2159" s="890">
        <v>45406</v>
      </c>
      <c r="X2159" s="957"/>
      <c r="Y2159" s="957"/>
      <c r="Z2159" s="3" t="s">
        <v>62</v>
      </c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</row>
    <row r="2160" spans="1:153">
      <c r="B2160" s="975" t="s">
        <v>277</v>
      </c>
      <c r="C2160" s="3" t="s">
        <v>1559</v>
      </c>
      <c r="D2160" s="3">
        <v>300021126</v>
      </c>
      <c r="E2160" s="11" t="s">
        <v>1581</v>
      </c>
      <c r="F2160" s="3">
        <v>7</v>
      </c>
      <c r="G2160" s="3" t="s">
        <v>60</v>
      </c>
      <c r="H2160" s="7"/>
      <c r="I2160" s="786">
        <v>442.5</v>
      </c>
      <c r="J2160" s="984"/>
      <c r="K2160" s="3" t="s">
        <v>2272</v>
      </c>
      <c r="L2160" s="958">
        <v>45407</v>
      </c>
      <c r="M2160" s="7"/>
      <c r="N2160" s="7"/>
      <c r="O2160" s="3" t="s">
        <v>62</v>
      </c>
      <c r="P2160" s="784" t="s">
        <v>1582</v>
      </c>
      <c r="Q2160" s="7"/>
      <c r="R2160" s="3" t="s">
        <v>130</v>
      </c>
      <c r="S2160" s="7"/>
      <c r="T2160" s="786">
        <v>330</v>
      </c>
      <c r="U2160" s="7"/>
      <c r="V2160" s="4" t="s">
        <v>2272</v>
      </c>
      <c r="W2160" s="890">
        <v>45407</v>
      </c>
      <c r="X2160" s="957"/>
      <c r="Y2160" s="957"/>
      <c r="Z2160" s="3" t="s">
        <v>62</v>
      </c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</row>
    <row r="2161" spans="2:153" s="707" customFormat="1">
      <c r="B2161" s="978"/>
      <c r="C2161" s="807" t="s">
        <v>3447</v>
      </c>
      <c r="D2161" s="822"/>
      <c r="E2161" s="979"/>
      <c r="F2161" s="9"/>
      <c r="G2161" s="980"/>
      <c r="H2161" s="912"/>
      <c r="I2161" s="980"/>
      <c r="J2161" s="912"/>
      <c r="K2161" s="807"/>
      <c r="L2161" s="983"/>
      <c r="M2161" s="819"/>
      <c r="N2161" s="819"/>
      <c r="O2161" s="807"/>
      <c r="P2161" s="982"/>
      <c r="Q2161" s="982"/>
      <c r="R2161" s="912"/>
      <c r="S2161" s="985"/>
      <c r="T2161" s="912"/>
      <c r="U2161" s="985"/>
      <c r="V2161" s="985"/>
      <c r="W2161" s="987"/>
      <c r="X2161" s="986"/>
      <c r="Y2161" s="986"/>
      <c r="Z2161" s="986"/>
      <c r="AA2161" s="986"/>
      <c r="AB2161" s="986"/>
      <c r="AC2161" s="986"/>
      <c r="AD2161" s="986"/>
      <c r="AE2161" s="986"/>
      <c r="AF2161" s="986"/>
      <c r="AG2161" s="986"/>
      <c r="AH2161" s="986"/>
      <c r="AI2161" s="986"/>
      <c r="AJ2161" s="986"/>
      <c r="AK2161" s="986"/>
      <c r="AL2161" s="986"/>
      <c r="AM2161" s="99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  <c r="DH2161"/>
      <c r="DI2161"/>
      <c r="DJ2161"/>
      <c r="DK2161"/>
      <c r="DL2161"/>
      <c r="DM2161"/>
      <c r="DN2161"/>
      <c r="DO2161"/>
      <c r="DP2161"/>
      <c r="DQ2161"/>
      <c r="DR2161"/>
      <c r="DS2161"/>
      <c r="DT2161"/>
      <c r="DU2161"/>
      <c r="DV2161"/>
      <c r="DW2161"/>
      <c r="DX2161"/>
      <c r="DY2161"/>
      <c r="DZ2161"/>
      <c r="EA2161"/>
      <c r="EB2161"/>
      <c r="EC2161"/>
      <c r="ED2161"/>
      <c r="EE2161"/>
      <c r="EF2161"/>
      <c r="EG2161"/>
      <c r="EH2161"/>
      <c r="EI2161"/>
      <c r="EJ2161"/>
      <c r="EK2161"/>
      <c r="EL2161"/>
      <c r="EM2161"/>
      <c r="EN2161"/>
      <c r="EO2161"/>
      <c r="EP2161"/>
      <c r="EQ2161"/>
      <c r="ER2161"/>
      <c r="ES2161"/>
      <c r="ET2161"/>
      <c r="EU2161"/>
      <c r="EV2161"/>
      <c r="EW2161"/>
    </row>
    <row r="2162" spans="2:153">
      <c r="B2162" s="975" t="s">
        <v>57</v>
      </c>
      <c r="C2162" s="3" t="s">
        <v>1559</v>
      </c>
      <c r="D2162" s="3">
        <v>300021203</v>
      </c>
      <c r="E2162" s="11" t="s">
        <v>1583</v>
      </c>
      <c r="F2162" s="3">
        <v>1</v>
      </c>
      <c r="G2162" s="3" t="s">
        <v>60</v>
      </c>
      <c r="H2162" s="7"/>
      <c r="I2162" s="786">
        <v>437.4</v>
      </c>
      <c r="J2162" s="984"/>
      <c r="K2162" s="3" t="s">
        <v>2327</v>
      </c>
      <c r="L2162" s="958">
        <v>45429</v>
      </c>
      <c r="M2162" s="7"/>
      <c r="N2162" s="7"/>
      <c r="O2162" s="3" t="s">
        <v>62</v>
      </c>
      <c r="P2162" s="3" t="s">
        <v>1584</v>
      </c>
      <c r="Q2162" s="7"/>
      <c r="R2162" s="3" t="s">
        <v>130</v>
      </c>
      <c r="S2162" s="7"/>
      <c r="T2162" s="786">
        <v>330</v>
      </c>
      <c r="U2162" s="988"/>
      <c r="V2162" s="4" t="s">
        <v>2327</v>
      </c>
      <c r="W2162" s="890">
        <v>45428</v>
      </c>
      <c r="X2162" s="957"/>
      <c r="Y2162" s="957"/>
      <c r="Z2162" s="3" t="s">
        <v>62</v>
      </c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</row>
    <row r="2163" spans="2:153">
      <c r="B2163" s="975" t="s">
        <v>57</v>
      </c>
      <c r="C2163" s="3" t="s">
        <v>1559</v>
      </c>
      <c r="D2163" s="3">
        <v>300021204</v>
      </c>
      <c r="E2163" s="11" t="s">
        <v>1585</v>
      </c>
      <c r="F2163" s="3">
        <v>2</v>
      </c>
      <c r="G2163" s="3" t="s">
        <v>60</v>
      </c>
      <c r="H2163" s="7"/>
      <c r="I2163" s="786">
        <v>441.3</v>
      </c>
      <c r="J2163" s="984"/>
      <c r="K2163" s="3" t="s">
        <v>2327</v>
      </c>
      <c r="L2163" s="958">
        <v>45429</v>
      </c>
      <c r="M2163" s="7"/>
      <c r="N2163" s="7"/>
      <c r="O2163" s="3" t="s">
        <v>62</v>
      </c>
      <c r="P2163" s="3" t="s">
        <v>1586</v>
      </c>
      <c r="Q2163" s="7"/>
      <c r="R2163" s="3" t="s">
        <v>130</v>
      </c>
      <c r="S2163" s="989"/>
      <c r="T2163" s="786">
        <v>329.9</v>
      </c>
      <c r="U2163" s="989"/>
      <c r="V2163" s="4" t="s">
        <v>2327</v>
      </c>
      <c r="W2163" s="890">
        <v>45428</v>
      </c>
      <c r="X2163" s="957"/>
      <c r="Y2163" s="957"/>
      <c r="Z2163" s="3" t="s">
        <v>62</v>
      </c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</row>
    <row r="2164" spans="2:153">
      <c r="B2164" s="975" t="s">
        <v>57</v>
      </c>
      <c r="C2164" s="3" t="s">
        <v>1559</v>
      </c>
      <c r="D2164" s="3">
        <v>300021205</v>
      </c>
      <c r="E2164" s="11" t="s">
        <v>1587</v>
      </c>
      <c r="F2164" s="3">
        <v>3</v>
      </c>
      <c r="G2164" s="3" t="s">
        <v>60</v>
      </c>
      <c r="H2164" s="7"/>
      <c r="I2164" s="786">
        <v>442.6</v>
      </c>
      <c r="J2164" s="984"/>
      <c r="K2164" s="3" t="s">
        <v>2327</v>
      </c>
      <c r="L2164" s="958">
        <v>45429</v>
      </c>
      <c r="M2164" s="7"/>
      <c r="N2164" s="7"/>
      <c r="O2164" s="3" t="s">
        <v>62</v>
      </c>
      <c r="P2164" s="3" t="s">
        <v>1588</v>
      </c>
      <c r="Q2164" s="7"/>
      <c r="R2164" s="3" t="s">
        <v>130</v>
      </c>
      <c r="S2164" s="7"/>
      <c r="T2164" s="786">
        <v>330</v>
      </c>
      <c r="U2164" s="7"/>
      <c r="V2164" s="4" t="s">
        <v>2327</v>
      </c>
      <c r="W2164" s="890">
        <v>45429</v>
      </c>
      <c r="X2164" s="957"/>
      <c r="Y2164" s="957"/>
      <c r="Z2164" s="3" t="s">
        <v>62</v>
      </c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</row>
    <row r="2165" spans="2:153">
      <c r="B2165" s="975" t="s">
        <v>57</v>
      </c>
      <c r="C2165" s="3" t="s">
        <v>1559</v>
      </c>
      <c r="D2165" s="3">
        <v>300021206</v>
      </c>
      <c r="E2165" s="11" t="s">
        <v>1589</v>
      </c>
      <c r="F2165" s="3">
        <v>4</v>
      </c>
      <c r="G2165" s="3" t="s">
        <v>60</v>
      </c>
      <c r="H2165" s="7"/>
      <c r="I2165" s="786">
        <v>445.6</v>
      </c>
      <c r="J2165" s="984"/>
      <c r="K2165" s="3" t="s">
        <v>2327</v>
      </c>
      <c r="L2165" s="958">
        <v>45429</v>
      </c>
      <c r="M2165" s="7"/>
      <c r="N2165" s="7"/>
      <c r="O2165" s="3" t="s">
        <v>62</v>
      </c>
      <c r="P2165" s="3" t="s">
        <v>1590</v>
      </c>
      <c r="Q2165" s="7"/>
      <c r="R2165" s="3" t="s">
        <v>130</v>
      </c>
      <c r="S2165" s="7"/>
      <c r="T2165" s="786">
        <v>330</v>
      </c>
      <c r="U2165" s="7"/>
      <c r="V2165" s="4" t="s">
        <v>2327</v>
      </c>
      <c r="W2165" s="890">
        <v>45429</v>
      </c>
      <c r="X2165" s="957"/>
      <c r="Y2165" s="957"/>
      <c r="Z2165" s="3" t="s">
        <v>62</v>
      </c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</row>
    <row r="2166" spans="2:153" s="707" customFormat="1">
      <c r="B2166" s="978"/>
      <c r="C2166" s="807" t="s">
        <v>3451</v>
      </c>
      <c r="D2166" s="822"/>
      <c r="E2166" s="979"/>
      <c r="F2166" s="9"/>
      <c r="G2166" s="980"/>
      <c r="H2166" s="912"/>
      <c r="I2166" s="980"/>
      <c r="J2166" s="912"/>
      <c r="K2166" s="807"/>
      <c r="L2166" s="983"/>
      <c r="M2166" s="819"/>
      <c r="N2166" s="819"/>
      <c r="O2166" s="807"/>
      <c r="P2166" s="982"/>
      <c r="Q2166" s="982"/>
      <c r="R2166" s="912"/>
      <c r="S2166" s="985"/>
      <c r="T2166" s="912"/>
      <c r="U2166" s="985"/>
      <c r="V2166" s="985"/>
      <c r="W2166" s="987"/>
      <c r="X2166" s="986"/>
      <c r="Y2166" s="986"/>
      <c r="Z2166" s="986"/>
      <c r="AA2166" s="986"/>
      <c r="AB2166" s="986"/>
      <c r="AC2166" s="986"/>
      <c r="AD2166" s="986"/>
      <c r="AE2166" s="986"/>
      <c r="AF2166" s="986"/>
      <c r="AG2166" s="986"/>
      <c r="AH2166" s="986"/>
      <c r="AI2166" s="986"/>
      <c r="AJ2166" s="986"/>
      <c r="AK2166" s="986"/>
      <c r="AL2166" s="986"/>
      <c r="AM2166" s="991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  <c r="CE2166"/>
      <c r="CF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  <c r="CX2166"/>
      <c r="CY2166"/>
      <c r="CZ2166"/>
      <c r="DA2166"/>
      <c r="DB2166"/>
      <c r="DC2166"/>
      <c r="DD2166"/>
      <c r="DE2166"/>
      <c r="DF2166"/>
      <c r="DG2166"/>
      <c r="DH2166"/>
      <c r="DI2166"/>
      <c r="DJ2166"/>
      <c r="DK2166"/>
      <c r="DL2166"/>
      <c r="DM2166"/>
      <c r="DN2166"/>
      <c r="DO2166"/>
      <c r="DP2166"/>
      <c r="DQ2166"/>
      <c r="DR2166"/>
      <c r="DS2166"/>
      <c r="DT2166"/>
      <c r="DU2166"/>
      <c r="DV2166"/>
      <c r="DW2166"/>
      <c r="DX2166"/>
      <c r="DY2166"/>
      <c r="DZ2166"/>
      <c r="EA2166"/>
      <c r="EB2166"/>
      <c r="EC2166"/>
      <c r="ED2166"/>
      <c r="EE2166"/>
      <c r="EF2166"/>
      <c r="EG2166"/>
      <c r="EH2166"/>
      <c r="EI2166"/>
      <c r="EJ2166"/>
      <c r="EK2166"/>
      <c r="EL2166"/>
      <c r="EM2166"/>
      <c r="EN2166"/>
      <c r="EO2166"/>
      <c r="EP2166"/>
      <c r="EQ2166"/>
      <c r="ER2166"/>
      <c r="ES2166"/>
      <c r="ET2166"/>
      <c r="EU2166"/>
      <c r="EV2166"/>
      <c r="EW2166"/>
    </row>
    <row r="2167" spans="2:153">
      <c r="B2167" s="975" t="s">
        <v>433</v>
      </c>
      <c r="C2167" s="3" t="s">
        <v>1559</v>
      </c>
      <c r="D2167" s="3">
        <v>300021407</v>
      </c>
      <c r="E2167" s="11" t="s">
        <v>1591</v>
      </c>
      <c r="F2167" s="3">
        <v>1</v>
      </c>
      <c r="G2167" s="3" t="s">
        <v>60</v>
      </c>
      <c r="H2167" s="7"/>
      <c r="I2167" s="858">
        <v>438.7</v>
      </c>
      <c r="J2167" s="984"/>
      <c r="K2167" s="3" t="s">
        <v>2512</v>
      </c>
      <c r="L2167" s="958">
        <v>45476</v>
      </c>
      <c r="M2167" s="7"/>
      <c r="N2167" s="7"/>
      <c r="O2167" s="3" t="s">
        <v>62</v>
      </c>
      <c r="P2167" s="3" t="s">
        <v>1592</v>
      </c>
      <c r="Q2167" s="7"/>
      <c r="R2167" s="3" t="s">
        <v>130</v>
      </c>
      <c r="S2167" s="7"/>
      <c r="T2167" s="858">
        <v>330.2</v>
      </c>
      <c r="U2167" s="7"/>
      <c r="V2167" s="4" t="s">
        <v>2512</v>
      </c>
      <c r="W2167" s="890">
        <v>45477</v>
      </c>
      <c r="X2167" s="957"/>
      <c r="Y2167" s="957"/>
      <c r="Z2167" s="3" t="s">
        <v>62</v>
      </c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</row>
    <row r="2168" spans="2:153">
      <c r="B2168" s="975" t="s">
        <v>433</v>
      </c>
      <c r="C2168" s="3" t="s">
        <v>1559</v>
      </c>
      <c r="D2168" s="3">
        <v>300021408</v>
      </c>
      <c r="E2168" s="11" t="s">
        <v>1593</v>
      </c>
      <c r="F2168" s="3">
        <v>2</v>
      </c>
      <c r="G2168" s="3" t="s">
        <v>60</v>
      </c>
      <c r="H2168" s="7"/>
      <c r="I2168" s="858">
        <v>437</v>
      </c>
      <c r="J2168" s="984"/>
      <c r="K2168" s="3" t="s">
        <v>2512</v>
      </c>
      <c r="L2168" s="958">
        <v>45476</v>
      </c>
      <c r="M2168" s="7"/>
      <c r="N2168" s="7"/>
      <c r="O2168" s="3" t="s">
        <v>62</v>
      </c>
      <c r="P2168" s="3" t="s">
        <v>1594</v>
      </c>
      <c r="Q2168" s="7"/>
      <c r="R2168" s="3" t="s">
        <v>130</v>
      </c>
      <c r="S2168" s="7"/>
      <c r="T2168" s="858">
        <v>329.7</v>
      </c>
      <c r="U2168" s="7"/>
      <c r="V2168" s="4" t="s">
        <v>2512</v>
      </c>
      <c r="W2168" s="890">
        <v>45478</v>
      </c>
      <c r="X2168" s="957"/>
      <c r="Y2168" s="957"/>
      <c r="Z2168" s="3" t="s">
        <v>62</v>
      </c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</row>
    <row r="2169" spans="2:153">
      <c r="B2169" s="975" t="s">
        <v>433</v>
      </c>
      <c r="C2169" s="3" t="s">
        <v>1559</v>
      </c>
      <c r="D2169" s="3">
        <v>300021409</v>
      </c>
      <c r="E2169" s="11" t="s">
        <v>1595</v>
      </c>
      <c r="F2169" s="3">
        <v>3</v>
      </c>
      <c r="G2169" s="3" t="s">
        <v>60</v>
      </c>
      <c r="H2169" s="7"/>
      <c r="I2169" s="858">
        <f>145.59+147.99+150.08</f>
        <v>443.66000000000008</v>
      </c>
      <c r="J2169" s="984"/>
      <c r="K2169" s="3" t="s">
        <v>2512</v>
      </c>
      <c r="L2169" s="958">
        <v>45476</v>
      </c>
      <c r="M2169" s="7"/>
      <c r="N2169" s="7"/>
      <c r="O2169" s="3" t="s">
        <v>62</v>
      </c>
      <c r="P2169" s="3" t="s">
        <v>1596</v>
      </c>
      <c r="Q2169" s="7"/>
      <c r="R2169" s="3" t="s">
        <v>130</v>
      </c>
      <c r="S2169" s="7"/>
      <c r="T2169" s="858">
        <v>330.3</v>
      </c>
      <c r="U2169" s="7"/>
      <c r="V2169" s="4" t="s">
        <v>2512</v>
      </c>
      <c r="W2169" s="890">
        <v>45478</v>
      </c>
      <c r="X2169" s="957"/>
      <c r="Y2169" s="957"/>
      <c r="Z2169" s="3" t="s">
        <v>62</v>
      </c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</row>
    <row r="2170" spans="2:153">
      <c r="B2170" s="975" t="s">
        <v>433</v>
      </c>
      <c r="C2170" s="3" t="s">
        <v>1559</v>
      </c>
      <c r="D2170" s="3">
        <v>300021410</v>
      </c>
      <c r="E2170" s="11" t="s">
        <v>1597</v>
      </c>
      <c r="F2170" s="3">
        <v>4</v>
      </c>
      <c r="G2170" s="3" t="s">
        <v>60</v>
      </c>
      <c r="H2170" s="7"/>
      <c r="I2170" s="865">
        <f>142.1+147.2+149</f>
        <v>438.29999999999995</v>
      </c>
      <c r="J2170" s="984"/>
      <c r="K2170" s="3" t="s">
        <v>2512</v>
      </c>
      <c r="L2170" s="958">
        <v>45477</v>
      </c>
      <c r="M2170" s="7"/>
      <c r="N2170" s="7"/>
      <c r="O2170" s="3" t="s">
        <v>62</v>
      </c>
      <c r="P2170" s="3" t="s">
        <v>1598</v>
      </c>
      <c r="Q2170" s="7"/>
      <c r="R2170" s="3" t="s">
        <v>130</v>
      </c>
      <c r="S2170" s="7"/>
      <c r="T2170" s="858">
        <v>330</v>
      </c>
      <c r="U2170" s="7"/>
      <c r="V2170" s="4" t="s">
        <v>2512</v>
      </c>
      <c r="W2170" s="890">
        <v>45478</v>
      </c>
      <c r="X2170" s="957"/>
      <c r="Y2170" s="957"/>
      <c r="Z2170" s="3" t="s">
        <v>62</v>
      </c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</row>
    <row r="2171" spans="2:153">
      <c r="B2171" s="975" t="s">
        <v>433</v>
      </c>
      <c r="C2171" s="3" t="s">
        <v>1559</v>
      </c>
      <c r="D2171" s="3">
        <v>300021411</v>
      </c>
      <c r="E2171" s="11" t="s">
        <v>1599</v>
      </c>
      <c r="F2171" s="3">
        <v>5</v>
      </c>
      <c r="G2171" s="3" t="s">
        <v>60</v>
      </c>
      <c r="H2171" s="7"/>
      <c r="I2171" s="858">
        <f>148.78+144.2+147.3</f>
        <v>440.28000000000003</v>
      </c>
      <c r="J2171" s="984"/>
      <c r="K2171" s="3" t="s">
        <v>2512</v>
      </c>
      <c r="L2171" s="958">
        <v>45481</v>
      </c>
      <c r="M2171" s="7"/>
      <c r="N2171" s="7"/>
      <c r="O2171" s="3" t="s">
        <v>62</v>
      </c>
      <c r="P2171" s="785" t="s">
        <v>1600</v>
      </c>
      <c r="Q2171" s="7"/>
      <c r="R2171" s="3" t="s">
        <v>130</v>
      </c>
      <c r="S2171" s="7"/>
      <c r="T2171" s="865">
        <v>330.3</v>
      </c>
      <c r="U2171" s="7"/>
      <c r="V2171" s="4" t="s">
        <v>2512</v>
      </c>
      <c r="W2171" s="890">
        <v>45481</v>
      </c>
      <c r="X2171" s="957"/>
      <c r="Y2171" s="957"/>
      <c r="Z2171" s="3" t="s">
        <v>62</v>
      </c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</row>
    <row r="2172" spans="2:153">
      <c r="B2172" s="975" t="s">
        <v>433</v>
      </c>
      <c r="C2172" s="3" t="s">
        <v>1559</v>
      </c>
      <c r="D2172" s="3">
        <v>300021412</v>
      </c>
      <c r="E2172" s="11" t="s">
        <v>1601</v>
      </c>
      <c r="F2172" s="3">
        <v>6</v>
      </c>
      <c r="G2172" s="3" t="s">
        <v>60</v>
      </c>
      <c r="H2172" s="7"/>
      <c r="I2172" s="858">
        <f>147.7+147.2+145.9</f>
        <v>440.79999999999995</v>
      </c>
      <c r="J2172" s="984"/>
      <c r="K2172" s="3" t="s">
        <v>2512</v>
      </c>
      <c r="L2172" s="958">
        <v>45482</v>
      </c>
      <c r="M2172" s="7"/>
      <c r="N2172" s="7"/>
      <c r="O2172" s="3" t="s">
        <v>62</v>
      </c>
      <c r="P2172" s="785" t="s">
        <v>1602</v>
      </c>
      <c r="Q2172" s="7"/>
      <c r="R2172" s="3" t="s">
        <v>130</v>
      </c>
      <c r="S2172" s="7"/>
      <c r="T2172" s="865">
        <v>330.2</v>
      </c>
      <c r="U2172" s="7"/>
      <c r="V2172" s="4" t="s">
        <v>2512</v>
      </c>
      <c r="W2172" s="890">
        <v>45481</v>
      </c>
      <c r="X2172" s="957"/>
      <c r="Y2172" s="957"/>
      <c r="Z2172" s="3" t="s">
        <v>62</v>
      </c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</row>
    <row r="2173" spans="2:153">
      <c r="B2173" s="975" t="s">
        <v>433</v>
      </c>
      <c r="C2173" s="3" t="s">
        <v>1559</v>
      </c>
      <c r="D2173" s="3">
        <v>300021413</v>
      </c>
      <c r="E2173" s="11" t="s">
        <v>1603</v>
      </c>
      <c r="F2173" s="3">
        <v>7</v>
      </c>
      <c r="G2173" s="3" t="s">
        <v>60</v>
      </c>
      <c r="H2173" s="7"/>
      <c r="I2173" s="858">
        <v>441.1</v>
      </c>
      <c r="J2173" s="984"/>
      <c r="K2173" s="3" t="s">
        <v>2512</v>
      </c>
      <c r="L2173" s="958">
        <v>45482</v>
      </c>
      <c r="M2173" s="7"/>
      <c r="N2173" s="7"/>
      <c r="O2173" s="3" t="s">
        <v>62</v>
      </c>
      <c r="P2173" s="3" t="s">
        <v>1604</v>
      </c>
      <c r="Q2173" s="7"/>
      <c r="R2173" s="3" t="s">
        <v>130</v>
      </c>
      <c r="S2173" s="7"/>
      <c r="T2173" s="865">
        <v>330.2</v>
      </c>
      <c r="U2173" s="7"/>
      <c r="V2173" s="4" t="s">
        <v>2512</v>
      </c>
      <c r="W2173" s="890">
        <v>45481</v>
      </c>
      <c r="X2173" s="957"/>
      <c r="Y2173" s="957"/>
      <c r="Z2173" s="3" t="s">
        <v>62</v>
      </c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</row>
    <row r="2174" spans="2:153">
      <c r="B2174" s="975" t="s">
        <v>433</v>
      </c>
      <c r="C2174" s="3" t="s">
        <v>1559</v>
      </c>
      <c r="D2174" s="3">
        <v>300021414</v>
      </c>
      <c r="E2174" s="11" t="s">
        <v>1605</v>
      </c>
      <c r="F2174" s="3">
        <v>8</v>
      </c>
      <c r="G2174" s="3" t="s">
        <v>60</v>
      </c>
      <c r="H2174" s="7"/>
      <c r="I2174" s="865">
        <f>145.5+149.5+146.9</f>
        <v>441.9</v>
      </c>
      <c r="J2174" s="984"/>
      <c r="K2174" s="3" t="s">
        <v>2512</v>
      </c>
      <c r="L2174" s="958">
        <v>45482</v>
      </c>
      <c r="M2174" s="7"/>
      <c r="N2174" s="7"/>
      <c r="O2174" s="3" t="s">
        <v>62</v>
      </c>
      <c r="P2174" s="785" t="s">
        <v>1606</v>
      </c>
      <c r="Q2174" s="7"/>
      <c r="R2174" s="3" t="s">
        <v>130</v>
      </c>
      <c r="S2174" s="7"/>
      <c r="T2174" s="858">
        <v>329.8</v>
      </c>
      <c r="U2174" s="7"/>
      <c r="V2174" s="4" t="s">
        <v>2512</v>
      </c>
      <c r="W2174" s="890">
        <v>45482</v>
      </c>
      <c r="X2174" s="957"/>
      <c r="Y2174" s="957"/>
      <c r="Z2174" s="3" t="s">
        <v>62</v>
      </c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</row>
    <row r="2175" spans="2:153">
      <c r="B2175" s="975" t="s">
        <v>433</v>
      </c>
      <c r="C2175" s="3" t="s">
        <v>1559</v>
      </c>
      <c r="D2175" s="3">
        <v>300021415</v>
      </c>
      <c r="E2175" s="11" t="s">
        <v>1607</v>
      </c>
      <c r="F2175" s="3">
        <v>9</v>
      </c>
      <c r="G2175" s="3" t="s">
        <v>60</v>
      </c>
      <c r="H2175" s="7"/>
      <c r="I2175" s="865">
        <f>143.6+147.6+151.2</f>
        <v>442.4</v>
      </c>
      <c r="J2175" s="984"/>
      <c r="K2175" s="3" t="s">
        <v>2512</v>
      </c>
      <c r="L2175" s="958">
        <v>45482</v>
      </c>
      <c r="M2175" s="7"/>
      <c r="N2175" s="7"/>
      <c r="O2175" s="3" t="s">
        <v>62</v>
      </c>
      <c r="P2175" s="3" t="s">
        <v>1608</v>
      </c>
      <c r="Q2175" s="7"/>
      <c r="R2175" s="3" t="s">
        <v>130</v>
      </c>
      <c r="S2175" s="7"/>
      <c r="T2175" s="858">
        <v>330.1</v>
      </c>
      <c r="U2175" s="7"/>
      <c r="V2175" s="4" t="s">
        <v>2512</v>
      </c>
      <c r="W2175" s="890">
        <v>45483</v>
      </c>
      <c r="X2175" s="957"/>
      <c r="Y2175" s="957"/>
      <c r="Z2175" s="3" t="s">
        <v>62</v>
      </c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</row>
    <row r="2176" spans="2:153">
      <c r="B2176" s="975" t="s">
        <v>433</v>
      </c>
      <c r="C2176" s="3" t="s">
        <v>1559</v>
      </c>
      <c r="D2176" s="3">
        <v>300021416</v>
      </c>
      <c r="E2176" s="11" t="s">
        <v>1609</v>
      </c>
      <c r="F2176" s="3">
        <v>10</v>
      </c>
      <c r="G2176" s="3" t="s">
        <v>60</v>
      </c>
      <c r="H2176" s="7"/>
      <c r="I2176" s="858">
        <v>440.5</v>
      </c>
      <c r="J2176" s="984"/>
      <c r="K2176" s="3" t="s">
        <v>2512</v>
      </c>
      <c r="L2176" s="958">
        <v>45483</v>
      </c>
      <c r="M2176" s="7"/>
      <c r="N2176" s="7"/>
      <c r="O2176" s="3" t="s">
        <v>62</v>
      </c>
      <c r="P2176" s="785" t="s">
        <v>1610</v>
      </c>
      <c r="Q2176" s="7"/>
      <c r="R2176" s="3" t="s">
        <v>130</v>
      </c>
      <c r="S2176" s="7"/>
      <c r="T2176" s="858">
        <v>330.1</v>
      </c>
      <c r="U2176" s="7"/>
      <c r="V2176" s="4" t="s">
        <v>2512</v>
      </c>
      <c r="W2176" s="890">
        <v>45483</v>
      </c>
      <c r="X2176" s="957"/>
      <c r="Y2176" s="957"/>
      <c r="Z2176" s="3" t="s">
        <v>62</v>
      </c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</row>
    <row r="2177" spans="1:39">
      <c r="B2177" s="975" t="s">
        <v>433</v>
      </c>
      <c r="C2177" s="3" t="s">
        <v>1559</v>
      </c>
      <c r="D2177" s="3">
        <v>300021467</v>
      </c>
      <c r="E2177" s="11" t="s">
        <v>1611</v>
      </c>
      <c r="F2177" s="3">
        <v>11</v>
      </c>
      <c r="G2177" s="3" t="s">
        <v>60</v>
      </c>
      <c r="H2177" s="7"/>
      <c r="I2177" s="858">
        <v>441.7</v>
      </c>
      <c r="J2177" s="984"/>
      <c r="K2177" s="3" t="s">
        <v>2512</v>
      </c>
      <c r="L2177" s="958">
        <v>45483</v>
      </c>
      <c r="M2177" s="7"/>
      <c r="N2177" s="7"/>
      <c r="O2177" s="3" t="s">
        <v>62</v>
      </c>
      <c r="P2177" s="860" t="s">
        <v>1612</v>
      </c>
      <c r="Q2177" s="7"/>
      <c r="R2177" s="3" t="s">
        <v>130</v>
      </c>
      <c r="S2177" s="7"/>
      <c r="T2177" s="858">
        <v>330.2</v>
      </c>
      <c r="U2177" s="7"/>
      <c r="V2177" s="4" t="s">
        <v>2512</v>
      </c>
      <c r="W2177" s="890">
        <v>45483</v>
      </c>
      <c r="X2177" s="957"/>
      <c r="Y2177" s="957"/>
      <c r="Z2177" s="3" t="s">
        <v>62</v>
      </c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</row>
    <row r="2178" spans="1:39">
      <c r="B2178" s="975" t="s">
        <v>433</v>
      </c>
      <c r="C2178" s="3" t="s">
        <v>1559</v>
      </c>
      <c r="D2178" s="3">
        <v>300021468</v>
      </c>
      <c r="E2178" s="11" t="s">
        <v>1613</v>
      </c>
      <c r="F2178" s="3">
        <v>12</v>
      </c>
      <c r="G2178" s="3" t="s">
        <v>60</v>
      </c>
      <c r="H2178" s="7"/>
      <c r="I2178" s="858">
        <f>147.4+143.3+148.4</f>
        <v>439.1</v>
      </c>
      <c r="J2178" s="984"/>
      <c r="K2178" s="3" t="s">
        <v>2512</v>
      </c>
      <c r="L2178" s="958">
        <v>45483</v>
      </c>
      <c r="M2178" s="7"/>
      <c r="N2178" s="7"/>
      <c r="O2178" s="3" t="s">
        <v>62</v>
      </c>
      <c r="P2178" s="3" t="s">
        <v>1614</v>
      </c>
      <c r="Q2178" s="7"/>
      <c r="R2178" s="3" t="s">
        <v>130</v>
      </c>
      <c r="S2178" s="7"/>
      <c r="T2178" s="858">
        <v>330.3</v>
      </c>
      <c r="U2178" s="7"/>
      <c r="V2178" s="4" t="s">
        <v>2512</v>
      </c>
      <c r="W2178" s="890">
        <v>45483</v>
      </c>
      <c r="X2178" s="957"/>
      <c r="Y2178" s="957"/>
      <c r="Z2178" s="3" t="s">
        <v>62</v>
      </c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</row>
    <row r="2179" spans="1:39">
      <c r="B2179" s="975" t="s">
        <v>433</v>
      </c>
      <c r="C2179" s="3" t="s">
        <v>1559</v>
      </c>
      <c r="D2179" s="3">
        <v>300021469</v>
      </c>
      <c r="E2179" s="11" t="s">
        <v>1615</v>
      </c>
      <c r="F2179" s="3">
        <v>13</v>
      </c>
      <c r="G2179" s="3" t="s">
        <v>60</v>
      </c>
      <c r="H2179" s="7"/>
      <c r="I2179" s="858">
        <v>447.2</v>
      </c>
      <c r="J2179" s="984"/>
      <c r="K2179" s="3" t="s">
        <v>2512</v>
      </c>
      <c r="L2179" s="958">
        <v>45483</v>
      </c>
      <c r="M2179" s="7"/>
      <c r="N2179" s="7"/>
      <c r="O2179" s="3" t="s">
        <v>62</v>
      </c>
      <c r="P2179" s="3" t="s">
        <v>1616</v>
      </c>
      <c r="Q2179" s="7"/>
      <c r="R2179" s="3" t="s">
        <v>130</v>
      </c>
      <c r="S2179" s="7"/>
      <c r="T2179" s="865">
        <v>330</v>
      </c>
      <c r="U2179" s="7"/>
      <c r="V2179" s="4" t="s">
        <v>2512</v>
      </c>
      <c r="W2179" s="761">
        <v>45484</v>
      </c>
      <c r="X2179" s="957"/>
      <c r="Y2179" s="957"/>
      <c r="Z2179" s="3" t="s">
        <v>62</v>
      </c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</row>
    <row r="2180" spans="1:39" s="707" customFormat="1" ht="27" customHeight="1">
      <c r="A2180"/>
      <c r="B2180" s="976"/>
      <c r="C2180" s="960" t="s">
        <v>1618</v>
      </c>
      <c r="D2180" s="1584"/>
      <c r="E2180" s="1585"/>
      <c r="F2180" s="1585"/>
      <c r="G2180" s="1585"/>
      <c r="H2180" s="1585"/>
      <c r="I2180" s="1585"/>
      <c r="J2180" s="1585"/>
      <c r="K2180" s="1585"/>
      <c r="L2180" s="1585"/>
      <c r="M2180" s="1585"/>
      <c r="N2180" s="1585"/>
      <c r="O2180" s="1585"/>
      <c r="P2180" s="1585"/>
      <c r="Q2180" s="1585"/>
      <c r="R2180" s="1585"/>
      <c r="S2180" s="1585"/>
      <c r="T2180" s="1585"/>
      <c r="U2180" s="1585"/>
      <c r="V2180" s="1585"/>
      <c r="W2180" s="1585"/>
      <c r="X2180" s="1585"/>
      <c r="Y2180" s="1585"/>
      <c r="Z2180" s="1585"/>
      <c r="AA2180" s="1585"/>
      <c r="AB2180" s="1585"/>
      <c r="AC2180" s="1585"/>
      <c r="AD2180" s="1585"/>
      <c r="AE2180" s="1585"/>
      <c r="AF2180" s="1585"/>
      <c r="AG2180" s="1585"/>
      <c r="AH2180" s="1585"/>
      <c r="AI2180" s="1585"/>
      <c r="AJ2180" s="1585"/>
      <c r="AK2180" s="1585"/>
      <c r="AL2180" s="1585"/>
      <c r="AM2180" s="1586"/>
    </row>
    <row r="2181" spans="1:39">
      <c r="B2181" s="975" t="s">
        <v>100</v>
      </c>
      <c r="C2181" s="992" t="s">
        <v>1617</v>
      </c>
      <c r="D2181" s="3">
        <v>200106891</v>
      </c>
      <c r="E2181" s="11">
        <v>81814</v>
      </c>
      <c r="F2181" s="3">
        <v>1</v>
      </c>
      <c r="G2181" s="3" t="s">
        <v>1621</v>
      </c>
      <c r="H2181" s="7"/>
      <c r="I2181" s="858">
        <v>177.88</v>
      </c>
      <c r="J2181" s="984"/>
      <c r="K2181" s="3" t="s">
        <v>2556</v>
      </c>
      <c r="L2181" s="958">
        <v>45517</v>
      </c>
      <c r="M2181" s="7"/>
      <c r="N2181" s="7"/>
      <c r="O2181" s="3" t="s">
        <v>62</v>
      </c>
      <c r="P2181" s="3">
        <v>1.75</v>
      </c>
      <c r="Q2181" s="7"/>
      <c r="R2181" s="3" t="s">
        <v>130</v>
      </c>
      <c r="S2181" s="3" t="s">
        <v>905</v>
      </c>
      <c r="T2181" s="865">
        <v>179.1</v>
      </c>
      <c r="U2181" s="865">
        <v>148.41999999999999</v>
      </c>
      <c r="V2181" s="4" t="s">
        <v>2556</v>
      </c>
      <c r="W2181" s="890">
        <v>45518</v>
      </c>
      <c r="X2181" s="4" t="s">
        <v>2556</v>
      </c>
      <c r="Y2181" s="958">
        <v>45518</v>
      </c>
      <c r="Z2181" s="3" t="s">
        <v>62</v>
      </c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</row>
    <row r="2182" spans="1:39">
      <c r="B2182" s="975" t="s">
        <v>100</v>
      </c>
      <c r="C2182" s="992" t="s">
        <v>1617</v>
      </c>
      <c r="D2182" s="3">
        <v>200106892</v>
      </c>
      <c r="E2182" s="11">
        <v>81824</v>
      </c>
      <c r="F2182" s="3">
        <v>2</v>
      </c>
      <c r="G2182" s="3" t="s">
        <v>1621</v>
      </c>
      <c r="H2182" s="7"/>
      <c r="I2182" s="858">
        <v>180.32</v>
      </c>
      <c r="J2182" s="984"/>
      <c r="K2182" s="3" t="s">
        <v>2556</v>
      </c>
      <c r="L2182" s="958">
        <v>45525</v>
      </c>
      <c r="M2182" s="7"/>
      <c r="N2182" s="7"/>
      <c r="O2182" s="3" t="s">
        <v>62</v>
      </c>
      <c r="P2182" s="3">
        <v>1.52</v>
      </c>
      <c r="Q2182" s="7"/>
      <c r="R2182" s="3" t="s">
        <v>130</v>
      </c>
      <c r="S2182" s="3" t="s">
        <v>905</v>
      </c>
      <c r="T2182" s="858">
        <v>187.8</v>
      </c>
      <c r="U2182" s="865">
        <v>148.5</v>
      </c>
      <c r="V2182" s="4" t="s">
        <v>2556</v>
      </c>
      <c r="W2182" s="890">
        <v>45526</v>
      </c>
      <c r="X2182" s="4" t="s">
        <v>2556</v>
      </c>
      <c r="Y2182" s="958">
        <v>45525</v>
      </c>
      <c r="Z2182" s="3" t="s">
        <v>62</v>
      </c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</row>
    <row r="2183" spans="1:39">
      <c r="B2183" s="975" t="s">
        <v>100</v>
      </c>
      <c r="C2183" s="992" t="s">
        <v>1617</v>
      </c>
      <c r="D2183" s="3">
        <v>200106893</v>
      </c>
      <c r="E2183" s="11">
        <v>81834</v>
      </c>
      <c r="F2183" s="3">
        <v>3</v>
      </c>
      <c r="G2183" s="3" t="s">
        <v>1621</v>
      </c>
      <c r="H2183" s="7"/>
      <c r="I2183" s="858">
        <v>187</v>
      </c>
      <c r="J2183" s="984"/>
      <c r="K2183" s="3" t="s">
        <v>2556</v>
      </c>
      <c r="L2183" s="958">
        <v>45525</v>
      </c>
      <c r="M2183" s="7"/>
      <c r="N2183" s="7"/>
      <c r="O2183" s="3" t="s">
        <v>62</v>
      </c>
      <c r="P2183" s="3">
        <v>1.55</v>
      </c>
      <c r="Q2183" s="7"/>
      <c r="R2183" s="3" t="s">
        <v>130</v>
      </c>
      <c r="S2183" s="3" t="s">
        <v>905</v>
      </c>
      <c r="T2183" s="858">
        <v>180.6</v>
      </c>
      <c r="U2183" s="865">
        <v>148.5</v>
      </c>
      <c r="V2183" s="4" t="s">
        <v>2556</v>
      </c>
      <c r="W2183" s="890">
        <v>45526</v>
      </c>
      <c r="X2183" s="4" t="s">
        <v>2556</v>
      </c>
      <c r="Y2183" s="958">
        <v>45525</v>
      </c>
      <c r="Z2183" s="3" t="s">
        <v>62</v>
      </c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</row>
    <row r="2184" spans="1:39" s="707" customFormat="1" ht="27" customHeight="1">
      <c r="A2184"/>
      <c r="B2184" s="976"/>
      <c r="C2184" s="960" t="s">
        <v>1323</v>
      </c>
      <c r="D2184" s="1584"/>
      <c r="E2184" s="1585"/>
      <c r="F2184" s="1585"/>
      <c r="G2184" s="1585"/>
      <c r="H2184" s="1585"/>
      <c r="I2184" s="1585"/>
      <c r="J2184" s="1585"/>
      <c r="K2184" s="1585"/>
      <c r="L2184" s="1585"/>
      <c r="M2184" s="1585"/>
      <c r="N2184" s="1585"/>
      <c r="O2184" s="1585"/>
      <c r="P2184" s="1585"/>
      <c r="Q2184" s="1585"/>
      <c r="R2184" s="1585"/>
      <c r="S2184" s="1585"/>
      <c r="T2184" s="1585"/>
      <c r="U2184" s="1585"/>
      <c r="V2184" s="1585"/>
      <c r="W2184" s="1585"/>
      <c r="X2184" s="1585"/>
      <c r="Y2184" s="1585"/>
      <c r="Z2184" s="1585"/>
      <c r="AA2184" s="1585"/>
      <c r="AB2184" s="1585"/>
      <c r="AC2184" s="1585"/>
      <c r="AD2184" s="1585"/>
      <c r="AE2184" s="1585"/>
      <c r="AF2184" s="1585"/>
      <c r="AG2184" s="1585"/>
      <c r="AH2184" s="1585"/>
      <c r="AI2184" s="1585"/>
      <c r="AJ2184" s="1585"/>
      <c r="AK2184" s="1585"/>
      <c r="AL2184" s="1585"/>
      <c r="AM2184" s="1586"/>
    </row>
    <row r="2185" spans="1:39">
      <c r="B2185" s="975" t="s">
        <v>125</v>
      </c>
      <c r="C2185" s="993" t="s">
        <v>5595</v>
      </c>
      <c r="D2185" s="994" t="s">
        <v>5596</v>
      </c>
      <c r="E2185" s="11">
        <v>10282</v>
      </c>
      <c r="F2185" s="3">
        <v>1</v>
      </c>
      <c r="G2185" s="995"/>
      <c r="H2185" s="3" t="s">
        <v>932</v>
      </c>
      <c r="I2185" s="995"/>
      <c r="J2185" s="3">
        <v>121.3</v>
      </c>
      <c r="K2185" s="995"/>
      <c r="L2185" s="995"/>
      <c r="M2185" s="761" t="s">
        <v>2067</v>
      </c>
      <c r="N2185" s="761">
        <v>44554</v>
      </c>
      <c r="O2185" s="761" t="s">
        <v>62</v>
      </c>
      <c r="P2185" s="995"/>
      <c r="Q2185" s="995"/>
      <c r="R2185" s="995"/>
      <c r="S2185" s="3"/>
      <c r="T2185" s="3"/>
      <c r="U2185" s="3"/>
      <c r="V2185" s="4"/>
      <c r="W2185" s="761"/>
      <c r="X2185" s="761"/>
      <c r="Y2185" s="761"/>
      <c r="Z2185" s="761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</row>
    <row r="2186" spans="1:39">
      <c r="B2186" s="975" t="s">
        <v>125</v>
      </c>
      <c r="C2186" s="993" t="s">
        <v>5595</v>
      </c>
      <c r="D2186" s="994" t="s">
        <v>5597</v>
      </c>
      <c r="E2186" s="11">
        <v>10292</v>
      </c>
      <c r="F2186" s="3">
        <v>2</v>
      </c>
      <c r="G2186" s="995"/>
      <c r="H2186" s="3" t="s">
        <v>932</v>
      </c>
      <c r="I2186" s="995"/>
      <c r="J2186" s="3">
        <v>121.7</v>
      </c>
      <c r="K2186" s="995"/>
      <c r="L2186" s="995"/>
      <c r="M2186" s="761" t="s">
        <v>2067</v>
      </c>
      <c r="N2186" s="761">
        <v>44554</v>
      </c>
      <c r="O2186" s="761" t="s">
        <v>62</v>
      </c>
      <c r="P2186" s="995"/>
      <c r="Q2186" s="995"/>
      <c r="R2186" s="995"/>
      <c r="S2186" s="3"/>
      <c r="T2186" s="3"/>
      <c r="U2186" s="3"/>
      <c r="V2186" s="4"/>
      <c r="W2186" s="761"/>
      <c r="X2186" s="761"/>
      <c r="Y2186" s="761"/>
      <c r="Z2186" s="761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</row>
    <row r="2187" spans="1:39">
      <c r="B2187" s="975" t="s">
        <v>125</v>
      </c>
      <c r="C2187" s="993" t="s">
        <v>5595</v>
      </c>
      <c r="D2187" s="994" t="s">
        <v>5598</v>
      </c>
      <c r="E2187" s="11">
        <v>10302</v>
      </c>
      <c r="F2187" s="3">
        <v>3</v>
      </c>
      <c r="G2187" s="995"/>
      <c r="H2187" s="3" t="s">
        <v>932</v>
      </c>
      <c r="I2187" s="995"/>
      <c r="J2187" s="3">
        <v>122.42</v>
      </c>
      <c r="K2187" s="995"/>
      <c r="L2187" s="995"/>
      <c r="M2187" s="761" t="s">
        <v>2067</v>
      </c>
      <c r="N2187" s="761">
        <v>44554</v>
      </c>
      <c r="O2187" s="761" t="s">
        <v>62</v>
      </c>
      <c r="P2187" s="995"/>
      <c r="Q2187" s="995"/>
      <c r="R2187" s="995"/>
      <c r="S2187" s="3"/>
      <c r="T2187" s="3"/>
      <c r="U2187" s="3"/>
      <c r="V2187" s="4"/>
      <c r="W2187" s="761"/>
      <c r="X2187" s="761"/>
      <c r="Y2187" s="761"/>
      <c r="Z2187" s="761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</row>
    <row r="2188" spans="1:39">
      <c r="B2188" s="975" t="s">
        <v>125</v>
      </c>
      <c r="C2188" s="993" t="s">
        <v>5595</v>
      </c>
      <c r="D2188" s="994" t="s">
        <v>5599</v>
      </c>
      <c r="E2188" s="11">
        <v>10312</v>
      </c>
      <c r="F2188" s="3">
        <v>4</v>
      </c>
      <c r="G2188" s="995"/>
      <c r="H2188" s="3" t="s">
        <v>932</v>
      </c>
      <c r="I2188" s="995"/>
      <c r="J2188" s="3">
        <v>124.18</v>
      </c>
      <c r="K2188" s="995"/>
      <c r="L2188" s="995"/>
      <c r="M2188" s="761" t="s">
        <v>2067</v>
      </c>
      <c r="N2188" s="761">
        <v>44554</v>
      </c>
      <c r="O2188" s="761" t="s">
        <v>62</v>
      </c>
      <c r="P2188" s="995"/>
      <c r="Q2188" s="995"/>
      <c r="R2188" s="995"/>
      <c r="S2188" s="3"/>
      <c r="T2188" s="3"/>
      <c r="U2188" s="3"/>
      <c r="V2188" s="4"/>
      <c r="W2188" s="761"/>
      <c r="X2188" s="761"/>
      <c r="Y2188" s="761"/>
      <c r="Z2188" s="761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</row>
    <row r="2189" spans="1:39">
      <c r="B2189" s="975" t="s">
        <v>125</v>
      </c>
      <c r="C2189" s="993" t="s">
        <v>5595</v>
      </c>
      <c r="D2189" s="994" t="s">
        <v>5600</v>
      </c>
      <c r="E2189" s="11">
        <v>10322</v>
      </c>
      <c r="F2189" s="3">
        <v>5</v>
      </c>
      <c r="G2189" s="995"/>
      <c r="H2189" s="3" t="s">
        <v>1041</v>
      </c>
      <c r="I2189" s="995"/>
      <c r="J2189" s="3">
        <v>124.16</v>
      </c>
      <c r="K2189" s="995"/>
      <c r="L2189" s="995"/>
      <c r="M2189" s="761" t="s">
        <v>2067</v>
      </c>
      <c r="N2189" s="761">
        <v>44558</v>
      </c>
      <c r="O2189" s="761" t="s">
        <v>62</v>
      </c>
      <c r="P2189" s="995"/>
      <c r="Q2189" s="995"/>
      <c r="R2189" s="995"/>
      <c r="S2189" s="3"/>
      <c r="T2189" s="3"/>
      <c r="U2189" s="3"/>
      <c r="V2189" s="4"/>
      <c r="W2189" s="761"/>
      <c r="X2189" s="761"/>
      <c r="Y2189" s="761"/>
      <c r="Z2189" s="761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</row>
    <row r="2190" spans="1:39">
      <c r="B2190" s="975" t="s">
        <v>125</v>
      </c>
      <c r="C2190" s="993" t="s">
        <v>5595</v>
      </c>
      <c r="D2190" s="996"/>
      <c r="E2190" s="11">
        <v>10962</v>
      </c>
      <c r="F2190" s="3">
        <v>6</v>
      </c>
      <c r="G2190" s="995"/>
      <c r="H2190" s="3" t="s">
        <v>1041</v>
      </c>
      <c r="I2190" s="995"/>
      <c r="J2190" s="3">
        <v>121.22</v>
      </c>
      <c r="K2190" s="995"/>
      <c r="L2190" s="995"/>
      <c r="M2190" s="761" t="s">
        <v>2067</v>
      </c>
      <c r="N2190" s="761">
        <v>44558</v>
      </c>
      <c r="O2190" s="761" t="s">
        <v>62</v>
      </c>
      <c r="P2190" s="995"/>
      <c r="Q2190" s="995"/>
      <c r="R2190" s="995"/>
      <c r="S2190" s="3"/>
      <c r="T2190" s="3"/>
      <c r="U2190" s="3"/>
      <c r="V2190" s="4"/>
      <c r="W2190" s="761"/>
      <c r="X2190" s="761"/>
      <c r="Y2190" s="761"/>
      <c r="Z2190" s="761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</row>
    <row r="2191" spans="1:39">
      <c r="B2191" s="975" t="s">
        <v>125</v>
      </c>
      <c r="C2191" s="993" t="s">
        <v>5595</v>
      </c>
      <c r="D2191" s="996"/>
      <c r="E2191" s="11">
        <v>10972</v>
      </c>
      <c r="F2191" s="3">
        <v>7</v>
      </c>
      <c r="G2191" s="995"/>
      <c r="H2191" s="3" t="s">
        <v>1041</v>
      </c>
      <c r="I2191" s="995"/>
      <c r="J2191" s="3">
        <v>122.6</v>
      </c>
      <c r="K2191" s="995"/>
      <c r="L2191" s="995"/>
      <c r="M2191" s="761" t="s">
        <v>2067</v>
      </c>
      <c r="N2191" s="761">
        <v>44558</v>
      </c>
      <c r="O2191" s="761" t="s">
        <v>62</v>
      </c>
      <c r="P2191" s="995"/>
      <c r="Q2191" s="995"/>
      <c r="R2191" s="995"/>
      <c r="S2191" s="3"/>
      <c r="T2191" s="3"/>
      <c r="U2191" s="3"/>
      <c r="V2191" s="4"/>
      <c r="W2191" s="761"/>
      <c r="X2191" s="761"/>
      <c r="Y2191" s="761"/>
      <c r="Z2191" s="761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</row>
    <row r="2192" spans="1:39">
      <c r="B2192" s="975" t="s">
        <v>125</v>
      </c>
      <c r="C2192" s="993" t="s">
        <v>5595</v>
      </c>
      <c r="D2192" s="996"/>
      <c r="E2192" s="11">
        <v>10982</v>
      </c>
      <c r="F2192" s="3">
        <v>8</v>
      </c>
      <c r="G2192" s="995"/>
      <c r="H2192" s="3" t="s">
        <v>1041</v>
      </c>
      <c r="I2192" s="995"/>
      <c r="J2192" s="3">
        <v>125.74</v>
      </c>
      <c r="K2192" s="995"/>
      <c r="L2192" s="995"/>
      <c r="M2192" s="761" t="s">
        <v>2067</v>
      </c>
      <c r="N2192" s="761">
        <v>44558</v>
      </c>
      <c r="O2192" s="761" t="s">
        <v>62</v>
      </c>
      <c r="P2192" s="995"/>
      <c r="Q2192" s="995"/>
      <c r="R2192" s="995"/>
      <c r="S2192" s="3"/>
      <c r="T2192" s="3"/>
      <c r="U2192" s="3"/>
      <c r="V2192" s="4"/>
      <c r="W2192" s="761"/>
      <c r="X2192" s="761"/>
      <c r="Y2192" s="761"/>
      <c r="Z2192" s="761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</row>
    <row r="2193" spans="2:39">
      <c r="B2193" s="975" t="s">
        <v>125</v>
      </c>
      <c r="C2193" s="993" t="s">
        <v>5595</v>
      </c>
      <c r="D2193" s="996"/>
      <c r="E2193" s="11">
        <v>10992</v>
      </c>
      <c r="F2193" s="3">
        <v>9</v>
      </c>
      <c r="G2193" s="995"/>
      <c r="H2193" s="3" t="s">
        <v>1041</v>
      </c>
      <c r="I2193" s="995"/>
      <c r="J2193" s="3">
        <v>125.14</v>
      </c>
      <c r="K2193" s="995"/>
      <c r="L2193" s="995"/>
      <c r="M2193" s="761" t="s">
        <v>2067</v>
      </c>
      <c r="N2193" s="761">
        <v>44558</v>
      </c>
      <c r="O2193" s="761" t="s">
        <v>62</v>
      </c>
      <c r="P2193" s="995"/>
      <c r="Q2193" s="995"/>
      <c r="R2193" s="995"/>
      <c r="S2193" s="3"/>
      <c r="T2193" s="3"/>
      <c r="U2193" s="3"/>
      <c r="V2193" s="4"/>
      <c r="W2193" s="761"/>
      <c r="X2193" s="761"/>
      <c r="Y2193" s="761"/>
      <c r="Z2193" s="761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</row>
    <row r="2194" spans="2:39">
      <c r="B2194" s="975" t="s">
        <v>125</v>
      </c>
      <c r="C2194" s="993" t="s">
        <v>5595</v>
      </c>
      <c r="D2194" s="12" t="s">
        <v>5601</v>
      </c>
      <c r="E2194" s="11">
        <v>11002</v>
      </c>
      <c r="F2194" s="3">
        <v>10</v>
      </c>
      <c r="G2194" s="995"/>
      <c r="H2194" s="3" t="s">
        <v>1041</v>
      </c>
      <c r="I2194" s="995"/>
      <c r="J2194" s="3">
        <v>123.18</v>
      </c>
      <c r="K2194" s="995"/>
      <c r="L2194" s="995"/>
      <c r="M2194" s="761" t="s">
        <v>2067</v>
      </c>
      <c r="N2194" s="761">
        <v>44558</v>
      </c>
      <c r="O2194" s="761" t="s">
        <v>62</v>
      </c>
      <c r="P2194" s="995"/>
      <c r="Q2194" s="995"/>
      <c r="R2194" s="995"/>
      <c r="S2194" s="3"/>
      <c r="T2194" s="3"/>
      <c r="U2194" s="3"/>
      <c r="V2194" s="4"/>
      <c r="W2194" s="761"/>
      <c r="X2194" s="761"/>
      <c r="Y2194" s="761"/>
      <c r="Z2194" s="761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</row>
    <row r="2195" spans="2:39">
      <c r="B2195" s="975" t="s">
        <v>125</v>
      </c>
      <c r="C2195" s="993" t="s">
        <v>5595</v>
      </c>
      <c r="D2195" s="12" t="s">
        <v>5602</v>
      </c>
      <c r="E2195" s="11">
        <v>11012</v>
      </c>
      <c r="F2195" s="3">
        <v>11</v>
      </c>
      <c r="G2195" s="995"/>
      <c r="H2195" s="3" t="s">
        <v>1041</v>
      </c>
      <c r="I2195" s="995"/>
      <c r="J2195" s="3">
        <v>124.84</v>
      </c>
      <c r="K2195" s="995"/>
      <c r="L2195" s="995"/>
      <c r="M2195" s="761" t="s">
        <v>2067</v>
      </c>
      <c r="N2195" s="761">
        <v>44558</v>
      </c>
      <c r="O2195" s="761" t="s">
        <v>62</v>
      </c>
      <c r="P2195" s="995"/>
      <c r="Q2195" s="995"/>
      <c r="R2195" s="995"/>
      <c r="S2195" s="3"/>
      <c r="T2195" s="3"/>
      <c r="U2195" s="3"/>
      <c r="V2195" s="4"/>
      <c r="W2195" s="761"/>
      <c r="X2195" s="761"/>
      <c r="Y2195" s="761"/>
      <c r="Z2195" s="761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</row>
    <row r="2196" spans="2:39">
      <c r="B2196" s="975" t="s">
        <v>125</v>
      </c>
      <c r="C2196" s="993" t="s">
        <v>5595</v>
      </c>
      <c r="D2196" s="12" t="s">
        <v>5603</v>
      </c>
      <c r="E2196" s="11">
        <v>11022</v>
      </c>
      <c r="F2196" s="3">
        <v>12</v>
      </c>
      <c r="G2196" s="995"/>
      <c r="H2196" s="3" t="s">
        <v>1041</v>
      </c>
      <c r="I2196" s="995"/>
      <c r="J2196" s="3">
        <v>124.22</v>
      </c>
      <c r="K2196" s="995"/>
      <c r="L2196" s="995"/>
      <c r="M2196" s="761" t="s">
        <v>2067</v>
      </c>
      <c r="N2196" s="761">
        <v>44558</v>
      </c>
      <c r="O2196" s="761" t="s">
        <v>62</v>
      </c>
      <c r="P2196" s="995"/>
      <c r="Q2196" s="995"/>
      <c r="R2196" s="995"/>
      <c r="S2196" s="3"/>
      <c r="T2196" s="3"/>
      <c r="U2196" s="3"/>
      <c r="V2196" s="4"/>
      <c r="W2196" s="761"/>
      <c r="X2196" s="761"/>
      <c r="Y2196" s="761"/>
      <c r="Z2196" s="761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</row>
    <row r="2197" spans="2:39">
      <c r="B2197" s="975" t="s">
        <v>125</v>
      </c>
      <c r="C2197" s="993" t="s">
        <v>5595</v>
      </c>
      <c r="D2197" s="12" t="s">
        <v>5604</v>
      </c>
      <c r="E2197" s="11">
        <v>11032</v>
      </c>
      <c r="F2197" s="3">
        <v>13</v>
      </c>
      <c r="G2197" s="995"/>
      <c r="H2197" s="3" t="s">
        <v>1041</v>
      </c>
      <c r="I2197" s="995"/>
      <c r="J2197" s="3">
        <v>124.78</v>
      </c>
      <c r="K2197" s="995"/>
      <c r="L2197" s="995"/>
      <c r="M2197" s="761" t="s">
        <v>2067</v>
      </c>
      <c r="N2197" s="761">
        <v>44558</v>
      </c>
      <c r="O2197" s="761" t="s">
        <v>62</v>
      </c>
      <c r="P2197" s="995"/>
      <c r="Q2197" s="995"/>
      <c r="R2197" s="995"/>
      <c r="S2197" s="3"/>
      <c r="T2197" s="3"/>
      <c r="U2197" s="3"/>
      <c r="V2197" s="4"/>
      <c r="W2197" s="761"/>
      <c r="X2197" s="761"/>
      <c r="Y2197" s="761"/>
      <c r="Z2197" s="761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</row>
    <row r="2198" spans="2:39">
      <c r="B2198" s="975" t="s">
        <v>125</v>
      </c>
      <c r="C2198" s="993" t="s">
        <v>5595</v>
      </c>
      <c r="D2198" s="12" t="s">
        <v>5605</v>
      </c>
      <c r="E2198" s="11">
        <v>11042</v>
      </c>
      <c r="F2198" s="3">
        <v>14</v>
      </c>
      <c r="G2198" s="995"/>
      <c r="H2198" s="3" t="s">
        <v>1041</v>
      </c>
      <c r="I2198" s="995"/>
      <c r="J2198" s="3">
        <v>123.96</v>
      </c>
      <c r="K2198" s="995"/>
      <c r="L2198" s="995"/>
      <c r="M2198" s="761" t="s">
        <v>2067</v>
      </c>
      <c r="N2198" s="761">
        <v>44559</v>
      </c>
      <c r="O2198" s="761" t="s">
        <v>62</v>
      </c>
      <c r="P2198" s="995"/>
      <c r="Q2198" s="995"/>
      <c r="R2198" s="995"/>
      <c r="S2198" s="3"/>
      <c r="T2198" s="3"/>
      <c r="U2198" s="3"/>
      <c r="V2198" s="4"/>
      <c r="W2198" s="761"/>
      <c r="X2198" s="761"/>
      <c r="Y2198" s="761"/>
      <c r="Z2198" s="761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</row>
    <row r="2199" spans="2:39">
      <c r="B2199" s="975" t="s">
        <v>125</v>
      </c>
      <c r="C2199" s="993" t="s">
        <v>5595</v>
      </c>
      <c r="D2199" s="12" t="s">
        <v>5606</v>
      </c>
      <c r="E2199" s="11">
        <v>11052</v>
      </c>
      <c r="F2199" s="3">
        <v>15</v>
      </c>
      <c r="G2199" s="995"/>
      <c r="H2199" s="3" t="s">
        <v>1041</v>
      </c>
      <c r="I2199" s="995"/>
      <c r="J2199" s="3">
        <v>124.18</v>
      </c>
      <c r="K2199" s="995"/>
      <c r="L2199" s="995"/>
      <c r="M2199" s="761" t="s">
        <v>2067</v>
      </c>
      <c r="N2199" s="761">
        <v>44559</v>
      </c>
      <c r="O2199" s="761" t="s">
        <v>62</v>
      </c>
      <c r="P2199" s="995"/>
      <c r="Q2199" s="995"/>
      <c r="R2199" s="995"/>
      <c r="S2199" s="3"/>
      <c r="T2199" s="3"/>
      <c r="U2199" s="3"/>
      <c r="V2199" s="4"/>
      <c r="W2199" s="761"/>
      <c r="X2199" s="761"/>
      <c r="Y2199" s="761"/>
      <c r="Z2199" s="761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</row>
    <row r="2200" spans="2:39">
      <c r="B2200" s="975" t="s">
        <v>125</v>
      </c>
      <c r="C2200" s="993" t="s">
        <v>5595</v>
      </c>
      <c r="D2200" s="996"/>
      <c r="E2200" s="11">
        <v>11672</v>
      </c>
      <c r="F2200" s="3">
        <v>16</v>
      </c>
      <c r="G2200" s="995"/>
      <c r="H2200" s="3" t="s">
        <v>1041</v>
      </c>
      <c r="I2200" s="995"/>
      <c r="J2200" s="3">
        <v>121.42</v>
      </c>
      <c r="K2200" s="995"/>
      <c r="L2200" s="995"/>
      <c r="M2200" s="761" t="s">
        <v>2067</v>
      </c>
      <c r="N2200" s="761">
        <v>44560</v>
      </c>
      <c r="O2200" s="761" t="s">
        <v>62</v>
      </c>
      <c r="P2200" s="995"/>
      <c r="Q2200" s="995"/>
      <c r="R2200" s="995"/>
      <c r="S2200" s="3"/>
      <c r="T2200" s="3"/>
      <c r="U2200" s="3"/>
      <c r="V2200" s="4"/>
      <c r="W2200" s="761"/>
      <c r="X2200" s="761"/>
      <c r="Y2200" s="761"/>
      <c r="Z2200" s="761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</row>
    <row r="2201" spans="2:39">
      <c r="B2201" s="975" t="s">
        <v>125</v>
      </c>
      <c r="C2201" s="993" t="s">
        <v>5595</v>
      </c>
      <c r="D2201" s="996"/>
      <c r="E2201" s="11">
        <v>11682</v>
      </c>
      <c r="F2201" s="3">
        <v>17</v>
      </c>
      <c r="G2201" s="995"/>
      <c r="H2201" s="3" t="s">
        <v>1041</v>
      </c>
      <c r="I2201" s="995"/>
      <c r="J2201" s="3">
        <v>124.62</v>
      </c>
      <c r="K2201" s="995"/>
      <c r="L2201" s="995"/>
      <c r="M2201" s="761" t="s">
        <v>2067</v>
      </c>
      <c r="N2201" s="761">
        <v>44560</v>
      </c>
      <c r="O2201" s="761" t="s">
        <v>62</v>
      </c>
      <c r="P2201" s="995"/>
      <c r="Q2201" s="995"/>
      <c r="R2201" s="995"/>
      <c r="S2201" s="3"/>
      <c r="T2201" s="3"/>
      <c r="U2201" s="3"/>
      <c r="V2201" s="4"/>
      <c r="W2201" s="761"/>
      <c r="X2201" s="761"/>
      <c r="Y2201" s="761"/>
      <c r="Z2201" s="761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</row>
    <row r="2202" spans="2:39">
      <c r="B2202" s="975" t="s">
        <v>125</v>
      </c>
      <c r="C2202" s="993" t="s">
        <v>5595</v>
      </c>
      <c r="D2202" s="996"/>
      <c r="E2202" s="11">
        <v>11692</v>
      </c>
      <c r="F2202" s="3">
        <v>18</v>
      </c>
      <c r="G2202" s="995"/>
      <c r="H2202" s="3" t="s">
        <v>1041</v>
      </c>
      <c r="I2202" s="995"/>
      <c r="J2202" s="3">
        <v>122.56</v>
      </c>
      <c r="K2202" s="995"/>
      <c r="L2202" s="995"/>
      <c r="M2202" s="761" t="s">
        <v>2067</v>
      </c>
      <c r="N2202" s="761">
        <v>44560</v>
      </c>
      <c r="O2202" s="761" t="s">
        <v>62</v>
      </c>
      <c r="P2202" s="995"/>
      <c r="Q2202" s="995"/>
      <c r="R2202" s="995"/>
      <c r="S2202" s="3"/>
      <c r="T2202" s="3"/>
      <c r="U2202" s="3"/>
      <c r="V2202" s="4"/>
      <c r="W2202" s="761"/>
      <c r="X2202" s="761"/>
      <c r="Y2202" s="761"/>
      <c r="Z2202" s="761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</row>
    <row r="2203" spans="2:39">
      <c r="B2203" s="975" t="s">
        <v>125</v>
      </c>
      <c r="C2203" s="993" t="s">
        <v>5595</v>
      </c>
      <c r="D2203" s="996"/>
      <c r="E2203" s="11">
        <v>11702</v>
      </c>
      <c r="F2203" s="3">
        <v>19</v>
      </c>
      <c r="G2203" s="995"/>
      <c r="H2203" s="3" t="s">
        <v>1041</v>
      </c>
      <c r="I2203" s="995"/>
      <c r="J2203" s="3">
        <v>122.32</v>
      </c>
      <c r="K2203" s="995"/>
      <c r="L2203" s="995"/>
      <c r="M2203" s="761" t="s">
        <v>2067</v>
      </c>
      <c r="N2203" s="761">
        <v>44560</v>
      </c>
      <c r="O2203" s="761" t="s">
        <v>62</v>
      </c>
      <c r="P2203" s="995"/>
      <c r="Q2203" s="995"/>
      <c r="R2203" s="995"/>
      <c r="S2203" s="3"/>
      <c r="T2203" s="3"/>
      <c r="U2203" s="3"/>
      <c r="V2203" s="4"/>
      <c r="W2203" s="761"/>
      <c r="X2203" s="761"/>
      <c r="Y2203" s="761"/>
      <c r="Z2203" s="761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</row>
    <row r="2204" spans="2:39">
      <c r="B2204" s="975" t="s">
        <v>125</v>
      </c>
      <c r="C2204" s="993" t="s">
        <v>5595</v>
      </c>
      <c r="D2204" s="996"/>
      <c r="E2204" s="11">
        <v>11712</v>
      </c>
      <c r="F2204" s="3">
        <v>20</v>
      </c>
      <c r="G2204" s="995"/>
      <c r="H2204" s="3" t="s">
        <v>1041</v>
      </c>
      <c r="I2204" s="995"/>
      <c r="J2204" s="3">
        <v>122.16</v>
      </c>
      <c r="K2204" s="995"/>
      <c r="L2204" s="995"/>
      <c r="M2204" s="761" t="str">
        <f t="shared" ref="M2204:M2237" si="35">TEXT(N2204,"mmmm")</f>
        <v>December</v>
      </c>
      <c r="N2204" s="761">
        <v>44560</v>
      </c>
      <c r="O2204" s="761" t="s">
        <v>62</v>
      </c>
      <c r="P2204" s="995"/>
      <c r="Q2204" s="995"/>
      <c r="R2204" s="995"/>
      <c r="S2204" s="3"/>
      <c r="T2204" s="3"/>
      <c r="U2204" s="3"/>
      <c r="V2204" s="4"/>
      <c r="W2204" s="761"/>
      <c r="X2204" s="761"/>
      <c r="Y2204" s="761"/>
      <c r="Z2204" s="761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</row>
    <row r="2205" spans="2:39">
      <c r="B2205" s="975" t="s">
        <v>125</v>
      </c>
      <c r="C2205" s="993" t="s">
        <v>5595</v>
      </c>
      <c r="D2205" s="996"/>
      <c r="E2205" s="997">
        <v>12372</v>
      </c>
      <c r="F2205" s="3">
        <v>21</v>
      </c>
      <c r="G2205" s="995"/>
      <c r="H2205" s="3" t="s">
        <v>1041</v>
      </c>
      <c r="I2205" s="995"/>
      <c r="J2205" s="784">
        <v>122.14</v>
      </c>
      <c r="K2205" s="995"/>
      <c r="L2205" s="995"/>
      <c r="M2205" s="761" t="str">
        <f t="shared" si="35"/>
        <v>January</v>
      </c>
      <c r="N2205" s="761">
        <v>44567</v>
      </c>
      <c r="O2205" s="761" t="s">
        <v>62</v>
      </c>
      <c r="P2205" s="995"/>
      <c r="Q2205" s="995"/>
      <c r="R2205" s="995"/>
      <c r="S2205" s="3"/>
      <c r="T2205" s="3"/>
      <c r="U2205" s="3"/>
      <c r="V2205" s="4"/>
      <c r="W2205" s="761"/>
      <c r="X2205" s="761"/>
      <c r="Y2205" s="761"/>
      <c r="Z2205" s="761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</row>
    <row r="2206" spans="2:39">
      <c r="B2206" s="975" t="s">
        <v>125</v>
      </c>
      <c r="C2206" s="993" t="s">
        <v>5595</v>
      </c>
      <c r="D2206" s="996"/>
      <c r="E2206" s="997">
        <v>12382</v>
      </c>
      <c r="F2206" s="3">
        <v>22</v>
      </c>
      <c r="G2206" s="995"/>
      <c r="H2206" s="3" t="s">
        <v>1041</v>
      </c>
      <c r="I2206" s="995"/>
      <c r="J2206" s="784">
        <v>124.56</v>
      </c>
      <c r="K2206" s="995"/>
      <c r="L2206" s="995"/>
      <c r="M2206" s="761" t="str">
        <f t="shared" si="35"/>
        <v>January</v>
      </c>
      <c r="N2206" s="761">
        <v>44567</v>
      </c>
      <c r="O2206" s="761" t="s">
        <v>62</v>
      </c>
      <c r="P2206" s="995"/>
      <c r="Q2206" s="995"/>
      <c r="R2206" s="995"/>
      <c r="S2206" s="3"/>
      <c r="T2206" s="3"/>
      <c r="U2206" s="3"/>
      <c r="V2206" s="4"/>
      <c r="W2206" s="761"/>
      <c r="X2206" s="761"/>
      <c r="Y2206" s="761"/>
      <c r="Z2206" s="761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</row>
    <row r="2207" spans="2:39">
      <c r="B2207" s="975" t="s">
        <v>125</v>
      </c>
      <c r="C2207" s="993" t="s">
        <v>5595</v>
      </c>
      <c r="D2207" s="996"/>
      <c r="E2207" s="997">
        <v>12392</v>
      </c>
      <c r="F2207" s="3">
        <v>23</v>
      </c>
      <c r="G2207" s="995"/>
      <c r="H2207" s="3" t="s">
        <v>1041</v>
      </c>
      <c r="I2207" s="995"/>
      <c r="J2207" s="784">
        <v>125.3</v>
      </c>
      <c r="K2207" s="995"/>
      <c r="L2207" s="995"/>
      <c r="M2207" s="761" t="str">
        <f t="shared" si="35"/>
        <v>January</v>
      </c>
      <c r="N2207" s="761">
        <v>44567</v>
      </c>
      <c r="O2207" s="761" t="s">
        <v>62</v>
      </c>
      <c r="P2207" s="995"/>
      <c r="Q2207" s="995"/>
      <c r="R2207" s="995"/>
      <c r="S2207" s="3"/>
      <c r="T2207" s="3"/>
      <c r="U2207" s="3"/>
      <c r="V2207" s="4"/>
      <c r="W2207" s="761"/>
      <c r="X2207" s="761"/>
      <c r="Y2207" s="761"/>
      <c r="Z2207" s="761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</row>
    <row r="2208" spans="2:39">
      <c r="B2208" s="975" t="s">
        <v>125</v>
      </c>
      <c r="C2208" s="993" t="s">
        <v>5595</v>
      </c>
      <c r="D2208" s="996"/>
      <c r="E2208" s="997">
        <v>12402</v>
      </c>
      <c r="F2208" s="3">
        <v>24</v>
      </c>
      <c r="G2208" s="995"/>
      <c r="H2208" s="3" t="s">
        <v>1041</v>
      </c>
      <c r="I2208" s="995"/>
      <c r="J2208" s="784">
        <v>123.68</v>
      </c>
      <c r="K2208" s="995"/>
      <c r="L2208" s="995"/>
      <c r="M2208" s="761" t="str">
        <f t="shared" si="35"/>
        <v>January</v>
      </c>
      <c r="N2208" s="761">
        <v>44568</v>
      </c>
      <c r="O2208" s="761" t="s">
        <v>62</v>
      </c>
      <c r="P2208" s="995"/>
      <c r="Q2208" s="995"/>
      <c r="R2208" s="995"/>
      <c r="S2208" s="3"/>
      <c r="T2208" s="3"/>
      <c r="U2208" s="3"/>
      <c r="V2208" s="4"/>
      <c r="W2208" s="761"/>
      <c r="X2208" s="761"/>
      <c r="Y2208" s="761"/>
      <c r="Z2208" s="761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</row>
    <row r="2209" spans="2:39">
      <c r="B2209" s="975" t="s">
        <v>125</v>
      </c>
      <c r="C2209" s="993" t="s">
        <v>5595</v>
      </c>
      <c r="D2209" s="996"/>
      <c r="E2209" s="11">
        <v>12412</v>
      </c>
      <c r="F2209" s="3">
        <v>25</v>
      </c>
      <c r="G2209" s="995"/>
      <c r="H2209" s="3" t="s">
        <v>1041</v>
      </c>
      <c r="I2209" s="995"/>
      <c r="J2209" s="3">
        <v>123.18</v>
      </c>
      <c r="K2209" s="995"/>
      <c r="L2209" s="995"/>
      <c r="M2209" s="761" t="str">
        <f t="shared" si="35"/>
        <v>January</v>
      </c>
      <c r="N2209" s="761">
        <v>44568</v>
      </c>
      <c r="O2209" s="761" t="s">
        <v>62</v>
      </c>
      <c r="P2209" s="995"/>
      <c r="Q2209" s="995"/>
      <c r="R2209" s="995"/>
      <c r="S2209" s="3"/>
      <c r="T2209" s="3"/>
      <c r="U2209" s="3"/>
      <c r="V2209" s="4"/>
      <c r="W2209" s="761"/>
      <c r="X2209" s="761"/>
      <c r="Y2209" s="761"/>
      <c r="Z2209" s="761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</row>
    <row r="2210" spans="2:39">
      <c r="B2210" s="975" t="s">
        <v>125</v>
      </c>
      <c r="C2210" s="993" t="s">
        <v>5595</v>
      </c>
      <c r="D2210" s="996"/>
      <c r="E2210" s="11">
        <v>12422</v>
      </c>
      <c r="F2210" s="3">
        <v>26</v>
      </c>
      <c r="G2210" s="995"/>
      <c r="H2210" s="3" t="s">
        <v>932</v>
      </c>
      <c r="I2210" s="995"/>
      <c r="J2210" s="3">
        <v>121</v>
      </c>
      <c r="K2210" s="995"/>
      <c r="L2210" s="995"/>
      <c r="M2210" s="761" t="str">
        <f t="shared" si="35"/>
        <v>January</v>
      </c>
      <c r="N2210" s="761">
        <v>44568</v>
      </c>
      <c r="O2210" s="761" t="s">
        <v>62</v>
      </c>
      <c r="P2210" s="995"/>
      <c r="Q2210" s="995"/>
      <c r="R2210" s="995"/>
      <c r="S2210" s="3"/>
      <c r="T2210" s="3"/>
      <c r="U2210" s="3"/>
      <c r="V2210" s="4"/>
      <c r="W2210" s="761"/>
      <c r="X2210" s="761"/>
      <c r="Y2210" s="761"/>
      <c r="Z2210" s="761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</row>
    <row r="2211" spans="2:39">
      <c r="B2211" s="975" t="s">
        <v>125</v>
      </c>
      <c r="C2211" s="993" t="s">
        <v>5595</v>
      </c>
      <c r="D2211" s="996"/>
      <c r="E2211" s="11">
        <v>12432</v>
      </c>
      <c r="F2211" s="3">
        <v>27</v>
      </c>
      <c r="G2211" s="995"/>
      <c r="H2211" s="3" t="s">
        <v>932</v>
      </c>
      <c r="I2211" s="995"/>
      <c r="J2211" s="3">
        <v>123.24</v>
      </c>
      <c r="K2211" s="995"/>
      <c r="L2211" s="995"/>
      <c r="M2211" s="761" t="str">
        <f t="shared" si="35"/>
        <v>January</v>
      </c>
      <c r="N2211" s="761">
        <v>44568</v>
      </c>
      <c r="O2211" s="761" t="s">
        <v>62</v>
      </c>
      <c r="P2211" s="995"/>
      <c r="Q2211" s="995"/>
      <c r="R2211" s="995"/>
      <c r="S2211" s="3"/>
      <c r="T2211" s="3"/>
      <c r="U2211" s="3"/>
      <c r="V2211" s="4"/>
      <c r="W2211" s="761"/>
      <c r="X2211" s="761"/>
      <c r="Y2211" s="761"/>
      <c r="Z2211" s="761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</row>
    <row r="2212" spans="2:39">
      <c r="B2212" s="975" t="s">
        <v>125</v>
      </c>
      <c r="C2212" s="993" t="s">
        <v>5595</v>
      </c>
      <c r="D2212" s="996"/>
      <c r="E2212" s="11">
        <v>12442</v>
      </c>
      <c r="F2212" s="3">
        <v>28</v>
      </c>
      <c r="G2212" s="995"/>
      <c r="H2212" s="3" t="s">
        <v>932</v>
      </c>
      <c r="I2212" s="995"/>
      <c r="J2212" s="3">
        <v>125.02</v>
      </c>
      <c r="K2212" s="995"/>
      <c r="L2212" s="995"/>
      <c r="M2212" s="761" t="str">
        <f t="shared" si="35"/>
        <v>January</v>
      </c>
      <c r="N2212" s="761">
        <v>44568</v>
      </c>
      <c r="O2212" s="761" t="s">
        <v>62</v>
      </c>
      <c r="P2212" s="995"/>
      <c r="Q2212" s="995"/>
      <c r="R2212" s="995"/>
      <c r="S2212" s="3"/>
      <c r="T2212" s="3"/>
      <c r="U2212" s="3"/>
      <c r="V2212" s="4"/>
      <c r="W2212" s="761"/>
      <c r="X2212" s="761"/>
      <c r="Y2212" s="761"/>
      <c r="Z2212" s="761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</row>
    <row r="2213" spans="2:39">
      <c r="B2213" s="975" t="s">
        <v>125</v>
      </c>
      <c r="C2213" s="993" t="s">
        <v>5595</v>
      </c>
      <c r="D2213" s="996"/>
      <c r="E2213" s="11">
        <v>12452</v>
      </c>
      <c r="F2213" s="3">
        <v>29</v>
      </c>
      <c r="G2213" s="995"/>
      <c r="H2213" s="3" t="s">
        <v>932</v>
      </c>
      <c r="I2213" s="995"/>
      <c r="J2213" s="3">
        <v>122.7</v>
      </c>
      <c r="K2213" s="995"/>
      <c r="L2213" s="995"/>
      <c r="M2213" s="761" t="str">
        <f t="shared" si="35"/>
        <v>January</v>
      </c>
      <c r="N2213" s="761">
        <v>44568</v>
      </c>
      <c r="O2213" s="761" t="s">
        <v>62</v>
      </c>
      <c r="P2213" s="995"/>
      <c r="Q2213" s="995"/>
      <c r="R2213" s="995"/>
      <c r="S2213" s="3"/>
      <c r="T2213" s="3"/>
      <c r="U2213" s="3"/>
      <c r="V2213" s="4"/>
      <c r="W2213" s="761"/>
      <c r="X2213" s="761"/>
      <c r="Y2213" s="761"/>
      <c r="Z2213" s="761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</row>
    <row r="2214" spans="2:39">
      <c r="B2214" s="975" t="s">
        <v>125</v>
      </c>
      <c r="C2214" s="993" t="s">
        <v>5595</v>
      </c>
      <c r="D2214" s="8"/>
      <c r="E2214" s="11">
        <v>12462</v>
      </c>
      <c r="F2214" s="3">
        <v>30</v>
      </c>
      <c r="G2214" s="995"/>
      <c r="H2214" s="3" t="s">
        <v>932</v>
      </c>
      <c r="I2214" s="995"/>
      <c r="J2214" s="3">
        <v>126.42</v>
      </c>
      <c r="K2214" s="995"/>
      <c r="L2214" s="995"/>
      <c r="M2214" s="761" t="str">
        <f t="shared" si="35"/>
        <v>January</v>
      </c>
      <c r="N2214" s="761">
        <v>44568</v>
      </c>
      <c r="O2214" s="761" t="s">
        <v>62</v>
      </c>
      <c r="P2214" s="995"/>
      <c r="Q2214" s="995"/>
      <c r="R2214" s="995"/>
      <c r="S2214" s="3"/>
      <c r="T2214" s="3"/>
      <c r="U2214" s="3"/>
      <c r="V2214" s="4"/>
      <c r="W2214" s="761"/>
      <c r="X2214" s="761"/>
      <c r="Y2214" s="761"/>
      <c r="Z2214" s="761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</row>
    <row r="2215" spans="2:39">
      <c r="B2215" s="975" t="s">
        <v>125</v>
      </c>
      <c r="C2215" s="993" t="s">
        <v>5595</v>
      </c>
      <c r="D2215" s="8"/>
      <c r="E2215" s="12" t="s">
        <v>5607</v>
      </c>
      <c r="F2215" s="3">
        <v>31</v>
      </c>
      <c r="G2215" s="995"/>
      <c r="H2215" s="3" t="s">
        <v>932</v>
      </c>
      <c r="I2215" s="995"/>
      <c r="J2215" s="3">
        <v>120.82</v>
      </c>
      <c r="K2215" s="995"/>
      <c r="L2215" s="995"/>
      <c r="M2215" s="761" t="str">
        <f t="shared" si="35"/>
        <v>January</v>
      </c>
      <c r="N2215" s="761">
        <v>44571</v>
      </c>
      <c r="O2215" s="761" t="s">
        <v>62</v>
      </c>
      <c r="P2215" s="995"/>
      <c r="Q2215" s="995"/>
      <c r="R2215" s="995"/>
      <c r="S2215" s="3"/>
      <c r="T2215" s="3"/>
      <c r="U2215" s="3"/>
      <c r="V2215" s="4"/>
      <c r="W2215" s="761"/>
      <c r="X2215" s="761"/>
      <c r="Y2215" s="761"/>
      <c r="Z2215" s="761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</row>
    <row r="2216" spans="2:39">
      <c r="B2216" s="975" t="s">
        <v>125</v>
      </c>
      <c r="C2216" s="993" t="s">
        <v>5595</v>
      </c>
      <c r="D2216" s="8"/>
      <c r="E2216" s="12" t="s">
        <v>5608</v>
      </c>
      <c r="F2216" s="3">
        <v>32</v>
      </c>
      <c r="G2216" s="995"/>
      <c r="H2216" s="3" t="s">
        <v>932</v>
      </c>
      <c r="I2216" s="995"/>
      <c r="J2216" s="3">
        <v>123.4</v>
      </c>
      <c r="K2216" s="995"/>
      <c r="L2216" s="995"/>
      <c r="M2216" s="761" t="str">
        <f t="shared" si="35"/>
        <v>January</v>
      </c>
      <c r="N2216" s="761">
        <v>44571</v>
      </c>
      <c r="O2216" s="761" t="s">
        <v>62</v>
      </c>
      <c r="P2216" s="995"/>
      <c r="Q2216" s="995"/>
      <c r="R2216" s="995"/>
      <c r="S2216" s="3"/>
      <c r="T2216" s="3"/>
      <c r="U2216" s="3"/>
      <c r="V2216" s="4"/>
      <c r="W2216" s="761"/>
      <c r="X2216" s="761"/>
      <c r="Y2216" s="761"/>
      <c r="Z2216" s="761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</row>
    <row r="2217" spans="2:39">
      <c r="B2217" s="975" t="s">
        <v>125</v>
      </c>
      <c r="C2217" s="993" t="s">
        <v>5595</v>
      </c>
      <c r="D2217" s="8"/>
      <c r="E2217" s="12" t="s">
        <v>5609</v>
      </c>
      <c r="F2217" s="3">
        <v>33</v>
      </c>
      <c r="G2217" s="995"/>
      <c r="H2217" s="3" t="s">
        <v>932</v>
      </c>
      <c r="I2217" s="995"/>
      <c r="J2217" s="3">
        <v>123.9</v>
      </c>
      <c r="K2217" s="995"/>
      <c r="L2217" s="995"/>
      <c r="M2217" s="761" t="str">
        <f t="shared" si="35"/>
        <v>January</v>
      </c>
      <c r="N2217" s="761">
        <v>44571</v>
      </c>
      <c r="O2217" s="761" t="s">
        <v>62</v>
      </c>
      <c r="P2217" s="995"/>
      <c r="Q2217" s="995"/>
      <c r="R2217" s="995"/>
      <c r="S2217" s="3"/>
      <c r="T2217" s="3"/>
      <c r="U2217" s="3"/>
      <c r="V2217" s="4"/>
      <c r="W2217" s="761"/>
      <c r="X2217" s="761"/>
      <c r="Y2217" s="761"/>
      <c r="Z2217" s="761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</row>
    <row r="2218" spans="2:39">
      <c r="B2218" s="975" t="s">
        <v>125</v>
      </c>
      <c r="C2218" s="993" t="s">
        <v>5595</v>
      </c>
      <c r="D2218" s="3"/>
      <c r="E2218" s="12" t="s">
        <v>5610</v>
      </c>
      <c r="F2218" s="3">
        <v>34</v>
      </c>
      <c r="G2218" s="995"/>
      <c r="H2218" s="3" t="s">
        <v>932</v>
      </c>
      <c r="I2218" s="995"/>
      <c r="J2218" s="3">
        <v>123.1</v>
      </c>
      <c r="K2218" s="995"/>
      <c r="L2218" s="995"/>
      <c r="M2218" s="761" t="str">
        <f t="shared" si="35"/>
        <v>January</v>
      </c>
      <c r="N2218" s="761">
        <v>44572</v>
      </c>
      <c r="O2218" s="761" t="s">
        <v>62</v>
      </c>
      <c r="P2218" s="995"/>
      <c r="Q2218" s="995"/>
      <c r="R2218" s="995"/>
      <c r="S2218" s="3"/>
      <c r="T2218" s="3"/>
      <c r="U2218" s="3"/>
      <c r="V2218" s="4"/>
      <c r="W2218" s="761"/>
      <c r="X2218" s="761"/>
      <c r="Y2218" s="761"/>
      <c r="Z2218" s="761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</row>
    <row r="2219" spans="2:39">
      <c r="B2219" s="975" t="s">
        <v>125</v>
      </c>
      <c r="C2219" s="993" t="s">
        <v>5595</v>
      </c>
      <c r="D2219" s="3"/>
      <c r="E2219" s="12" t="s">
        <v>5611</v>
      </c>
      <c r="F2219" s="3">
        <v>35</v>
      </c>
      <c r="G2219" s="995"/>
      <c r="H2219" s="3" t="s">
        <v>932</v>
      </c>
      <c r="I2219" s="995"/>
      <c r="J2219" s="3">
        <v>125.28</v>
      </c>
      <c r="K2219" s="995"/>
      <c r="L2219" s="995"/>
      <c r="M2219" s="761" t="str">
        <f t="shared" si="35"/>
        <v>January</v>
      </c>
      <c r="N2219" s="761">
        <v>44572</v>
      </c>
      <c r="O2219" s="761" t="s">
        <v>62</v>
      </c>
      <c r="P2219" s="995"/>
      <c r="Q2219" s="995"/>
      <c r="R2219" s="995"/>
      <c r="S2219" s="3"/>
      <c r="T2219" s="3"/>
      <c r="U2219" s="3"/>
      <c r="V2219" s="4"/>
      <c r="W2219" s="761"/>
      <c r="X2219" s="761"/>
      <c r="Y2219" s="761"/>
      <c r="Z2219" s="761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</row>
    <row r="2220" spans="2:39">
      <c r="B2220" s="975" t="s">
        <v>125</v>
      </c>
      <c r="C2220" s="993" t="s">
        <v>5595</v>
      </c>
      <c r="D2220" s="3"/>
      <c r="E2220" s="12" t="s">
        <v>5612</v>
      </c>
      <c r="F2220" s="3">
        <v>36</v>
      </c>
      <c r="G2220" s="995"/>
      <c r="H2220" s="3" t="s">
        <v>932</v>
      </c>
      <c r="I2220" s="995"/>
      <c r="J2220" s="784">
        <v>121.08</v>
      </c>
      <c r="K2220" s="995"/>
      <c r="L2220" s="995"/>
      <c r="M2220" s="761" t="str">
        <f t="shared" si="35"/>
        <v>January</v>
      </c>
      <c r="N2220" s="761">
        <v>44573</v>
      </c>
      <c r="O2220" s="761" t="s">
        <v>62</v>
      </c>
      <c r="P2220" s="995"/>
      <c r="Q2220" s="995"/>
      <c r="R2220" s="995"/>
      <c r="S2220" s="3"/>
      <c r="T2220" s="3"/>
      <c r="U2220" s="3"/>
      <c r="V2220" s="4"/>
      <c r="W2220" s="761"/>
      <c r="X2220" s="761"/>
      <c r="Y2220" s="761"/>
      <c r="Z2220" s="761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</row>
    <row r="2221" spans="2:39">
      <c r="B2221" s="975" t="s">
        <v>125</v>
      </c>
      <c r="C2221" s="993" t="s">
        <v>5595</v>
      </c>
      <c r="D2221" s="3"/>
      <c r="E2221" s="12" t="s">
        <v>5613</v>
      </c>
      <c r="F2221" s="3">
        <v>37</v>
      </c>
      <c r="G2221" s="995"/>
      <c r="H2221" s="3" t="s">
        <v>932</v>
      </c>
      <c r="I2221" s="995"/>
      <c r="J2221" s="784">
        <v>123.62</v>
      </c>
      <c r="K2221" s="995"/>
      <c r="L2221" s="995"/>
      <c r="M2221" s="761" t="str">
        <f t="shared" si="35"/>
        <v>January</v>
      </c>
      <c r="N2221" s="761">
        <v>44573</v>
      </c>
      <c r="O2221" s="761" t="s">
        <v>62</v>
      </c>
      <c r="P2221" s="995"/>
      <c r="Q2221" s="995"/>
      <c r="R2221" s="995"/>
      <c r="S2221" s="3"/>
      <c r="T2221" s="3"/>
      <c r="U2221" s="3"/>
      <c r="V2221" s="4"/>
      <c r="W2221" s="761"/>
      <c r="X2221" s="761"/>
      <c r="Y2221" s="761"/>
      <c r="Z2221" s="761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</row>
    <row r="2222" spans="2:39">
      <c r="B2222" s="975" t="s">
        <v>125</v>
      </c>
      <c r="C2222" s="993" t="s">
        <v>5595</v>
      </c>
      <c r="D2222" s="3"/>
      <c r="E2222" s="12" t="s">
        <v>5614</v>
      </c>
      <c r="F2222" s="3">
        <v>38</v>
      </c>
      <c r="G2222" s="995"/>
      <c r="H2222" s="3" t="s">
        <v>932</v>
      </c>
      <c r="I2222" s="995"/>
      <c r="J2222" s="784">
        <v>124.86</v>
      </c>
      <c r="K2222" s="995"/>
      <c r="L2222" s="995"/>
      <c r="M2222" s="761" t="str">
        <f t="shared" si="35"/>
        <v>January</v>
      </c>
      <c r="N2222" s="761">
        <v>44573</v>
      </c>
      <c r="O2222" s="761" t="s">
        <v>62</v>
      </c>
      <c r="P2222" s="995"/>
      <c r="Q2222" s="995"/>
      <c r="R2222" s="995"/>
      <c r="S2222" s="3"/>
      <c r="T2222" s="3"/>
      <c r="U2222" s="3"/>
      <c r="V2222" s="4"/>
      <c r="W2222" s="761"/>
      <c r="X2222" s="761"/>
      <c r="Y2222" s="761"/>
      <c r="Z2222" s="761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</row>
    <row r="2223" spans="2:39">
      <c r="B2223" s="975" t="s">
        <v>125</v>
      </c>
      <c r="C2223" s="993" t="s">
        <v>5595</v>
      </c>
      <c r="D2223" s="3"/>
      <c r="E2223" s="12" t="s">
        <v>5615</v>
      </c>
      <c r="F2223" s="3">
        <v>39</v>
      </c>
      <c r="G2223" s="995"/>
      <c r="H2223" s="3" t="s">
        <v>932</v>
      </c>
      <c r="I2223" s="995"/>
      <c r="J2223" s="784">
        <v>123.98</v>
      </c>
      <c r="K2223" s="995"/>
      <c r="L2223" s="995"/>
      <c r="M2223" s="761" t="str">
        <f t="shared" si="35"/>
        <v>January</v>
      </c>
      <c r="N2223" s="761">
        <v>44573</v>
      </c>
      <c r="O2223" s="761" t="s">
        <v>62</v>
      </c>
      <c r="P2223" s="995"/>
      <c r="Q2223" s="995"/>
      <c r="R2223" s="995"/>
      <c r="S2223" s="3"/>
      <c r="T2223" s="3"/>
      <c r="U2223" s="3"/>
      <c r="V2223" s="4"/>
      <c r="W2223" s="761"/>
      <c r="X2223" s="761"/>
      <c r="Y2223" s="761"/>
      <c r="Z2223" s="761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</row>
    <row r="2224" spans="2:39">
      <c r="B2224" s="975" t="s">
        <v>125</v>
      </c>
      <c r="C2224" s="993" t="s">
        <v>5595</v>
      </c>
      <c r="D2224" s="3"/>
      <c r="E2224" s="12" t="s">
        <v>5616</v>
      </c>
      <c r="F2224" s="3">
        <v>40</v>
      </c>
      <c r="G2224" s="995"/>
      <c r="H2224" s="3" t="s">
        <v>932</v>
      </c>
      <c r="I2224" s="995"/>
      <c r="J2224" s="784">
        <v>125.56</v>
      </c>
      <c r="K2224" s="995"/>
      <c r="L2224" s="995"/>
      <c r="M2224" s="761" t="str">
        <f t="shared" si="35"/>
        <v>January</v>
      </c>
      <c r="N2224" s="761">
        <v>44573</v>
      </c>
      <c r="O2224" s="761" t="s">
        <v>62</v>
      </c>
      <c r="P2224" s="995"/>
      <c r="Q2224" s="995"/>
      <c r="R2224" s="995"/>
      <c r="S2224" s="3"/>
      <c r="T2224" s="3"/>
      <c r="U2224" s="3"/>
      <c r="V2224" s="4"/>
      <c r="W2224" s="761"/>
      <c r="X2224" s="761"/>
      <c r="Y2224" s="761"/>
      <c r="Z2224" s="761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</row>
    <row r="2225" spans="1:39">
      <c r="B2225" s="975" t="s">
        <v>125</v>
      </c>
      <c r="C2225" s="993" t="s">
        <v>5595</v>
      </c>
      <c r="D2225" s="3"/>
      <c r="E2225" s="12" t="s">
        <v>5617</v>
      </c>
      <c r="F2225" s="3">
        <v>41</v>
      </c>
      <c r="G2225" s="995"/>
      <c r="H2225" s="3" t="s">
        <v>932</v>
      </c>
      <c r="I2225" s="995"/>
      <c r="J2225" s="784">
        <v>122.68</v>
      </c>
      <c r="K2225" s="995"/>
      <c r="L2225" s="995"/>
      <c r="M2225" s="761" t="str">
        <f t="shared" si="35"/>
        <v>January</v>
      </c>
      <c r="N2225" s="761">
        <v>44573</v>
      </c>
      <c r="O2225" s="761" t="s">
        <v>62</v>
      </c>
      <c r="P2225" s="995"/>
      <c r="Q2225" s="995"/>
      <c r="R2225" s="995"/>
      <c r="S2225" s="3"/>
      <c r="T2225" s="3"/>
      <c r="U2225" s="3"/>
      <c r="V2225" s="4"/>
      <c r="W2225" s="761"/>
      <c r="X2225" s="761"/>
      <c r="Y2225" s="761"/>
      <c r="Z2225" s="761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</row>
    <row r="2226" spans="1:39">
      <c r="B2226" s="975" t="s">
        <v>125</v>
      </c>
      <c r="C2226" s="993" t="s">
        <v>5595</v>
      </c>
      <c r="D2226" s="3"/>
      <c r="E2226" s="12" t="s">
        <v>5618</v>
      </c>
      <c r="F2226" s="3">
        <v>42</v>
      </c>
      <c r="G2226" s="995"/>
      <c r="H2226" s="3" t="s">
        <v>932</v>
      </c>
      <c r="I2226" s="995"/>
      <c r="J2226" s="784">
        <v>124.28</v>
      </c>
      <c r="K2226" s="995"/>
      <c r="L2226" s="995"/>
      <c r="M2226" s="761" t="str">
        <f t="shared" si="35"/>
        <v>January</v>
      </c>
      <c r="N2226" s="761">
        <v>44573</v>
      </c>
      <c r="O2226" s="761" t="s">
        <v>62</v>
      </c>
      <c r="P2226" s="995"/>
      <c r="Q2226" s="995"/>
      <c r="R2226" s="995"/>
      <c r="S2226" s="3"/>
      <c r="T2226" s="3"/>
      <c r="U2226" s="3"/>
      <c r="V2226" s="4"/>
      <c r="W2226" s="761"/>
      <c r="X2226" s="761"/>
      <c r="Y2226" s="761"/>
      <c r="Z2226" s="761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</row>
    <row r="2227" spans="1:39">
      <c r="B2227" s="975" t="s">
        <v>125</v>
      </c>
      <c r="C2227" s="993" t="s">
        <v>5595</v>
      </c>
      <c r="D2227" s="3"/>
      <c r="E2227" s="12" t="s">
        <v>5619</v>
      </c>
      <c r="F2227" s="3">
        <v>43</v>
      </c>
      <c r="G2227" s="995"/>
      <c r="H2227" s="3" t="s">
        <v>932</v>
      </c>
      <c r="I2227" s="995"/>
      <c r="J2227" s="784">
        <v>125.3</v>
      </c>
      <c r="K2227" s="995"/>
      <c r="L2227" s="995"/>
      <c r="M2227" s="761" t="str">
        <f t="shared" si="35"/>
        <v>January</v>
      </c>
      <c r="N2227" s="761">
        <v>44573</v>
      </c>
      <c r="O2227" s="761" t="s">
        <v>62</v>
      </c>
      <c r="P2227" s="995"/>
      <c r="Q2227" s="995"/>
      <c r="R2227" s="995"/>
      <c r="S2227" s="3"/>
      <c r="T2227" s="3"/>
      <c r="U2227" s="3"/>
      <c r="V2227" s="4"/>
      <c r="W2227" s="761"/>
      <c r="X2227" s="761"/>
      <c r="Y2227" s="761"/>
      <c r="Z2227" s="761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</row>
    <row r="2228" spans="1:39">
      <c r="B2228" s="975" t="s">
        <v>125</v>
      </c>
      <c r="C2228" s="993" t="s">
        <v>5595</v>
      </c>
      <c r="D2228" s="3"/>
      <c r="E2228" s="12" t="s">
        <v>5620</v>
      </c>
      <c r="F2228" s="3">
        <v>44</v>
      </c>
      <c r="G2228" s="995"/>
      <c r="H2228" s="3" t="s">
        <v>932</v>
      </c>
      <c r="I2228" s="995"/>
      <c r="J2228" s="784">
        <v>126.4</v>
      </c>
      <c r="K2228" s="995"/>
      <c r="L2228" s="995"/>
      <c r="M2228" s="761" t="str">
        <f t="shared" si="35"/>
        <v>January</v>
      </c>
      <c r="N2228" s="761">
        <v>44573</v>
      </c>
      <c r="O2228" s="761" t="s">
        <v>62</v>
      </c>
      <c r="P2228" s="995"/>
      <c r="Q2228" s="995"/>
      <c r="R2228" s="995"/>
      <c r="S2228" s="3"/>
      <c r="T2228" s="3"/>
      <c r="U2228" s="3"/>
      <c r="V2228" s="4"/>
      <c r="W2228" s="761"/>
      <c r="X2228" s="761"/>
      <c r="Y2228" s="761"/>
      <c r="Z2228" s="761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</row>
    <row r="2229" spans="1:39">
      <c r="B2229" s="975" t="s">
        <v>125</v>
      </c>
      <c r="C2229" s="993" t="s">
        <v>5595</v>
      </c>
      <c r="D2229" s="3"/>
      <c r="E2229" s="777" t="s">
        <v>5621</v>
      </c>
      <c r="F2229" s="3">
        <v>45</v>
      </c>
      <c r="G2229" s="995"/>
      <c r="H2229" s="3" t="s">
        <v>932</v>
      </c>
      <c r="I2229" s="995"/>
      <c r="J2229" s="784">
        <v>122.48</v>
      </c>
      <c r="K2229" s="995"/>
      <c r="L2229" s="995"/>
      <c r="M2229" s="761" t="str">
        <f t="shared" si="35"/>
        <v>January</v>
      </c>
      <c r="N2229" s="761">
        <v>44575</v>
      </c>
      <c r="O2229" s="761" t="s">
        <v>62</v>
      </c>
      <c r="P2229" s="995"/>
      <c r="Q2229" s="995"/>
      <c r="R2229" s="995"/>
      <c r="S2229" s="3"/>
      <c r="T2229" s="3"/>
      <c r="U2229" s="3"/>
      <c r="V2229" s="4"/>
      <c r="W2229" s="761"/>
      <c r="X2229" s="761"/>
      <c r="Y2229" s="761"/>
      <c r="Z2229" s="761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</row>
    <row r="2230" spans="1:39">
      <c r="B2230" s="975" t="s">
        <v>125</v>
      </c>
      <c r="C2230" s="993" t="s">
        <v>5595</v>
      </c>
      <c r="D2230" s="3"/>
      <c r="E2230" s="12" t="s">
        <v>5622</v>
      </c>
      <c r="F2230" s="3">
        <v>46</v>
      </c>
      <c r="G2230" s="995"/>
      <c r="H2230" s="3" t="s">
        <v>932</v>
      </c>
      <c r="I2230" s="995"/>
      <c r="J2230" s="784">
        <v>123.42</v>
      </c>
      <c r="K2230" s="995"/>
      <c r="L2230" s="995"/>
      <c r="M2230" s="761" t="str">
        <f t="shared" si="35"/>
        <v>January</v>
      </c>
      <c r="N2230" s="761">
        <v>44575</v>
      </c>
      <c r="O2230" s="761" t="s">
        <v>62</v>
      </c>
      <c r="P2230" s="995"/>
      <c r="Q2230" s="995"/>
      <c r="R2230" s="995"/>
      <c r="S2230" s="3"/>
      <c r="T2230" s="3"/>
      <c r="U2230" s="3"/>
      <c r="V2230" s="4"/>
      <c r="W2230" s="761"/>
      <c r="X2230" s="761"/>
      <c r="Y2230" s="761"/>
      <c r="Z2230" s="761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</row>
    <row r="2231" spans="1:39">
      <c r="B2231" s="975" t="s">
        <v>125</v>
      </c>
      <c r="C2231" s="993" t="s">
        <v>5595</v>
      </c>
      <c r="D2231" s="3"/>
      <c r="E2231" s="777" t="s">
        <v>5623</v>
      </c>
      <c r="F2231" s="3">
        <v>47</v>
      </c>
      <c r="G2231" s="995"/>
      <c r="H2231" s="3" t="s">
        <v>932</v>
      </c>
      <c r="I2231" s="995"/>
      <c r="J2231" s="784">
        <v>124.56</v>
      </c>
      <c r="K2231" s="995"/>
      <c r="L2231" s="995"/>
      <c r="M2231" s="761" t="str">
        <f t="shared" si="35"/>
        <v>January</v>
      </c>
      <c r="N2231" s="761">
        <v>44575</v>
      </c>
      <c r="O2231" s="761" t="s">
        <v>62</v>
      </c>
      <c r="P2231" s="995"/>
      <c r="Q2231" s="995"/>
      <c r="R2231" s="995"/>
      <c r="S2231" s="3"/>
      <c r="T2231" s="3"/>
      <c r="U2231" s="3"/>
      <c r="V2231" s="4"/>
      <c r="W2231" s="761"/>
      <c r="X2231" s="761"/>
      <c r="Y2231" s="761"/>
      <c r="Z2231" s="761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</row>
    <row r="2232" spans="1:39">
      <c r="B2232" s="975" t="s">
        <v>125</v>
      </c>
      <c r="C2232" s="993" t="s">
        <v>5595</v>
      </c>
      <c r="D2232" s="3"/>
      <c r="E2232" s="12" t="s">
        <v>5624</v>
      </c>
      <c r="F2232" s="3">
        <v>48</v>
      </c>
      <c r="G2232" s="995"/>
      <c r="H2232" s="3" t="s">
        <v>932</v>
      </c>
      <c r="I2232" s="995"/>
      <c r="J2232" s="784">
        <v>122.64</v>
      </c>
      <c r="K2232" s="995"/>
      <c r="L2232" s="995"/>
      <c r="M2232" s="761" t="str">
        <f t="shared" si="35"/>
        <v>January</v>
      </c>
      <c r="N2232" s="761">
        <v>44575</v>
      </c>
      <c r="O2232" s="761" t="s">
        <v>62</v>
      </c>
      <c r="P2232" s="995"/>
      <c r="Q2232" s="995"/>
      <c r="R2232" s="995"/>
      <c r="S2232" s="3"/>
      <c r="T2232" s="3"/>
      <c r="U2232" s="3"/>
      <c r="V2232" s="4"/>
      <c r="W2232" s="761"/>
      <c r="X2232" s="761"/>
      <c r="Y2232" s="761"/>
      <c r="Z2232" s="761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</row>
    <row r="2233" spans="1:39">
      <c r="B2233" s="975" t="s">
        <v>125</v>
      </c>
      <c r="C2233" s="993" t="s">
        <v>5595</v>
      </c>
      <c r="D2233" s="3"/>
      <c r="E2233" s="777" t="s">
        <v>5625</v>
      </c>
      <c r="F2233" s="3">
        <v>49</v>
      </c>
      <c r="G2233" s="995"/>
      <c r="H2233" s="3" t="s">
        <v>932</v>
      </c>
      <c r="I2233" s="995"/>
      <c r="J2233" s="784">
        <v>125.9</v>
      </c>
      <c r="K2233" s="995"/>
      <c r="L2233" s="995"/>
      <c r="M2233" s="761" t="str">
        <f t="shared" si="35"/>
        <v>January</v>
      </c>
      <c r="N2233" s="761">
        <v>44575</v>
      </c>
      <c r="O2233" s="761" t="s">
        <v>62</v>
      </c>
      <c r="P2233" s="995"/>
      <c r="Q2233" s="995"/>
      <c r="R2233" s="995"/>
      <c r="S2233" s="3"/>
      <c r="T2233" s="3"/>
      <c r="U2233" s="3"/>
      <c r="V2233" s="4"/>
      <c r="W2233" s="761"/>
      <c r="X2233" s="761"/>
      <c r="Y2233" s="761"/>
      <c r="Z2233" s="761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</row>
    <row r="2234" spans="1:39">
      <c r="B2234" s="975" t="s">
        <v>125</v>
      </c>
      <c r="C2234" s="993" t="s">
        <v>5595</v>
      </c>
      <c r="D2234" s="3"/>
      <c r="E2234" s="12" t="s">
        <v>5626</v>
      </c>
      <c r="F2234" s="3">
        <v>50</v>
      </c>
      <c r="G2234" s="995"/>
      <c r="H2234" s="3" t="s">
        <v>932</v>
      </c>
      <c r="I2234" s="995"/>
      <c r="J2234" s="784">
        <v>126.06</v>
      </c>
      <c r="K2234" s="995"/>
      <c r="L2234" s="995"/>
      <c r="M2234" s="761" t="str">
        <f t="shared" si="35"/>
        <v>January</v>
      </c>
      <c r="N2234" s="761">
        <v>44575</v>
      </c>
      <c r="O2234" s="761" t="s">
        <v>62</v>
      </c>
      <c r="P2234" s="995"/>
      <c r="Q2234" s="995"/>
      <c r="R2234" s="995"/>
      <c r="S2234" s="3"/>
      <c r="T2234" s="3"/>
      <c r="U2234" s="3"/>
      <c r="V2234" s="4"/>
      <c r="W2234" s="761"/>
      <c r="X2234" s="761"/>
      <c r="Y2234" s="761"/>
      <c r="Z2234" s="761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</row>
    <row r="2235" spans="1:39">
      <c r="B2235" s="975" t="s">
        <v>125</v>
      </c>
      <c r="C2235" s="993" t="s">
        <v>5595</v>
      </c>
      <c r="D2235" s="3"/>
      <c r="E2235" s="12" t="s">
        <v>5627</v>
      </c>
      <c r="F2235" s="3">
        <v>51</v>
      </c>
      <c r="G2235" s="995"/>
      <c r="H2235" s="3" t="s">
        <v>932</v>
      </c>
      <c r="I2235" s="995"/>
      <c r="J2235" s="784">
        <v>121.68</v>
      </c>
      <c r="K2235" s="995"/>
      <c r="L2235" s="995"/>
      <c r="M2235" s="761" t="str">
        <f t="shared" si="35"/>
        <v>January</v>
      </c>
      <c r="N2235" s="761">
        <v>44578</v>
      </c>
      <c r="O2235" s="761" t="s">
        <v>62</v>
      </c>
      <c r="P2235" s="995"/>
      <c r="Q2235" s="995"/>
      <c r="R2235" s="995"/>
      <c r="S2235" s="3"/>
      <c r="T2235" s="3"/>
      <c r="U2235" s="3"/>
      <c r="V2235" s="4"/>
      <c r="W2235" s="761"/>
      <c r="X2235" s="761"/>
      <c r="Y2235" s="761"/>
      <c r="Z2235" s="761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</row>
    <row r="2236" spans="1:39">
      <c r="B2236" s="975" t="s">
        <v>125</v>
      </c>
      <c r="C2236" s="993" t="s">
        <v>5595</v>
      </c>
      <c r="D2236" s="3"/>
      <c r="E2236" s="12" t="s">
        <v>5628</v>
      </c>
      <c r="F2236" s="3">
        <v>52</v>
      </c>
      <c r="G2236" s="995"/>
      <c r="H2236" s="3" t="s">
        <v>932</v>
      </c>
      <c r="I2236" s="995"/>
      <c r="J2236" s="784">
        <v>122.38</v>
      </c>
      <c r="K2236" s="995"/>
      <c r="L2236" s="995"/>
      <c r="M2236" s="761" t="str">
        <f t="shared" si="35"/>
        <v>January</v>
      </c>
      <c r="N2236" s="761">
        <v>44578</v>
      </c>
      <c r="O2236" s="761" t="s">
        <v>62</v>
      </c>
      <c r="P2236" s="995"/>
      <c r="Q2236" s="995"/>
      <c r="R2236" s="995"/>
      <c r="S2236" s="3"/>
      <c r="T2236" s="3"/>
      <c r="U2236" s="3"/>
      <c r="V2236" s="4"/>
      <c r="W2236" s="761"/>
      <c r="X2236" s="761"/>
      <c r="Y2236" s="761"/>
      <c r="Z2236" s="761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</row>
    <row r="2237" spans="1:39">
      <c r="B2237" s="975" t="s">
        <v>125</v>
      </c>
      <c r="C2237" s="993" t="s">
        <v>5595</v>
      </c>
      <c r="D2237" s="3"/>
      <c r="E2237" s="12" t="s">
        <v>5629</v>
      </c>
      <c r="F2237" s="3">
        <v>53</v>
      </c>
      <c r="G2237" s="995"/>
      <c r="H2237" s="3" t="s">
        <v>932</v>
      </c>
      <c r="I2237" s="995"/>
      <c r="J2237" s="784">
        <v>126.38</v>
      </c>
      <c r="K2237" s="995"/>
      <c r="L2237" s="995"/>
      <c r="M2237" s="761" t="str">
        <f t="shared" si="35"/>
        <v>January</v>
      </c>
      <c r="N2237" s="761">
        <v>44578</v>
      </c>
      <c r="O2237" s="761" t="s">
        <v>62</v>
      </c>
      <c r="P2237" s="995"/>
      <c r="Q2237" s="995"/>
      <c r="R2237" s="995"/>
      <c r="S2237" s="3"/>
      <c r="T2237" s="3"/>
      <c r="U2237" s="3"/>
      <c r="V2237" s="4"/>
      <c r="W2237" s="761"/>
      <c r="X2237" s="761"/>
      <c r="Y2237" s="761"/>
      <c r="Z2237" s="761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</row>
    <row r="2238" spans="1:39" s="707" customFormat="1">
      <c r="A2238"/>
      <c r="B2238" s="976" t="s">
        <v>13</v>
      </c>
      <c r="C2238" s="807"/>
      <c r="D2238" s="807"/>
      <c r="E2238" s="875"/>
      <c r="F2238" s="807"/>
      <c r="G2238" s="807"/>
      <c r="H2238" s="807"/>
      <c r="I2238" s="807"/>
      <c r="J2238" s="998"/>
      <c r="K2238" s="807"/>
      <c r="L2238" s="807"/>
      <c r="M2238" s="819"/>
      <c r="N2238" s="819"/>
      <c r="O2238" s="819"/>
      <c r="P2238" s="807"/>
      <c r="Q2238" s="807"/>
      <c r="R2238" s="807"/>
      <c r="S2238" s="807"/>
      <c r="T2238" s="807"/>
      <c r="U2238" s="807"/>
      <c r="V2238" s="710"/>
      <c r="W2238" s="819"/>
      <c r="X2238" s="819"/>
      <c r="Y2238" s="819"/>
      <c r="Z2238" s="819"/>
      <c r="AA2238" s="710"/>
      <c r="AB2238" s="710"/>
      <c r="AC2238" s="710"/>
      <c r="AD2238" s="710"/>
      <c r="AE2238" s="710"/>
      <c r="AF2238" s="710"/>
      <c r="AG2238" s="710"/>
      <c r="AH2238" s="710"/>
      <c r="AI2238" s="710"/>
      <c r="AJ2238" s="710"/>
      <c r="AK2238" s="710"/>
      <c r="AL2238" s="710"/>
      <c r="AM2238" s="710"/>
    </row>
    <row r="2239" spans="1:39">
      <c r="B2239" s="1499" t="s">
        <v>163</v>
      </c>
      <c r="C2239" s="993" t="s">
        <v>5595</v>
      </c>
      <c r="D2239" s="3"/>
      <c r="E2239" s="12" t="s">
        <v>5630</v>
      </c>
      <c r="F2239" s="3">
        <v>1</v>
      </c>
      <c r="G2239" s="995"/>
      <c r="H2239" s="3" t="s">
        <v>932</v>
      </c>
      <c r="I2239" s="995"/>
      <c r="J2239" s="784">
        <v>125.88</v>
      </c>
      <c r="K2239" s="995"/>
      <c r="L2239" s="995"/>
      <c r="M2239" s="761" t="s">
        <v>2094</v>
      </c>
      <c r="N2239" s="761">
        <v>44578</v>
      </c>
      <c r="O2239" s="761" t="s">
        <v>62</v>
      </c>
      <c r="P2239" s="995"/>
      <c r="Q2239" s="995"/>
      <c r="R2239" s="995"/>
      <c r="S2239" s="3"/>
      <c r="T2239" s="3"/>
      <c r="U2239" s="3"/>
      <c r="V2239" s="4"/>
      <c r="W2239" s="761"/>
      <c r="X2239" s="761"/>
      <c r="Y2239" s="761"/>
      <c r="Z2239" s="761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</row>
    <row r="2240" spans="1:39">
      <c r="B2240" s="1499" t="s">
        <v>163</v>
      </c>
      <c r="C2240" s="993" t="s">
        <v>5595</v>
      </c>
      <c r="D2240" s="3"/>
      <c r="E2240" s="12" t="s">
        <v>5631</v>
      </c>
      <c r="F2240" s="3">
        <v>2</v>
      </c>
      <c r="G2240" s="995"/>
      <c r="H2240" s="3" t="s">
        <v>932</v>
      </c>
      <c r="I2240" s="995"/>
      <c r="J2240" s="784">
        <v>123.72</v>
      </c>
      <c r="K2240" s="995"/>
      <c r="L2240" s="995"/>
      <c r="M2240" s="761" t="s">
        <v>2094</v>
      </c>
      <c r="N2240" s="761">
        <v>44578</v>
      </c>
      <c r="O2240" s="761" t="s">
        <v>62</v>
      </c>
      <c r="P2240" s="995"/>
      <c r="Q2240" s="995"/>
      <c r="R2240" s="995"/>
      <c r="S2240" s="3"/>
      <c r="T2240" s="3"/>
      <c r="U2240" s="3"/>
      <c r="V2240" s="4"/>
      <c r="W2240" s="761"/>
      <c r="X2240" s="761"/>
      <c r="Y2240" s="761"/>
      <c r="Z2240" s="761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</row>
    <row r="2241" spans="1:39">
      <c r="B2241" s="1499" t="s">
        <v>163</v>
      </c>
      <c r="C2241" s="993" t="s">
        <v>5595</v>
      </c>
      <c r="D2241" s="3"/>
      <c r="E2241" s="12" t="s">
        <v>5632</v>
      </c>
      <c r="F2241" s="3">
        <v>3</v>
      </c>
      <c r="G2241" s="995"/>
      <c r="H2241" s="3" t="s">
        <v>932</v>
      </c>
      <c r="I2241" s="995"/>
      <c r="J2241" s="784">
        <v>123.96</v>
      </c>
      <c r="K2241" s="995"/>
      <c r="L2241" s="995"/>
      <c r="M2241" s="761" t="s">
        <v>2094</v>
      </c>
      <c r="N2241" s="761">
        <v>44578</v>
      </c>
      <c r="O2241" s="761" t="s">
        <v>62</v>
      </c>
      <c r="P2241" s="995"/>
      <c r="Q2241" s="995"/>
      <c r="R2241" s="995"/>
      <c r="S2241" s="3"/>
      <c r="T2241" s="3"/>
      <c r="U2241" s="3"/>
      <c r="V2241" s="4"/>
      <c r="W2241" s="761"/>
      <c r="X2241" s="761"/>
      <c r="Y2241" s="761"/>
      <c r="Z2241" s="761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</row>
    <row r="2242" spans="1:39">
      <c r="B2242" s="1499" t="s">
        <v>163</v>
      </c>
      <c r="C2242" s="993" t="s">
        <v>5595</v>
      </c>
      <c r="D2242" s="3"/>
      <c r="E2242" s="12" t="s">
        <v>5633</v>
      </c>
      <c r="F2242" s="3">
        <v>4</v>
      </c>
      <c r="G2242" s="995"/>
      <c r="H2242" s="3" t="s">
        <v>1041</v>
      </c>
      <c r="I2242" s="995"/>
      <c r="J2242" s="998"/>
      <c r="K2242" s="995"/>
      <c r="L2242" s="995"/>
      <c r="M2242" s="761" t="s">
        <v>2094</v>
      </c>
      <c r="N2242" s="761">
        <v>44588</v>
      </c>
      <c r="O2242" s="761" t="s">
        <v>5634</v>
      </c>
      <c r="P2242" s="995"/>
      <c r="Q2242" s="995"/>
      <c r="R2242" s="995"/>
      <c r="S2242" s="3"/>
      <c r="T2242" s="3"/>
      <c r="U2242" s="3"/>
      <c r="V2242" s="4"/>
      <c r="W2242" s="761"/>
      <c r="X2242" s="761"/>
      <c r="Y2242" s="761"/>
      <c r="Z2242" s="761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</row>
    <row r="2243" spans="1:39">
      <c r="B2243" s="1499" t="s">
        <v>163</v>
      </c>
      <c r="C2243" s="993" t="s">
        <v>5595</v>
      </c>
      <c r="D2243" s="3"/>
      <c r="E2243" s="12" t="s">
        <v>5635</v>
      </c>
      <c r="F2243" s="3">
        <v>5</v>
      </c>
      <c r="G2243" s="995"/>
      <c r="H2243" s="3" t="s">
        <v>1041</v>
      </c>
      <c r="I2243" s="995"/>
      <c r="J2243" s="784">
        <v>121.56</v>
      </c>
      <c r="K2243" s="995"/>
      <c r="L2243" s="995"/>
      <c r="M2243" s="761" t="s">
        <v>2094</v>
      </c>
      <c r="N2243" s="761">
        <v>44588</v>
      </c>
      <c r="O2243" s="761" t="s">
        <v>62</v>
      </c>
      <c r="P2243" s="995"/>
      <c r="Q2243" s="995"/>
      <c r="R2243" s="995"/>
      <c r="S2243" s="3"/>
      <c r="T2243" s="3"/>
      <c r="U2243" s="3"/>
      <c r="V2243" s="4"/>
      <c r="W2243" s="761"/>
      <c r="X2243" s="761"/>
      <c r="Y2243" s="761"/>
      <c r="Z2243" s="761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</row>
    <row r="2244" spans="1:39">
      <c r="B2244" s="1499" t="s">
        <v>163</v>
      </c>
      <c r="C2244" s="993" t="s">
        <v>5595</v>
      </c>
      <c r="D2244" s="3"/>
      <c r="E2244" s="12" t="s">
        <v>5636</v>
      </c>
      <c r="F2244" s="3">
        <v>6</v>
      </c>
      <c r="G2244" s="995"/>
      <c r="H2244" s="3" t="s">
        <v>1041</v>
      </c>
      <c r="I2244" s="995"/>
      <c r="J2244" s="784">
        <v>124.1</v>
      </c>
      <c r="K2244" s="995"/>
      <c r="L2244" s="995"/>
      <c r="M2244" s="761" t="s">
        <v>2094</v>
      </c>
      <c r="N2244" s="761">
        <v>44588</v>
      </c>
      <c r="O2244" s="761" t="s">
        <v>62</v>
      </c>
      <c r="P2244" s="995"/>
      <c r="Q2244" s="995"/>
      <c r="R2244" s="995"/>
      <c r="S2244" s="3"/>
      <c r="T2244" s="3"/>
      <c r="U2244" s="3"/>
      <c r="V2244" s="4"/>
      <c r="W2244" s="761"/>
      <c r="X2244" s="761"/>
      <c r="Y2244" s="761"/>
      <c r="Z2244" s="761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</row>
    <row r="2245" spans="1:39">
      <c r="B2245" s="1499" t="s">
        <v>163</v>
      </c>
      <c r="C2245" s="993" t="s">
        <v>5595</v>
      </c>
      <c r="D2245" s="3"/>
      <c r="E2245" s="12" t="s">
        <v>5637</v>
      </c>
      <c r="F2245" s="3">
        <v>7</v>
      </c>
      <c r="G2245" s="995"/>
      <c r="H2245" s="3" t="s">
        <v>1041</v>
      </c>
      <c r="I2245" s="995"/>
      <c r="J2245" s="784">
        <v>125.74</v>
      </c>
      <c r="K2245" s="995"/>
      <c r="L2245" s="995"/>
      <c r="M2245" s="761" t="s">
        <v>2094</v>
      </c>
      <c r="N2245" s="761">
        <v>44588</v>
      </c>
      <c r="O2245" s="761" t="s">
        <v>62</v>
      </c>
      <c r="P2245" s="995"/>
      <c r="Q2245" s="995"/>
      <c r="R2245" s="995"/>
      <c r="S2245" s="3"/>
      <c r="T2245" s="3"/>
      <c r="U2245" s="3"/>
      <c r="V2245" s="4"/>
      <c r="W2245" s="761"/>
      <c r="X2245" s="761"/>
      <c r="Y2245" s="761"/>
      <c r="Z2245" s="761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</row>
    <row r="2246" spans="1:39">
      <c r="B2246" s="1499" t="s">
        <v>163</v>
      </c>
      <c r="C2246" s="993" t="s">
        <v>5595</v>
      </c>
      <c r="D2246" s="3"/>
      <c r="E2246" s="12" t="s">
        <v>5638</v>
      </c>
      <c r="F2246" s="3">
        <v>8</v>
      </c>
      <c r="G2246" s="995"/>
      <c r="H2246" s="3" t="s">
        <v>1041</v>
      </c>
      <c r="I2246" s="995"/>
      <c r="J2246" s="784">
        <v>125.82</v>
      </c>
      <c r="K2246" s="995"/>
      <c r="L2246" s="995"/>
      <c r="M2246" s="761" t="s">
        <v>2094</v>
      </c>
      <c r="N2246" s="761">
        <v>44588</v>
      </c>
      <c r="O2246" s="761" t="s">
        <v>62</v>
      </c>
      <c r="P2246" s="995"/>
      <c r="Q2246" s="995"/>
      <c r="R2246" s="995"/>
      <c r="S2246" s="3"/>
      <c r="T2246" s="3"/>
      <c r="U2246" s="3"/>
      <c r="V2246" s="4"/>
      <c r="W2246" s="761"/>
      <c r="X2246" s="761"/>
      <c r="Y2246" s="761"/>
      <c r="Z2246" s="761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</row>
    <row r="2247" spans="1:39" s="707" customFormat="1">
      <c r="A2247"/>
      <c r="B2247" s="976" t="s">
        <v>13</v>
      </c>
      <c r="C2247" s="807"/>
      <c r="D2247" s="807"/>
      <c r="E2247" s="875"/>
      <c r="F2247" s="807"/>
      <c r="G2247" s="807"/>
      <c r="H2247" s="807"/>
      <c r="I2247" s="807"/>
      <c r="J2247" s="998"/>
      <c r="K2247" s="807"/>
      <c r="L2247" s="807"/>
      <c r="M2247" s="819"/>
      <c r="N2247" s="819"/>
      <c r="O2247" s="819"/>
      <c r="P2247" s="807"/>
      <c r="Q2247" s="807"/>
      <c r="R2247" s="807"/>
      <c r="S2247" s="807"/>
      <c r="T2247" s="807"/>
      <c r="U2247" s="807"/>
      <c r="V2247" s="710"/>
      <c r="W2247" s="819"/>
      <c r="X2247" s="819"/>
      <c r="Y2247" s="819"/>
      <c r="Z2247" s="819"/>
      <c r="AA2247" s="710"/>
      <c r="AB2247" s="710"/>
      <c r="AC2247" s="710"/>
      <c r="AD2247" s="710"/>
      <c r="AE2247" s="710"/>
      <c r="AF2247" s="710"/>
      <c r="AG2247" s="710"/>
      <c r="AH2247" s="710"/>
      <c r="AI2247" s="710"/>
      <c r="AJ2247" s="710"/>
      <c r="AK2247" s="710"/>
      <c r="AL2247" s="710"/>
      <c r="AM2247" s="710"/>
    </row>
    <row r="2248" spans="1:39">
      <c r="B2248" s="975">
        <v>5</v>
      </c>
      <c r="C2248" s="993" t="s">
        <v>5595</v>
      </c>
      <c r="D2248" s="3"/>
      <c r="E2248" s="12" t="s">
        <v>5639</v>
      </c>
      <c r="F2248" s="3">
        <v>1</v>
      </c>
      <c r="G2248" s="995"/>
      <c r="H2248" s="3" t="s">
        <v>60</v>
      </c>
      <c r="I2248" s="995"/>
      <c r="J2248" s="784">
        <v>122.48</v>
      </c>
      <c r="K2248" s="995"/>
      <c r="L2248" s="995"/>
      <c r="M2248" s="761" t="s">
        <v>2327</v>
      </c>
      <c r="N2248" s="761">
        <v>44698</v>
      </c>
      <c r="O2248" s="761" t="s">
        <v>62</v>
      </c>
      <c r="P2248" s="995"/>
      <c r="Q2248" s="995"/>
      <c r="R2248" s="995"/>
      <c r="S2248" s="3"/>
      <c r="T2248" s="3"/>
      <c r="U2248" s="3"/>
      <c r="V2248" s="4"/>
      <c r="W2248" s="761"/>
      <c r="X2248" s="761"/>
      <c r="Y2248" s="761"/>
      <c r="Z2248" s="761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</row>
    <row r="2249" spans="1:39">
      <c r="B2249" s="975">
        <v>5</v>
      </c>
      <c r="C2249" s="993" t="s">
        <v>5595</v>
      </c>
      <c r="D2249" s="3"/>
      <c r="E2249" s="12" t="s">
        <v>5640</v>
      </c>
      <c r="F2249" s="3">
        <v>2</v>
      </c>
      <c r="G2249" s="995"/>
      <c r="H2249" s="3" t="s">
        <v>60</v>
      </c>
      <c r="I2249" s="995"/>
      <c r="J2249" s="784">
        <v>123.94</v>
      </c>
      <c r="K2249" s="995"/>
      <c r="L2249" s="995"/>
      <c r="M2249" s="761" t="s">
        <v>2327</v>
      </c>
      <c r="N2249" s="761">
        <v>44698</v>
      </c>
      <c r="O2249" s="761" t="s">
        <v>62</v>
      </c>
      <c r="P2249" s="995"/>
      <c r="Q2249" s="995"/>
      <c r="R2249" s="995"/>
      <c r="S2249" s="3"/>
      <c r="T2249" s="3"/>
      <c r="U2249" s="3"/>
      <c r="V2249" s="4"/>
      <c r="W2249" s="761"/>
      <c r="X2249" s="761"/>
      <c r="Y2249" s="761"/>
      <c r="Z2249" s="761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</row>
    <row r="2250" spans="1:39">
      <c r="B2250" s="975">
        <v>5</v>
      </c>
      <c r="C2250" s="993" t="s">
        <v>5595</v>
      </c>
      <c r="D2250" s="3"/>
      <c r="E2250" s="12" t="s">
        <v>5641</v>
      </c>
      <c r="F2250" s="3">
        <v>3</v>
      </c>
      <c r="G2250" s="995"/>
      <c r="H2250" s="3" t="s">
        <v>932</v>
      </c>
      <c r="I2250" s="995"/>
      <c r="J2250" s="784">
        <v>124.94</v>
      </c>
      <c r="K2250" s="995"/>
      <c r="L2250" s="995"/>
      <c r="M2250" s="761" t="s">
        <v>2327</v>
      </c>
      <c r="N2250" s="761">
        <v>44699</v>
      </c>
      <c r="O2250" s="761" t="s">
        <v>62</v>
      </c>
      <c r="P2250" s="995"/>
      <c r="Q2250" s="995"/>
      <c r="R2250" s="995"/>
      <c r="S2250" s="3"/>
      <c r="T2250" s="3"/>
      <c r="U2250" s="3"/>
      <c r="V2250" s="4"/>
      <c r="W2250" s="761"/>
      <c r="X2250" s="761"/>
      <c r="Y2250" s="761"/>
      <c r="Z2250" s="761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</row>
    <row r="2251" spans="1:39">
      <c r="B2251" s="975">
        <v>5</v>
      </c>
      <c r="C2251" s="993" t="s">
        <v>5595</v>
      </c>
      <c r="D2251" s="3"/>
      <c r="E2251" s="12" t="s">
        <v>5642</v>
      </c>
      <c r="F2251" s="3">
        <v>4</v>
      </c>
      <c r="G2251" s="995"/>
      <c r="H2251" s="3" t="s">
        <v>932</v>
      </c>
      <c r="I2251" s="995"/>
      <c r="J2251" s="784">
        <v>126.46</v>
      </c>
      <c r="K2251" s="995"/>
      <c r="L2251" s="995"/>
      <c r="M2251" s="761" t="s">
        <v>2327</v>
      </c>
      <c r="N2251" s="761">
        <v>44699</v>
      </c>
      <c r="O2251" s="761" t="s">
        <v>62</v>
      </c>
      <c r="P2251" s="995"/>
      <c r="Q2251" s="995"/>
      <c r="R2251" s="995"/>
      <c r="S2251" s="3"/>
      <c r="T2251" s="3"/>
      <c r="U2251" s="3"/>
      <c r="V2251" s="4"/>
      <c r="W2251" s="761"/>
      <c r="X2251" s="761"/>
      <c r="Y2251" s="761"/>
      <c r="Z2251" s="761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</row>
    <row r="2252" spans="1:39">
      <c r="B2252" s="975">
        <v>5</v>
      </c>
      <c r="C2252" s="993" t="s">
        <v>5595</v>
      </c>
      <c r="D2252" s="3"/>
      <c r="E2252" s="12" t="s">
        <v>5643</v>
      </c>
      <c r="F2252" s="3">
        <v>5</v>
      </c>
      <c r="G2252" s="995"/>
      <c r="H2252" s="3" t="s">
        <v>932</v>
      </c>
      <c r="I2252" s="995"/>
      <c r="J2252" s="3">
        <v>122.32</v>
      </c>
      <c r="K2252" s="995"/>
      <c r="L2252" s="995"/>
      <c r="M2252" s="761" t="s">
        <v>2327</v>
      </c>
      <c r="N2252" s="761">
        <v>44699</v>
      </c>
      <c r="O2252" s="761" t="s">
        <v>62</v>
      </c>
      <c r="P2252" s="995"/>
      <c r="Q2252" s="995"/>
      <c r="R2252" s="995"/>
      <c r="S2252" s="3"/>
      <c r="T2252" s="3"/>
      <c r="U2252" s="3"/>
      <c r="V2252" s="4"/>
      <c r="W2252" s="761"/>
      <c r="X2252" s="761"/>
      <c r="Y2252" s="761"/>
      <c r="Z2252" s="761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</row>
    <row r="2253" spans="1:39">
      <c r="B2253" s="975">
        <v>5</v>
      </c>
      <c r="C2253" s="993" t="s">
        <v>5595</v>
      </c>
      <c r="D2253" s="3"/>
      <c r="E2253" s="12" t="s">
        <v>5644</v>
      </c>
      <c r="F2253" s="3">
        <v>6</v>
      </c>
      <c r="G2253" s="995"/>
      <c r="H2253" s="3" t="s">
        <v>932</v>
      </c>
      <c r="I2253" s="995"/>
      <c r="J2253" s="3">
        <v>123.16</v>
      </c>
      <c r="K2253" s="995"/>
      <c r="L2253" s="995"/>
      <c r="M2253" s="761" t="s">
        <v>2327</v>
      </c>
      <c r="N2253" s="761">
        <v>44699</v>
      </c>
      <c r="O2253" s="761" t="s">
        <v>62</v>
      </c>
      <c r="P2253" s="995"/>
      <c r="Q2253" s="995"/>
      <c r="R2253" s="995"/>
      <c r="S2253" s="3"/>
      <c r="T2253" s="3"/>
      <c r="U2253" s="3"/>
      <c r="V2253" s="4"/>
      <c r="W2253" s="761"/>
      <c r="X2253" s="761"/>
      <c r="Y2253" s="761"/>
      <c r="Z2253" s="761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</row>
    <row r="2254" spans="1:39">
      <c r="B2254" s="975">
        <v>5</v>
      </c>
      <c r="C2254" s="993" t="s">
        <v>5595</v>
      </c>
      <c r="D2254" s="3"/>
      <c r="E2254" s="12" t="s">
        <v>5645</v>
      </c>
      <c r="F2254" s="3">
        <v>7</v>
      </c>
      <c r="G2254" s="995"/>
      <c r="H2254" s="3" t="s">
        <v>932</v>
      </c>
      <c r="I2254" s="995"/>
      <c r="J2254" s="3">
        <v>122.36</v>
      </c>
      <c r="K2254" s="995"/>
      <c r="L2254" s="995"/>
      <c r="M2254" s="761" t="s">
        <v>2327</v>
      </c>
      <c r="N2254" s="761">
        <v>44699</v>
      </c>
      <c r="O2254" s="761" t="s">
        <v>62</v>
      </c>
      <c r="P2254" s="995"/>
      <c r="Q2254" s="995"/>
      <c r="R2254" s="995"/>
      <c r="S2254" s="3"/>
      <c r="T2254" s="3"/>
      <c r="U2254" s="3"/>
      <c r="V2254" s="4"/>
      <c r="W2254" s="761"/>
      <c r="X2254" s="761"/>
      <c r="Y2254" s="761"/>
      <c r="Z2254" s="761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</row>
    <row r="2255" spans="1:39">
      <c r="B2255" s="975">
        <v>5</v>
      </c>
      <c r="C2255" s="993" t="s">
        <v>5595</v>
      </c>
      <c r="D2255" s="3"/>
      <c r="E2255" s="11">
        <v>51942</v>
      </c>
      <c r="F2255" s="749">
        <v>8</v>
      </c>
      <c r="G2255" s="995"/>
      <c r="H2255" s="3" t="s">
        <v>932</v>
      </c>
      <c r="I2255" s="995"/>
      <c r="J2255" s="3">
        <v>122.24</v>
      </c>
      <c r="K2255" s="995"/>
      <c r="L2255" s="995"/>
      <c r="M2255" s="761" t="s">
        <v>2327</v>
      </c>
      <c r="N2255" s="761">
        <v>44700</v>
      </c>
      <c r="O2255" s="761" t="s">
        <v>62</v>
      </c>
      <c r="P2255" s="995"/>
      <c r="Q2255" s="995"/>
      <c r="R2255" s="995"/>
      <c r="S2255" s="3"/>
      <c r="T2255" s="3"/>
      <c r="U2255" s="3"/>
      <c r="V2255" s="4"/>
      <c r="W2255" s="761"/>
      <c r="X2255" s="761"/>
      <c r="Y2255" s="761"/>
      <c r="Z2255" s="761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</row>
    <row r="2256" spans="1:39">
      <c r="B2256" s="975">
        <v>5</v>
      </c>
      <c r="C2256" s="993" t="s">
        <v>5595</v>
      </c>
      <c r="D2256" s="3"/>
      <c r="E2256" s="11">
        <v>51952</v>
      </c>
      <c r="F2256" s="749">
        <v>9</v>
      </c>
      <c r="G2256" s="995"/>
      <c r="H2256" s="3" t="s">
        <v>932</v>
      </c>
      <c r="I2256" s="995"/>
      <c r="J2256" s="3">
        <v>125.46</v>
      </c>
      <c r="K2256" s="995"/>
      <c r="L2256" s="995"/>
      <c r="M2256" s="761" t="s">
        <v>2327</v>
      </c>
      <c r="N2256" s="761">
        <v>44700</v>
      </c>
      <c r="O2256" s="761" t="s">
        <v>62</v>
      </c>
      <c r="P2256" s="995"/>
      <c r="Q2256" s="995"/>
      <c r="R2256" s="995"/>
      <c r="S2256" s="3"/>
      <c r="T2256" s="3"/>
      <c r="U2256" s="3"/>
      <c r="V2256" s="4"/>
      <c r="W2256" s="761"/>
      <c r="X2256" s="761"/>
      <c r="Y2256" s="761"/>
      <c r="Z2256" s="761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</row>
    <row r="2257" spans="1:39">
      <c r="B2257" s="975">
        <v>5</v>
      </c>
      <c r="C2257" s="993" t="s">
        <v>5595</v>
      </c>
      <c r="D2257" s="3"/>
      <c r="E2257" s="11">
        <v>51962</v>
      </c>
      <c r="F2257" s="749">
        <v>10</v>
      </c>
      <c r="G2257" s="995"/>
      <c r="H2257" s="3" t="s">
        <v>932</v>
      </c>
      <c r="I2257" s="995"/>
      <c r="J2257" s="3">
        <v>122.42</v>
      </c>
      <c r="K2257" s="995"/>
      <c r="L2257" s="995"/>
      <c r="M2257" s="761" t="s">
        <v>2327</v>
      </c>
      <c r="N2257" s="761">
        <v>44700</v>
      </c>
      <c r="O2257" s="761" t="s">
        <v>62</v>
      </c>
      <c r="P2257" s="995"/>
      <c r="Q2257" s="995"/>
      <c r="R2257" s="995"/>
      <c r="S2257" s="3"/>
      <c r="T2257" s="3"/>
      <c r="U2257" s="3"/>
      <c r="V2257" s="4"/>
      <c r="W2257" s="761"/>
      <c r="X2257" s="761"/>
      <c r="Y2257" s="761"/>
      <c r="Z2257" s="761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</row>
    <row r="2258" spans="1:39">
      <c r="B2258" s="975">
        <v>5</v>
      </c>
      <c r="C2258" s="993" t="s">
        <v>5595</v>
      </c>
      <c r="D2258" s="3"/>
      <c r="E2258" s="11">
        <v>51972</v>
      </c>
      <c r="F2258" s="749">
        <v>11</v>
      </c>
      <c r="G2258" s="995"/>
      <c r="H2258" s="3" t="s">
        <v>932</v>
      </c>
      <c r="I2258" s="995"/>
      <c r="J2258" s="3">
        <v>123.5</v>
      </c>
      <c r="K2258" s="995"/>
      <c r="L2258" s="995"/>
      <c r="M2258" s="761" t="s">
        <v>2327</v>
      </c>
      <c r="N2258" s="761">
        <v>44701</v>
      </c>
      <c r="O2258" s="761" t="s">
        <v>62</v>
      </c>
      <c r="P2258" s="995"/>
      <c r="Q2258" s="995"/>
      <c r="R2258" s="995"/>
      <c r="S2258" s="3"/>
      <c r="T2258" s="3"/>
      <c r="U2258" s="3"/>
      <c r="V2258" s="4"/>
      <c r="W2258" s="761"/>
      <c r="X2258" s="761"/>
      <c r="Y2258" s="761"/>
      <c r="Z2258" s="761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</row>
    <row r="2259" spans="1:39" s="707" customFormat="1">
      <c r="A2259"/>
      <c r="B2259" s="976" t="s">
        <v>13</v>
      </c>
      <c r="C2259" s="807"/>
      <c r="D2259" s="807"/>
      <c r="E2259" s="874"/>
      <c r="F2259" s="808"/>
      <c r="G2259" s="807"/>
      <c r="H2259" s="807"/>
      <c r="I2259" s="807"/>
      <c r="J2259" s="807"/>
      <c r="K2259" s="807"/>
      <c r="L2259" s="807"/>
      <c r="M2259" s="819"/>
      <c r="N2259" s="819"/>
      <c r="O2259" s="819"/>
      <c r="P2259" s="807"/>
      <c r="Q2259" s="807"/>
      <c r="R2259" s="807"/>
      <c r="S2259" s="807"/>
      <c r="T2259" s="807"/>
      <c r="U2259" s="807"/>
      <c r="V2259" s="710"/>
      <c r="W2259" s="819"/>
      <c r="X2259" s="819"/>
      <c r="Y2259" s="819"/>
      <c r="Z2259" s="819"/>
      <c r="AA2259" s="710"/>
      <c r="AB2259" s="710"/>
      <c r="AC2259" s="710"/>
      <c r="AD2259" s="710"/>
      <c r="AE2259" s="710"/>
      <c r="AF2259" s="710"/>
      <c r="AG2259" s="710"/>
      <c r="AH2259" s="710"/>
      <c r="AI2259" s="710"/>
      <c r="AJ2259" s="710"/>
      <c r="AK2259" s="710"/>
      <c r="AL2259" s="710"/>
      <c r="AM2259" s="710"/>
    </row>
    <row r="2260" spans="1:39">
      <c r="B2260" s="975">
        <v>6</v>
      </c>
      <c r="C2260" s="993" t="s">
        <v>5595</v>
      </c>
      <c r="D2260" s="3">
        <v>200098531</v>
      </c>
      <c r="E2260" s="11">
        <v>63232</v>
      </c>
      <c r="F2260" s="749">
        <v>12</v>
      </c>
      <c r="G2260" s="995"/>
      <c r="H2260" s="3" t="s">
        <v>60</v>
      </c>
      <c r="I2260" s="995"/>
      <c r="J2260" s="3">
        <v>122.42</v>
      </c>
      <c r="K2260" s="995"/>
      <c r="L2260" s="995"/>
      <c r="M2260" s="761" t="str">
        <f t="shared" ref="M2260:M2267" si="36">TEXT(N2260,"mmmm")</f>
        <v>June</v>
      </c>
      <c r="N2260" s="761">
        <v>44728</v>
      </c>
      <c r="O2260" s="761" t="s">
        <v>62</v>
      </c>
      <c r="P2260" s="995"/>
      <c r="Q2260" s="995"/>
      <c r="R2260" s="995"/>
      <c r="S2260" s="3"/>
      <c r="T2260" s="3"/>
      <c r="U2260" s="3"/>
      <c r="V2260" s="4"/>
      <c r="W2260" s="761"/>
      <c r="X2260" s="761"/>
      <c r="Y2260" s="761"/>
      <c r="Z2260" s="761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</row>
    <row r="2261" spans="1:39">
      <c r="B2261" s="975">
        <v>6</v>
      </c>
      <c r="C2261" s="993" t="s">
        <v>5595</v>
      </c>
      <c r="D2261" s="3">
        <v>200098532</v>
      </c>
      <c r="E2261" s="11">
        <v>63242</v>
      </c>
      <c r="F2261" s="749">
        <v>13</v>
      </c>
      <c r="G2261" s="995"/>
      <c r="H2261" s="3" t="s">
        <v>60</v>
      </c>
      <c r="I2261" s="995"/>
      <c r="J2261" s="3">
        <v>122.66</v>
      </c>
      <c r="K2261" s="995"/>
      <c r="L2261" s="995"/>
      <c r="M2261" s="761" t="str">
        <f t="shared" si="36"/>
        <v>June</v>
      </c>
      <c r="N2261" s="761">
        <v>44728</v>
      </c>
      <c r="O2261" s="761" t="s">
        <v>62</v>
      </c>
      <c r="P2261" s="995"/>
      <c r="Q2261" s="995"/>
      <c r="R2261" s="995"/>
      <c r="S2261" s="3"/>
      <c r="T2261" s="3"/>
      <c r="U2261" s="3"/>
      <c r="V2261" s="4"/>
      <c r="W2261" s="761"/>
      <c r="X2261" s="761"/>
      <c r="Y2261" s="761"/>
      <c r="Z2261" s="761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</row>
    <row r="2262" spans="1:39">
      <c r="B2262" s="975">
        <v>6</v>
      </c>
      <c r="C2262" s="993" t="s">
        <v>5595</v>
      </c>
      <c r="D2262" s="3">
        <v>200098533</v>
      </c>
      <c r="E2262" s="11">
        <v>63252</v>
      </c>
      <c r="F2262" s="749">
        <v>14</v>
      </c>
      <c r="G2262" s="995"/>
      <c r="H2262" s="3" t="s">
        <v>60</v>
      </c>
      <c r="I2262" s="995"/>
      <c r="J2262" s="3">
        <v>126.14</v>
      </c>
      <c r="K2262" s="995"/>
      <c r="L2262" s="995"/>
      <c r="M2262" s="761" t="str">
        <f t="shared" si="36"/>
        <v>June</v>
      </c>
      <c r="N2262" s="761">
        <v>44728</v>
      </c>
      <c r="O2262" s="761" t="s">
        <v>62</v>
      </c>
      <c r="P2262" s="995"/>
      <c r="Q2262" s="995"/>
      <c r="R2262" s="995"/>
      <c r="S2262" s="3"/>
      <c r="T2262" s="3"/>
      <c r="U2262" s="3"/>
      <c r="V2262" s="4"/>
      <c r="W2262" s="761"/>
      <c r="X2262" s="761"/>
      <c r="Y2262" s="761"/>
      <c r="Z2262" s="761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</row>
    <row r="2263" spans="1:39">
      <c r="B2263" s="975">
        <v>6</v>
      </c>
      <c r="C2263" s="993" t="s">
        <v>5595</v>
      </c>
      <c r="D2263" s="3">
        <v>200098534</v>
      </c>
      <c r="E2263" s="11">
        <v>63262</v>
      </c>
      <c r="F2263" s="749">
        <v>15</v>
      </c>
      <c r="G2263" s="995"/>
      <c r="H2263" s="3" t="s">
        <v>60</v>
      </c>
      <c r="I2263" s="995"/>
      <c r="J2263" s="3">
        <v>126.22</v>
      </c>
      <c r="K2263" s="995"/>
      <c r="L2263" s="995"/>
      <c r="M2263" s="761" t="str">
        <f t="shared" si="36"/>
        <v>June</v>
      </c>
      <c r="N2263" s="761">
        <v>44728</v>
      </c>
      <c r="O2263" s="761" t="s">
        <v>62</v>
      </c>
      <c r="P2263" s="995"/>
      <c r="Q2263" s="995"/>
      <c r="R2263" s="995"/>
      <c r="S2263" s="3"/>
      <c r="T2263" s="3"/>
      <c r="U2263" s="3"/>
      <c r="V2263" s="4"/>
      <c r="W2263" s="761"/>
      <c r="X2263" s="761"/>
      <c r="Y2263" s="761"/>
      <c r="Z2263" s="761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</row>
    <row r="2264" spans="1:39">
      <c r="B2264" s="975">
        <v>6</v>
      </c>
      <c r="C2264" s="993" t="s">
        <v>5595</v>
      </c>
      <c r="D2264" s="3">
        <v>200098535</v>
      </c>
      <c r="E2264" s="11">
        <v>63272</v>
      </c>
      <c r="F2264" s="749">
        <v>16</v>
      </c>
      <c r="G2264" s="995"/>
      <c r="H2264" s="3" t="s">
        <v>128</v>
      </c>
      <c r="I2264" s="995"/>
      <c r="J2264" s="3">
        <v>122.17</v>
      </c>
      <c r="K2264" s="995"/>
      <c r="L2264" s="995"/>
      <c r="M2264" s="761" t="str">
        <f t="shared" si="36"/>
        <v>June</v>
      </c>
      <c r="N2264" s="761">
        <v>44729</v>
      </c>
      <c r="O2264" s="761" t="s">
        <v>62</v>
      </c>
      <c r="P2264" s="995"/>
      <c r="Q2264" s="995"/>
      <c r="R2264" s="995"/>
      <c r="S2264" s="3"/>
      <c r="T2264" s="3"/>
      <c r="U2264" s="3"/>
      <c r="V2264" s="4"/>
      <c r="W2264" s="761"/>
      <c r="X2264" s="761"/>
      <c r="Y2264" s="761"/>
      <c r="Z2264" s="761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</row>
    <row r="2265" spans="1:39">
      <c r="B2265" s="975">
        <v>6</v>
      </c>
      <c r="C2265" s="993" t="s">
        <v>5595</v>
      </c>
      <c r="D2265" s="3">
        <v>200098536</v>
      </c>
      <c r="E2265" s="11">
        <v>63282</v>
      </c>
      <c r="F2265" s="749">
        <v>17</v>
      </c>
      <c r="G2265" s="995"/>
      <c r="H2265" s="3" t="s">
        <v>128</v>
      </c>
      <c r="I2265" s="995"/>
      <c r="J2265" s="3">
        <v>123.84</v>
      </c>
      <c r="K2265" s="995"/>
      <c r="L2265" s="995"/>
      <c r="M2265" s="761" t="str">
        <f t="shared" si="36"/>
        <v>June</v>
      </c>
      <c r="N2265" s="761">
        <v>44729</v>
      </c>
      <c r="O2265" s="761" t="s">
        <v>62</v>
      </c>
      <c r="P2265" s="995"/>
      <c r="Q2265" s="995"/>
      <c r="R2265" s="995"/>
      <c r="S2265" s="3"/>
      <c r="T2265" s="3"/>
      <c r="U2265" s="3"/>
      <c r="V2265" s="4"/>
      <c r="W2265" s="761"/>
      <c r="X2265" s="761"/>
      <c r="Y2265" s="761"/>
      <c r="Z2265" s="761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</row>
    <row r="2266" spans="1:39">
      <c r="B2266" s="975">
        <v>6</v>
      </c>
      <c r="C2266" s="993" t="s">
        <v>5595</v>
      </c>
      <c r="D2266" s="3">
        <v>200098537</v>
      </c>
      <c r="E2266" s="11">
        <v>63292</v>
      </c>
      <c r="F2266" s="749">
        <v>18</v>
      </c>
      <c r="G2266" s="995"/>
      <c r="H2266" s="3" t="s">
        <v>128</v>
      </c>
      <c r="I2266" s="995"/>
      <c r="J2266" s="3">
        <v>125.77</v>
      </c>
      <c r="K2266" s="995"/>
      <c r="L2266" s="995"/>
      <c r="M2266" s="761" t="str">
        <f t="shared" si="36"/>
        <v>June</v>
      </c>
      <c r="N2266" s="761">
        <v>44729</v>
      </c>
      <c r="O2266" s="761" t="s">
        <v>62</v>
      </c>
      <c r="P2266" s="995"/>
      <c r="Q2266" s="995"/>
      <c r="R2266" s="995"/>
      <c r="S2266" s="3"/>
      <c r="T2266" s="3"/>
      <c r="U2266" s="3"/>
      <c r="V2266" s="4"/>
      <c r="W2266" s="761"/>
      <c r="X2266" s="761"/>
      <c r="Y2266" s="761"/>
      <c r="Z2266" s="761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</row>
    <row r="2267" spans="1:39">
      <c r="B2267" s="975">
        <v>6</v>
      </c>
      <c r="C2267" s="993" t="s">
        <v>5595</v>
      </c>
      <c r="D2267" s="3">
        <v>200098538</v>
      </c>
      <c r="E2267" s="11">
        <v>63302</v>
      </c>
      <c r="F2267" s="749">
        <v>19</v>
      </c>
      <c r="G2267" s="995"/>
      <c r="H2267" s="3" t="s">
        <v>128</v>
      </c>
      <c r="I2267" s="995"/>
      <c r="J2267" s="3">
        <v>126.63</v>
      </c>
      <c r="K2267" s="995"/>
      <c r="L2267" s="995"/>
      <c r="M2267" s="761" t="str">
        <f t="shared" si="36"/>
        <v>June</v>
      </c>
      <c r="N2267" s="761">
        <v>44729</v>
      </c>
      <c r="O2267" s="761" t="s">
        <v>62</v>
      </c>
      <c r="P2267" s="995"/>
      <c r="Q2267" s="995"/>
      <c r="R2267" s="995"/>
      <c r="S2267" s="3"/>
      <c r="T2267" s="3"/>
      <c r="U2267" s="3"/>
      <c r="V2267" s="4"/>
      <c r="W2267" s="761"/>
      <c r="X2267" s="761"/>
      <c r="Y2267" s="761"/>
      <c r="Z2267" s="761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</row>
    <row r="2268" spans="1:39" s="707" customFormat="1">
      <c r="A2268"/>
      <c r="B2268" s="976" t="s">
        <v>13</v>
      </c>
      <c r="C2268" s="807"/>
      <c r="D2268" s="807"/>
      <c r="E2268" s="874"/>
      <c r="F2268" s="808"/>
      <c r="G2268" s="807"/>
      <c r="H2268" s="807"/>
      <c r="I2268" s="807"/>
      <c r="J2268" s="807"/>
      <c r="K2268" s="807"/>
      <c r="L2268" s="807"/>
      <c r="M2268" s="819"/>
      <c r="N2268" s="819"/>
      <c r="O2268" s="819"/>
      <c r="P2268" s="807"/>
      <c r="Q2268" s="807"/>
      <c r="R2268" s="807"/>
      <c r="S2268" s="807"/>
      <c r="T2268" s="807"/>
      <c r="U2268" s="807"/>
      <c r="V2268" s="710"/>
      <c r="W2268" s="819"/>
      <c r="X2268" s="819"/>
      <c r="Y2268" s="819"/>
      <c r="Z2268" s="819"/>
      <c r="AA2268" s="710"/>
      <c r="AB2268" s="710"/>
      <c r="AC2268" s="710"/>
      <c r="AD2268" s="710"/>
      <c r="AE2268" s="710"/>
      <c r="AF2268" s="710"/>
      <c r="AG2268" s="710"/>
      <c r="AH2268" s="710"/>
      <c r="AI2268" s="710"/>
      <c r="AJ2268" s="710"/>
      <c r="AK2268" s="710"/>
      <c r="AL2268" s="710"/>
      <c r="AM2268" s="710"/>
    </row>
    <row r="2269" spans="1:39">
      <c r="B2269" s="975">
        <v>7</v>
      </c>
      <c r="C2269" s="993" t="s">
        <v>5595</v>
      </c>
      <c r="D2269" s="3">
        <v>200098798</v>
      </c>
      <c r="E2269" s="11">
        <v>72112</v>
      </c>
      <c r="F2269" s="749">
        <v>1</v>
      </c>
      <c r="G2269" s="995"/>
      <c r="H2269" s="3" t="s">
        <v>60</v>
      </c>
      <c r="I2269" s="995"/>
      <c r="J2269" s="784">
        <v>122.21</v>
      </c>
      <c r="K2269" s="995"/>
      <c r="L2269" s="995"/>
      <c r="M2269" s="761" t="s">
        <v>2512</v>
      </c>
      <c r="N2269" s="761">
        <v>44755</v>
      </c>
      <c r="O2269" s="761" t="s">
        <v>62</v>
      </c>
      <c r="P2269" s="995"/>
      <c r="Q2269" s="995"/>
      <c r="R2269" s="995"/>
      <c r="S2269" s="3"/>
      <c r="T2269" s="3"/>
      <c r="U2269" s="3"/>
      <c r="V2269" s="4"/>
      <c r="W2269" s="761"/>
      <c r="X2269" s="761"/>
      <c r="Y2269" s="761"/>
      <c r="Z2269" s="761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</row>
    <row r="2270" spans="1:39">
      <c r="B2270" s="975">
        <v>7</v>
      </c>
      <c r="C2270" s="993" t="s">
        <v>5595</v>
      </c>
      <c r="D2270" s="3">
        <v>200098799</v>
      </c>
      <c r="E2270" s="11">
        <v>72122</v>
      </c>
      <c r="F2270" s="749">
        <v>2</v>
      </c>
      <c r="G2270" s="995"/>
      <c r="H2270" s="3" t="s">
        <v>60</v>
      </c>
      <c r="I2270" s="995"/>
      <c r="J2270" s="784">
        <v>125.55</v>
      </c>
      <c r="K2270" s="995"/>
      <c r="L2270" s="995"/>
      <c r="M2270" s="761" t="s">
        <v>2512</v>
      </c>
      <c r="N2270" s="761">
        <v>44755</v>
      </c>
      <c r="O2270" s="761" t="s">
        <v>62</v>
      </c>
      <c r="P2270" s="995"/>
      <c r="Q2270" s="995"/>
      <c r="R2270" s="995"/>
      <c r="S2270" s="3"/>
      <c r="T2270" s="3"/>
      <c r="U2270" s="3"/>
      <c r="V2270" s="4"/>
      <c r="W2270" s="761"/>
      <c r="X2270" s="761"/>
      <c r="Y2270" s="761"/>
      <c r="Z2270" s="761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</row>
    <row r="2271" spans="1:39">
      <c r="B2271" s="975">
        <v>7</v>
      </c>
      <c r="C2271" s="993" t="s">
        <v>5595</v>
      </c>
      <c r="D2271" s="3">
        <v>200098820</v>
      </c>
      <c r="E2271" s="11">
        <v>72132</v>
      </c>
      <c r="F2271" s="749">
        <v>3</v>
      </c>
      <c r="G2271" s="995"/>
      <c r="H2271" s="3" t="s">
        <v>60</v>
      </c>
      <c r="I2271" s="995"/>
      <c r="J2271" s="784">
        <v>121.33</v>
      </c>
      <c r="K2271" s="995"/>
      <c r="L2271" s="995"/>
      <c r="M2271" s="761" t="str">
        <f>TEXT(N2271,"mmmm")</f>
        <v>July</v>
      </c>
      <c r="N2271" s="761">
        <v>44755</v>
      </c>
      <c r="O2271" s="761" t="s">
        <v>62</v>
      </c>
      <c r="P2271" s="995"/>
      <c r="Q2271" s="995"/>
      <c r="R2271" s="995"/>
      <c r="S2271" s="3"/>
      <c r="T2271" s="3"/>
      <c r="U2271" s="3"/>
      <c r="V2271" s="4"/>
      <c r="W2271" s="761"/>
      <c r="X2271" s="761"/>
      <c r="Y2271" s="761"/>
      <c r="Z2271" s="761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</row>
    <row r="2272" spans="1:39">
      <c r="B2272" s="975">
        <v>7</v>
      </c>
      <c r="C2272" s="993" t="s">
        <v>5595</v>
      </c>
      <c r="D2272" s="3">
        <v>200098821</v>
      </c>
      <c r="E2272" s="11">
        <v>72142</v>
      </c>
      <c r="F2272" s="749">
        <v>4</v>
      </c>
      <c r="G2272" s="995"/>
      <c r="H2272" s="3" t="s">
        <v>60</v>
      </c>
      <c r="I2272" s="995"/>
      <c r="J2272" s="784">
        <v>14.175000000000001</v>
      </c>
      <c r="K2272" s="995"/>
      <c r="L2272" s="995"/>
      <c r="M2272" s="761" t="str">
        <f t="shared" ref="M2272:M2281" si="37">TEXT(N2272,"mmmm")</f>
        <v>July</v>
      </c>
      <c r="N2272" s="761">
        <v>44755</v>
      </c>
      <c r="O2272" s="761" t="s">
        <v>62</v>
      </c>
      <c r="P2272" s="995"/>
      <c r="Q2272" s="995"/>
      <c r="R2272" s="995"/>
      <c r="S2272" s="3"/>
      <c r="T2272" s="3"/>
      <c r="U2272" s="3"/>
      <c r="V2272" s="4"/>
      <c r="W2272" s="761"/>
      <c r="X2272" s="761"/>
      <c r="Y2272" s="761"/>
      <c r="Z2272" s="761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</row>
    <row r="2273" spans="1:39">
      <c r="B2273" s="975">
        <v>7</v>
      </c>
      <c r="C2273" s="993" t="s">
        <v>5595</v>
      </c>
      <c r="D2273" s="3">
        <v>200098822</v>
      </c>
      <c r="E2273" s="11">
        <v>72152</v>
      </c>
      <c r="F2273" s="749">
        <v>5</v>
      </c>
      <c r="G2273" s="995"/>
      <c r="H2273" s="3" t="s">
        <v>60</v>
      </c>
      <c r="I2273" s="995"/>
      <c r="J2273" s="784">
        <v>124.85</v>
      </c>
      <c r="K2273" s="995"/>
      <c r="L2273" s="995"/>
      <c r="M2273" s="761" t="str">
        <f t="shared" si="37"/>
        <v>July</v>
      </c>
      <c r="N2273" s="761">
        <v>44755</v>
      </c>
      <c r="O2273" s="761" t="s">
        <v>62</v>
      </c>
      <c r="P2273" s="995"/>
      <c r="Q2273" s="995"/>
      <c r="R2273" s="995"/>
      <c r="S2273" s="3"/>
      <c r="T2273" s="3"/>
      <c r="U2273" s="3"/>
      <c r="V2273" s="4"/>
      <c r="W2273" s="761"/>
      <c r="X2273" s="761"/>
      <c r="Y2273" s="761"/>
      <c r="Z2273" s="761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</row>
    <row r="2274" spans="1:39">
      <c r="B2274" s="975">
        <v>7</v>
      </c>
      <c r="C2274" s="993" t="s">
        <v>5595</v>
      </c>
      <c r="D2274" s="3">
        <v>200098806</v>
      </c>
      <c r="E2274" s="11">
        <v>72232</v>
      </c>
      <c r="F2274" s="749">
        <v>6</v>
      </c>
      <c r="G2274" s="995"/>
      <c r="H2274" s="3" t="s">
        <v>60</v>
      </c>
      <c r="I2274" s="995"/>
      <c r="J2274" s="3">
        <v>121.73</v>
      </c>
      <c r="K2274" s="995"/>
      <c r="L2274" s="995"/>
      <c r="M2274" s="761" t="str">
        <f t="shared" si="37"/>
        <v>July</v>
      </c>
      <c r="N2274" s="761">
        <v>44757</v>
      </c>
      <c r="O2274" s="761" t="s">
        <v>62</v>
      </c>
      <c r="P2274" s="995"/>
      <c r="Q2274" s="995"/>
      <c r="R2274" s="995"/>
      <c r="S2274" s="3"/>
      <c r="T2274" s="3"/>
      <c r="U2274" s="3"/>
      <c r="V2274" s="4"/>
      <c r="W2274" s="761"/>
      <c r="X2274" s="761"/>
      <c r="Y2274" s="761"/>
      <c r="Z2274" s="761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</row>
    <row r="2275" spans="1:39">
      <c r="B2275" s="975">
        <v>7</v>
      </c>
      <c r="C2275" s="993" t="s">
        <v>5595</v>
      </c>
      <c r="D2275" s="3">
        <v>200098807</v>
      </c>
      <c r="E2275" s="11">
        <v>72242</v>
      </c>
      <c r="F2275" s="749">
        <v>7</v>
      </c>
      <c r="G2275" s="995"/>
      <c r="H2275" s="3" t="s">
        <v>60</v>
      </c>
      <c r="I2275" s="995"/>
      <c r="J2275" s="3">
        <v>124.75</v>
      </c>
      <c r="K2275" s="995"/>
      <c r="L2275" s="995"/>
      <c r="M2275" s="761" t="str">
        <f t="shared" si="37"/>
        <v>July</v>
      </c>
      <c r="N2275" s="761">
        <v>44757</v>
      </c>
      <c r="O2275" s="761" t="s">
        <v>62</v>
      </c>
      <c r="P2275" s="995"/>
      <c r="Q2275" s="995"/>
      <c r="R2275" s="995"/>
      <c r="S2275" s="3"/>
      <c r="T2275" s="3"/>
      <c r="U2275" s="3"/>
      <c r="V2275" s="4"/>
      <c r="W2275" s="761"/>
      <c r="X2275" s="761"/>
      <c r="Y2275" s="761"/>
      <c r="Z2275" s="761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</row>
    <row r="2276" spans="1:39">
      <c r="B2276" s="975">
        <v>7</v>
      </c>
      <c r="C2276" s="993" t="s">
        <v>5595</v>
      </c>
      <c r="D2276" s="3">
        <v>200098808</v>
      </c>
      <c r="E2276" s="11">
        <v>72252</v>
      </c>
      <c r="F2276" s="749">
        <v>8</v>
      </c>
      <c r="G2276" s="995"/>
      <c r="H2276" s="3" t="s">
        <v>60</v>
      </c>
      <c r="I2276" s="995"/>
      <c r="J2276" s="3">
        <v>124.52</v>
      </c>
      <c r="K2276" s="995"/>
      <c r="L2276" s="995"/>
      <c r="M2276" s="761" t="str">
        <f t="shared" si="37"/>
        <v>July</v>
      </c>
      <c r="N2276" s="761">
        <v>44757</v>
      </c>
      <c r="O2276" s="761" t="s">
        <v>62</v>
      </c>
      <c r="P2276" s="995"/>
      <c r="Q2276" s="995"/>
      <c r="R2276" s="995"/>
      <c r="S2276" s="3"/>
      <c r="T2276" s="3"/>
      <c r="U2276" s="3"/>
      <c r="V2276" s="4"/>
      <c r="W2276" s="761"/>
      <c r="X2276" s="761"/>
      <c r="Y2276" s="761"/>
      <c r="Z2276" s="761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</row>
    <row r="2277" spans="1:39">
      <c r="B2277" s="975">
        <v>7</v>
      </c>
      <c r="C2277" s="993" t="s">
        <v>5595</v>
      </c>
      <c r="D2277" s="3">
        <v>200098809</v>
      </c>
      <c r="E2277" s="11">
        <v>72262</v>
      </c>
      <c r="F2277" s="749">
        <v>9</v>
      </c>
      <c r="G2277" s="995"/>
      <c r="H2277" s="3" t="s">
        <v>60</v>
      </c>
      <c r="I2277" s="995"/>
      <c r="J2277" s="3">
        <v>125.85</v>
      </c>
      <c r="K2277" s="995"/>
      <c r="L2277" s="995"/>
      <c r="M2277" s="761" t="str">
        <f t="shared" si="37"/>
        <v>July</v>
      </c>
      <c r="N2277" s="761">
        <v>44757</v>
      </c>
      <c r="O2277" s="761" t="s">
        <v>62</v>
      </c>
      <c r="P2277" s="995"/>
      <c r="Q2277" s="995"/>
      <c r="R2277" s="995"/>
      <c r="S2277" s="3"/>
      <c r="T2277" s="3"/>
      <c r="U2277" s="3"/>
      <c r="V2277" s="4"/>
      <c r="W2277" s="761"/>
      <c r="X2277" s="761"/>
      <c r="Y2277" s="761"/>
      <c r="Z2277" s="761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</row>
    <row r="2278" spans="1:39">
      <c r="B2278" s="975">
        <v>7</v>
      </c>
      <c r="C2278" s="993" t="s">
        <v>5595</v>
      </c>
      <c r="D2278" s="3">
        <v>200098810</v>
      </c>
      <c r="E2278" s="11">
        <v>72272</v>
      </c>
      <c r="F2278" s="749">
        <v>10</v>
      </c>
      <c r="G2278" s="995"/>
      <c r="H2278" s="3" t="s">
        <v>60</v>
      </c>
      <c r="I2278" s="995"/>
      <c r="J2278" s="3">
        <v>122.7</v>
      </c>
      <c r="K2278" s="995"/>
      <c r="L2278" s="995"/>
      <c r="M2278" s="761" t="str">
        <f t="shared" si="37"/>
        <v>July</v>
      </c>
      <c r="N2278" s="761">
        <v>44761</v>
      </c>
      <c r="O2278" s="761" t="s">
        <v>62</v>
      </c>
      <c r="P2278" s="995"/>
      <c r="Q2278" s="995"/>
      <c r="R2278" s="995"/>
      <c r="S2278" s="3"/>
      <c r="T2278" s="3"/>
      <c r="U2278" s="3"/>
      <c r="V2278" s="4"/>
      <c r="W2278" s="761"/>
      <c r="X2278" s="761"/>
      <c r="Y2278" s="761"/>
      <c r="Z2278" s="761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</row>
    <row r="2279" spans="1:39">
      <c r="B2279" s="975">
        <v>7</v>
      </c>
      <c r="C2279" s="993" t="s">
        <v>5595</v>
      </c>
      <c r="D2279" s="3">
        <v>200098811</v>
      </c>
      <c r="E2279" s="11">
        <v>72282</v>
      </c>
      <c r="F2279" s="749">
        <v>11</v>
      </c>
      <c r="G2279" s="995"/>
      <c r="H2279" s="3" t="s">
        <v>60</v>
      </c>
      <c r="I2279" s="995"/>
      <c r="J2279" s="3">
        <v>123.4</v>
      </c>
      <c r="K2279" s="995"/>
      <c r="L2279" s="995"/>
      <c r="M2279" s="761" t="str">
        <f t="shared" si="37"/>
        <v>July</v>
      </c>
      <c r="N2279" s="761">
        <v>44761</v>
      </c>
      <c r="O2279" s="761" t="s">
        <v>62</v>
      </c>
      <c r="P2279" s="995"/>
      <c r="Q2279" s="995"/>
      <c r="R2279" s="995"/>
      <c r="S2279" s="3"/>
      <c r="T2279" s="3"/>
      <c r="U2279" s="3"/>
      <c r="V2279" s="4"/>
      <c r="W2279" s="761"/>
      <c r="X2279" s="761"/>
      <c r="Y2279" s="761"/>
      <c r="Z2279" s="761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</row>
    <row r="2280" spans="1:39">
      <c r="B2280" s="975">
        <v>7</v>
      </c>
      <c r="C2280" s="993" t="s">
        <v>5595</v>
      </c>
      <c r="D2280" s="3">
        <v>200098812</v>
      </c>
      <c r="E2280" s="11">
        <v>72292</v>
      </c>
      <c r="F2280" s="749">
        <v>12</v>
      </c>
      <c r="G2280" s="995"/>
      <c r="H2280" s="3" t="s">
        <v>60</v>
      </c>
      <c r="I2280" s="995"/>
      <c r="J2280" s="3">
        <v>124.6</v>
      </c>
      <c r="K2280" s="995"/>
      <c r="L2280" s="995"/>
      <c r="M2280" s="761" t="str">
        <f t="shared" si="37"/>
        <v>July</v>
      </c>
      <c r="N2280" s="761">
        <v>44761</v>
      </c>
      <c r="O2280" s="761" t="s">
        <v>62</v>
      </c>
      <c r="P2280" s="995"/>
      <c r="Q2280" s="995"/>
      <c r="R2280" s="995"/>
      <c r="S2280" s="3"/>
      <c r="T2280" s="3"/>
      <c r="U2280" s="3"/>
      <c r="V2280" s="4"/>
      <c r="W2280" s="761"/>
      <c r="X2280" s="761"/>
      <c r="Y2280" s="761"/>
      <c r="Z2280" s="761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</row>
    <row r="2281" spans="1:39">
      <c r="B2281" s="975">
        <v>7</v>
      </c>
      <c r="C2281" s="993" t="s">
        <v>5595</v>
      </c>
      <c r="D2281" s="3">
        <v>200098813</v>
      </c>
      <c r="E2281" s="11">
        <v>72302</v>
      </c>
      <c r="F2281" s="749">
        <v>13</v>
      </c>
      <c r="G2281" s="995"/>
      <c r="H2281" s="3" t="s">
        <v>60</v>
      </c>
      <c r="I2281" s="995"/>
      <c r="J2281" s="3">
        <v>123.6</v>
      </c>
      <c r="K2281" s="995"/>
      <c r="L2281" s="995"/>
      <c r="M2281" s="761" t="str">
        <f t="shared" si="37"/>
        <v>July</v>
      </c>
      <c r="N2281" s="761">
        <v>44761</v>
      </c>
      <c r="O2281" s="761" t="s">
        <v>62</v>
      </c>
      <c r="P2281" s="995"/>
      <c r="Q2281" s="995"/>
      <c r="R2281" s="995"/>
      <c r="S2281" s="3"/>
      <c r="T2281" s="3"/>
      <c r="U2281" s="3"/>
      <c r="V2281" s="4"/>
      <c r="W2281" s="761"/>
      <c r="X2281" s="761"/>
      <c r="Y2281" s="761"/>
      <c r="Z2281" s="761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</row>
    <row r="2282" spans="1:39" s="707" customFormat="1">
      <c r="A2282"/>
      <c r="B2282" s="976" t="s">
        <v>13</v>
      </c>
      <c r="C2282" s="807"/>
      <c r="D2282" s="807"/>
      <c r="E2282" s="874"/>
      <c r="F2282" s="808"/>
      <c r="G2282" s="807"/>
      <c r="H2282" s="807"/>
      <c r="I2282" s="807"/>
      <c r="J2282" s="807"/>
      <c r="K2282" s="807"/>
      <c r="L2282" s="807"/>
      <c r="M2282" s="819"/>
      <c r="N2282" s="819"/>
      <c r="O2282" s="819"/>
      <c r="P2282" s="807"/>
      <c r="Q2282" s="807"/>
      <c r="R2282" s="807"/>
      <c r="S2282" s="807"/>
      <c r="T2282" s="807"/>
      <c r="U2282" s="807"/>
      <c r="V2282" s="710"/>
      <c r="W2282" s="819"/>
      <c r="X2282" s="819"/>
      <c r="Y2282" s="819"/>
      <c r="Z2282" s="819"/>
      <c r="AA2282" s="710"/>
      <c r="AB2282" s="710"/>
      <c r="AC2282" s="710"/>
      <c r="AD2282" s="710"/>
      <c r="AE2282" s="710"/>
      <c r="AF2282" s="710"/>
      <c r="AG2282" s="710"/>
      <c r="AH2282" s="710"/>
      <c r="AI2282" s="710"/>
      <c r="AJ2282" s="710"/>
      <c r="AK2282" s="710"/>
      <c r="AL2282" s="710"/>
      <c r="AM2282" s="710"/>
    </row>
    <row r="2283" spans="1:39">
      <c r="B2283" s="975">
        <v>8</v>
      </c>
      <c r="C2283" s="993" t="s">
        <v>5595</v>
      </c>
      <c r="D2283" s="3">
        <v>200098814</v>
      </c>
      <c r="E2283" s="11">
        <v>80012</v>
      </c>
      <c r="F2283" s="749">
        <v>1</v>
      </c>
      <c r="G2283" s="995"/>
      <c r="H2283" s="3" t="s">
        <v>1041</v>
      </c>
      <c r="I2283" s="995"/>
      <c r="J2283" s="878">
        <v>121.73</v>
      </c>
      <c r="K2283" s="995"/>
      <c r="L2283" s="995"/>
      <c r="M2283" s="761" t="str">
        <f t="shared" ref="M2283:M2329" si="38">TEXT(N2283,"mmmm")</f>
        <v>July</v>
      </c>
      <c r="N2283" s="761">
        <v>44762</v>
      </c>
      <c r="O2283" s="761" t="s">
        <v>62</v>
      </c>
      <c r="P2283" s="995"/>
      <c r="Q2283" s="995"/>
      <c r="R2283" s="995"/>
      <c r="S2283" s="3"/>
      <c r="T2283" s="3"/>
      <c r="U2283" s="3"/>
      <c r="V2283" s="4"/>
      <c r="W2283" s="761"/>
      <c r="X2283" s="761"/>
      <c r="Y2283" s="761"/>
      <c r="Z2283" s="761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</row>
    <row r="2284" spans="1:39">
      <c r="B2284" s="975">
        <v>8</v>
      </c>
      <c r="C2284" s="993" t="s">
        <v>5595</v>
      </c>
      <c r="D2284" s="3">
        <v>200098815</v>
      </c>
      <c r="E2284" s="11">
        <v>80022</v>
      </c>
      <c r="F2284" s="749">
        <v>2</v>
      </c>
      <c r="G2284" s="995"/>
      <c r="H2284" s="3" t="s">
        <v>1041</v>
      </c>
      <c r="I2284" s="995"/>
      <c r="J2284" s="878">
        <v>126.29</v>
      </c>
      <c r="K2284" s="995"/>
      <c r="L2284" s="995"/>
      <c r="M2284" s="761" t="str">
        <f t="shared" si="38"/>
        <v>July</v>
      </c>
      <c r="N2284" s="761">
        <v>44762</v>
      </c>
      <c r="O2284" s="761" t="s">
        <v>62</v>
      </c>
      <c r="P2284" s="995"/>
      <c r="Q2284" s="995"/>
      <c r="R2284" s="995"/>
      <c r="S2284" s="3"/>
      <c r="T2284" s="3"/>
      <c r="U2284" s="3"/>
      <c r="V2284" s="4"/>
      <c r="W2284" s="761"/>
      <c r="X2284" s="761"/>
      <c r="Y2284" s="761"/>
      <c r="Z2284" s="761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</row>
    <row r="2285" spans="1:39">
      <c r="B2285" s="975">
        <v>8</v>
      </c>
      <c r="C2285" s="993" t="s">
        <v>5595</v>
      </c>
      <c r="D2285" s="3">
        <v>200098816</v>
      </c>
      <c r="E2285" s="11">
        <v>80032</v>
      </c>
      <c r="F2285" s="749">
        <v>3</v>
      </c>
      <c r="G2285" s="995"/>
      <c r="H2285" s="3" t="s">
        <v>1041</v>
      </c>
      <c r="I2285" s="995"/>
      <c r="J2285" s="878">
        <v>124.9</v>
      </c>
      <c r="K2285" s="995"/>
      <c r="L2285" s="995"/>
      <c r="M2285" s="761" t="str">
        <f t="shared" si="38"/>
        <v>July</v>
      </c>
      <c r="N2285" s="761">
        <v>44762</v>
      </c>
      <c r="O2285" s="761" t="s">
        <v>62</v>
      </c>
      <c r="P2285" s="995"/>
      <c r="Q2285" s="995"/>
      <c r="R2285" s="995"/>
      <c r="S2285" s="3"/>
      <c r="T2285" s="3"/>
      <c r="U2285" s="3"/>
      <c r="V2285" s="4"/>
      <c r="W2285" s="761"/>
      <c r="X2285" s="761"/>
      <c r="Y2285" s="761"/>
      <c r="Z2285" s="761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</row>
    <row r="2286" spans="1:39">
      <c r="B2286" s="975">
        <v>8</v>
      </c>
      <c r="C2286" s="993" t="s">
        <v>5595</v>
      </c>
      <c r="D2286" s="3">
        <v>200098817</v>
      </c>
      <c r="E2286" s="11">
        <v>80042</v>
      </c>
      <c r="F2286" s="749">
        <v>4</v>
      </c>
      <c r="G2286" s="995"/>
      <c r="H2286" s="3" t="s">
        <v>1041</v>
      </c>
      <c r="I2286" s="995"/>
      <c r="J2286" s="878">
        <v>123.17</v>
      </c>
      <c r="K2286" s="995"/>
      <c r="L2286" s="995"/>
      <c r="M2286" s="761" t="str">
        <f t="shared" si="38"/>
        <v>July</v>
      </c>
      <c r="N2286" s="761">
        <v>44763</v>
      </c>
      <c r="O2286" s="761" t="s">
        <v>62</v>
      </c>
      <c r="P2286" s="995"/>
      <c r="Q2286" s="995"/>
      <c r="R2286" s="995"/>
      <c r="S2286" s="3"/>
      <c r="T2286" s="3"/>
      <c r="U2286" s="3"/>
      <c r="V2286" s="4"/>
      <c r="W2286" s="761"/>
      <c r="X2286" s="761"/>
      <c r="Y2286" s="761"/>
      <c r="Z2286" s="761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</row>
    <row r="2287" spans="1:39">
      <c r="B2287" s="975">
        <v>8</v>
      </c>
      <c r="C2287" s="993" t="s">
        <v>5595</v>
      </c>
      <c r="D2287" s="3">
        <v>200098818</v>
      </c>
      <c r="E2287" s="11">
        <v>80052</v>
      </c>
      <c r="F2287" s="749">
        <v>5</v>
      </c>
      <c r="G2287" s="995"/>
      <c r="H2287" s="3" t="s">
        <v>1041</v>
      </c>
      <c r="I2287" s="995"/>
      <c r="J2287" s="878">
        <v>123.58</v>
      </c>
      <c r="K2287" s="995"/>
      <c r="L2287" s="995"/>
      <c r="M2287" s="761" t="str">
        <f t="shared" si="38"/>
        <v>July</v>
      </c>
      <c r="N2287" s="761">
        <v>44763</v>
      </c>
      <c r="O2287" s="761" t="s">
        <v>62</v>
      </c>
      <c r="P2287" s="995"/>
      <c r="Q2287" s="995"/>
      <c r="R2287" s="995"/>
      <c r="S2287" s="3"/>
      <c r="T2287" s="3"/>
      <c r="U2287" s="3"/>
      <c r="V2287" s="4"/>
      <c r="W2287" s="761"/>
      <c r="X2287" s="761"/>
      <c r="Y2287" s="761"/>
      <c r="Z2287" s="761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</row>
    <row r="2288" spans="1:39">
      <c r="B2288" s="975">
        <v>8</v>
      </c>
      <c r="C2288" s="993" t="s">
        <v>5595</v>
      </c>
      <c r="D2288" s="3">
        <v>200098819</v>
      </c>
      <c r="E2288" s="11">
        <v>80062</v>
      </c>
      <c r="F2288" s="749">
        <v>6</v>
      </c>
      <c r="G2288" s="999" t="s">
        <v>5646</v>
      </c>
      <c r="H2288" s="1000"/>
      <c r="I2288" s="999" t="s">
        <v>5646</v>
      </c>
      <c r="J2288" s="1000"/>
      <c r="K2288" s="999" t="s">
        <v>5646</v>
      </c>
      <c r="L2288" s="999" t="s">
        <v>5646</v>
      </c>
      <c r="M2288" s="1000"/>
      <c r="N2288" s="1000"/>
      <c r="O2288" s="1000"/>
      <c r="P2288" s="999" t="s">
        <v>5646</v>
      </c>
      <c r="Q2288" s="999" t="s">
        <v>5646</v>
      </c>
      <c r="R2288" s="999" t="s">
        <v>5646</v>
      </c>
      <c r="S2288" s="1000"/>
      <c r="T2288" s="1000"/>
      <c r="U2288" s="1000"/>
      <c r="V2288" s="1000"/>
      <c r="W2288" s="1000"/>
      <c r="X2288" s="1000"/>
      <c r="Y2288" s="1000"/>
      <c r="Z2288" s="1000"/>
      <c r="AA2288" s="1000"/>
      <c r="AB2288" s="1000"/>
      <c r="AC2288" s="1000"/>
      <c r="AD2288" s="1000"/>
      <c r="AE2288" s="1000"/>
      <c r="AF2288" s="1000"/>
      <c r="AG2288" s="1000"/>
      <c r="AH2288" s="1000"/>
      <c r="AI2288" s="1000"/>
      <c r="AJ2288" s="1000"/>
      <c r="AK2288" s="1000"/>
      <c r="AL2288" s="1000"/>
      <c r="AM2288" s="1005"/>
    </row>
    <row r="2289" spans="2:39">
      <c r="B2289" s="975">
        <v>8</v>
      </c>
      <c r="C2289" s="993" t="s">
        <v>5595</v>
      </c>
      <c r="D2289" s="3">
        <v>200098880</v>
      </c>
      <c r="E2289" s="11">
        <v>80072</v>
      </c>
      <c r="F2289" s="749">
        <v>7</v>
      </c>
      <c r="G2289" s="1001"/>
      <c r="H2289" s="1002"/>
      <c r="I2289" s="1001"/>
      <c r="J2289" s="1002"/>
      <c r="K2289" s="1001"/>
      <c r="L2289" s="1001"/>
      <c r="M2289" s="1002"/>
      <c r="N2289" s="1002"/>
      <c r="O2289" s="1002"/>
      <c r="P2289" s="1001"/>
      <c r="Q2289" s="1001"/>
      <c r="R2289" s="1001"/>
      <c r="S2289" s="1002"/>
      <c r="T2289" s="1002"/>
      <c r="U2289" s="1002"/>
      <c r="V2289" s="1002"/>
      <c r="W2289" s="1002"/>
      <c r="X2289" s="1002"/>
      <c r="Y2289" s="1002"/>
      <c r="Z2289" s="1002"/>
      <c r="AA2289" s="1002"/>
      <c r="AB2289" s="1002"/>
      <c r="AC2289" s="1002"/>
      <c r="AD2289" s="1002"/>
      <c r="AE2289" s="1002"/>
      <c r="AF2289" s="1002"/>
      <c r="AG2289" s="1002"/>
      <c r="AH2289" s="1002"/>
      <c r="AI2289" s="1002"/>
      <c r="AJ2289" s="1002"/>
      <c r="AK2289" s="1002"/>
      <c r="AL2289" s="1002"/>
      <c r="AM2289" s="1006"/>
    </row>
    <row r="2290" spans="2:39">
      <c r="B2290" s="975">
        <v>8</v>
      </c>
      <c r="C2290" s="993" t="s">
        <v>5595</v>
      </c>
      <c r="D2290" s="3">
        <v>200098881</v>
      </c>
      <c r="E2290" s="11">
        <v>80082</v>
      </c>
      <c r="F2290" s="749">
        <v>8</v>
      </c>
      <c r="G2290" s="1001"/>
      <c r="H2290" s="1002"/>
      <c r="I2290" s="1001"/>
      <c r="J2290" s="1002"/>
      <c r="K2290" s="1001"/>
      <c r="L2290" s="1001"/>
      <c r="M2290" s="1002"/>
      <c r="N2290" s="1002"/>
      <c r="O2290" s="1002"/>
      <c r="P2290" s="1001"/>
      <c r="Q2290" s="1001"/>
      <c r="R2290" s="1001"/>
      <c r="S2290" s="1002"/>
      <c r="T2290" s="1002"/>
      <c r="U2290" s="1002"/>
      <c r="V2290" s="1002"/>
      <c r="W2290" s="1002"/>
      <c r="X2290" s="1002"/>
      <c r="Y2290" s="1002"/>
      <c r="Z2290" s="1002"/>
      <c r="AA2290" s="1002"/>
      <c r="AB2290" s="1002"/>
      <c r="AC2290" s="1002"/>
      <c r="AD2290" s="1002"/>
      <c r="AE2290" s="1002"/>
      <c r="AF2290" s="1002"/>
      <c r="AG2290" s="1002"/>
      <c r="AH2290" s="1002"/>
      <c r="AI2290" s="1002"/>
      <c r="AJ2290" s="1002"/>
      <c r="AK2290" s="1002"/>
      <c r="AL2290" s="1002"/>
      <c r="AM2290" s="1006"/>
    </row>
    <row r="2291" spans="2:39">
      <c r="B2291" s="975">
        <v>8</v>
      </c>
      <c r="C2291" s="993" t="s">
        <v>5595</v>
      </c>
      <c r="D2291" s="3">
        <v>200098882</v>
      </c>
      <c r="E2291" s="11">
        <v>80092</v>
      </c>
      <c r="F2291" s="749">
        <v>9</v>
      </c>
      <c r="G2291" s="1001"/>
      <c r="H2291" s="1002"/>
      <c r="I2291" s="1001"/>
      <c r="J2291" s="1002"/>
      <c r="K2291" s="1001"/>
      <c r="L2291" s="1001"/>
      <c r="M2291" s="1002"/>
      <c r="N2291" s="1002"/>
      <c r="O2291" s="1002"/>
      <c r="P2291" s="1001"/>
      <c r="Q2291" s="1001"/>
      <c r="R2291" s="1001"/>
      <c r="S2291" s="1002"/>
      <c r="T2291" s="1002"/>
      <c r="U2291" s="1002"/>
      <c r="V2291" s="1002"/>
      <c r="W2291" s="1002"/>
      <c r="X2291" s="1002"/>
      <c r="Y2291" s="1002"/>
      <c r="Z2291" s="1002"/>
      <c r="AA2291" s="1002"/>
      <c r="AB2291" s="1002"/>
      <c r="AC2291" s="1002"/>
      <c r="AD2291" s="1002"/>
      <c r="AE2291" s="1002"/>
      <c r="AF2291" s="1002"/>
      <c r="AG2291" s="1002"/>
      <c r="AH2291" s="1002"/>
      <c r="AI2291" s="1002"/>
      <c r="AJ2291" s="1002"/>
      <c r="AK2291" s="1002"/>
      <c r="AL2291" s="1002"/>
      <c r="AM2291" s="1006"/>
    </row>
    <row r="2292" spans="2:39">
      <c r="B2292" s="975">
        <v>8</v>
      </c>
      <c r="C2292" s="993" t="s">
        <v>5595</v>
      </c>
      <c r="D2292" s="3">
        <v>200098883</v>
      </c>
      <c r="E2292" s="11">
        <v>80102</v>
      </c>
      <c r="F2292" s="749">
        <v>10</v>
      </c>
      <c r="G2292" s="1001"/>
      <c r="H2292" s="1002"/>
      <c r="I2292" s="1001"/>
      <c r="J2292" s="1002"/>
      <c r="K2292" s="1001"/>
      <c r="L2292" s="1001"/>
      <c r="M2292" s="1002"/>
      <c r="N2292" s="1002"/>
      <c r="O2292" s="1002"/>
      <c r="P2292" s="1001"/>
      <c r="Q2292" s="1001"/>
      <c r="R2292" s="1001"/>
      <c r="S2292" s="1002"/>
      <c r="T2292" s="1002"/>
      <c r="U2292" s="1002"/>
      <c r="V2292" s="1002"/>
      <c r="W2292" s="1002"/>
      <c r="X2292" s="1002"/>
      <c r="Y2292" s="1002"/>
      <c r="Z2292" s="1002"/>
      <c r="AA2292" s="1002"/>
      <c r="AB2292" s="1002"/>
      <c r="AC2292" s="1002"/>
      <c r="AD2292" s="1002"/>
      <c r="AE2292" s="1002"/>
      <c r="AF2292" s="1002"/>
      <c r="AG2292" s="1002"/>
      <c r="AH2292" s="1002"/>
      <c r="AI2292" s="1002"/>
      <c r="AJ2292" s="1002"/>
      <c r="AK2292" s="1002"/>
      <c r="AL2292" s="1002"/>
      <c r="AM2292" s="1006"/>
    </row>
    <row r="2293" spans="2:39">
      <c r="B2293" s="975">
        <v>8</v>
      </c>
      <c r="C2293" s="993" t="s">
        <v>5595</v>
      </c>
      <c r="D2293" s="3">
        <v>200098884</v>
      </c>
      <c r="E2293" s="11">
        <v>80112</v>
      </c>
      <c r="F2293" s="749">
        <v>11</v>
      </c>
      <c r="G2293" s="1003"/>
      <c r="H2293" s="1004"/>
      <c r="I2293" s="1003"/>
      <c r="J2293" s="1004"/>
      <c r="K2293" s="1003"/>
      <c r="L2293" s="1003"/>
      <c r="M2293" s="1004"/>
      <c r="N2293" s="1004"/>
      <c r="O2293" s="1004"/>
      <c r="P2293" s="1003"/>
      <c r="Q2293" s="1003"/>
      <c r="R2293" s="1003"/>
      <c r="S2293" s="1004"/>
      <c r="T2293" s="1004"/>
      <c r="U2293" s="1004"/>
      <c r="V2293" s="1004"/>
      <c r="W2293" s="1004"/>
      <c r="X2293" s="1004"/>
      <c r="Y2293" s="1004"/>
      <c r="Z2293" s="1004"/>
      <c r="AA2293" s="1004"/>
      <c r="AB2293" s="1004"/>
      <c r="AC2293" s="1004"/>
      <c r="AD2293" s="1004"/>
      <c r="AE2293" s="1004"/>
      <c r="AF2293" s="1004"/>
      <c r="AG2293" s="1004"/>
      <c r="AH2293" s="1004"/>
      <c r="AI2293" s="1004"/>
      <c r="AJ2293" s="1004"/>
      <c r="AK2293" s="1004"/>
      <c r="AL2293" s="1004"/>
      <c r="AM2293" s="1007"/>
    </row>
    <row r="2294" spans="2:39">
      <c r="B2294" s="975">
        <v>8</v>
      </c>
      <c r="C2294" s="993" t="s">
        <v>5595</v>
      </c>
      <c r="D2294" s="3">
        <v>200098885</v>
      </c>
      <c r="E2294" s="11">
        <v>80122</v>
      </c>
      <c r="F2294" s="749">
        <v>12</v>
      </c>
      <c r="G2294" s="995"/>
      <c r="H2294" s="3" t="s">
        <v>1041</v>
      </c>
      <c r="I2294" s="995"/>
      <c r="J2294" s="878">
        <v>125.32</v>
      </c>
      <c r="K2294" s="995"/>
      <c r="L2294" s="995"/>
      <c r="M2294" s="761" t="str">
        <f t="shared" si="38"/>
        <v>July</v>
      </c>
      <c r="N2294" s="761">
        <v>44763</v>
      </c>
      <c r="O2294" s="761" t="s">
        <v>62</v>
      </c>
      <c r="P2294" s="995"/>
      <c r="Q2294" s="995"/>
      <c r="R2294" s="995"/>
      <c r="S2294" s="3"/>
      <c r="T2294" s="3"/>
      <c r="U2294" s="3"/>
      <c r="V2294" s="4"/>
      <c r="W2294" s="761"/>
      <c r="X2294" s="761"/>
      <c r="Y2294" s="761"/>
      <c r="Z2294" s="761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</row>
    <row r="2295" spans="2:39">
      <c r="B2295" s="975">
        <v>8</v>
      </c>
      <c r="C2295" s="993" t="s">
        <v>5595</v>
      </c>
      <c r="D2295" s="3">
        <v>200098886</v>
      </c>
      <c r="E2295" s="11">
        <v>80132</v>
      </c>
      <c r="F2295" s="749">
        <v>13</v>
      </c>
      <c r="G2295" s="995"/>
      <c r="H2295" s="3" t="s">
        <v>1041</v>
      </c>
      <c r="I2295" s="995"/>
      <c r="J2295" s="878">
        <v>124.74</v>
      </c>
      <c r="K2295" s="995"/>
      <c r="L2295" s="995"/>
      <c r="M2295" s="761" t="str">
        <f t="shared" si="38"/>
        <v>July</v>
      </c>
      <c r="N2295" s="761">
        <v>44763</v>
      </c>
      <c r="O2295" s="761" t="s">
        <v>62</v>
      </c>
      <c r="P2295" s="995"/>
      <c r="Q2295" s="995"/>
      <c r="R2295" s="995"/>
      <c r="S2295" s="3"/>
      <c r="T2295" s="3"/>
      <c r="U2295" s="3"/>
      <c r="V2295" s="4"/>
      <c r="W2295" s="761"/>
      <c r="X2295" s="761"/>
      <c r="Y2295" s="761"/>
      <c r="Z2295" s="761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</row>
    <row r="2296" spans="2:39">
      <c r="B2296" s="975">
        <v>8</v>
      </c>
      <c r="C2296" s="993" t="s">
        <v>5595</v>
      </c>
      <c r="D2296" s="3">
        <v>200098887</v>
      </c>
      <c r="E2296" s="11">
        <v>80142</v>
      </c>
      <c r="F2296" s="749">
        <v>14</v>
      </c>
      <c r="G2296" s="995"/>
      <c r="H2296" s="3" t="s">
        <v>1041</v>
      </c>
      <c r="I2296" s="995"/>
      <c r="J2296" s="878">
        <v>125.84</v>
      </c>
      <c r="K2296" s="995"/>
      <c r="L2296" s="995"/>
      <c r="M2296" s="761" t="str">
        <f t="shared" si="38"/>
        <v>July</v>
      </c>
      <c r="N2296" s="761">
        <v>44763</v>
      </c>
      <c r="O2296" s="761" t="s">
        <v>62</v>
      </c>
      <c r="P2296" s="995"/>
      <c r="Q2296" s="995"/>
      <c r="R2296" s="995"/>
      <c r="S2296" s="3"/>
      <c r="T2296" s="3"/>
      <c r="U2296" s="3"/>
      <c r="V2296" s="4"/>
      <c r="W2296" s="761"/>
      <c r="X2296" s="761"/>
      <c r="Y2296" s="761"/>
      <c r="Z2296" s="761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</row>
    <row r="2297" spans="2:39">
      <c r="B2297" s="975">
        <v>8</v>
      </c>
      <c r="C2297" s="993" t="s">
        <v>5595</v>
      </c>
      <c r="D2297" s="3">
        <v>200098888</v>
      </c>
      <c r="E2297" s="11">
        <v>80152</v>
      </c>
      <c r="F2297" s="749">
        <v>15</v>
      </c>
      <c r="G2297" s="995"/>
      <c r="H2297" s="3" t="s">
        <v>1041</v>
      </c>
      <c r="I2297" s="995"/>
      <c r="J2297" s="878">
        <v>126.28</v>
      </c>
      <c r="K2297" s="995"/>
      <c r="L2297" s="995"/>
      <c r="M2297" s="761" t="str">
        <f t="shared" si="38"/>
        <v>July</v>
      </c>
      <c r="N2297" s="761">
        <v>44763</v>
      </c>
      <c r="O2297" s="761" t="s">
        <v>62</v>
      </c>
      <c r="P2297" s="995"/>
      <c r="Q2297" s="995"/>
      <c r="R2297" s="995"/>
      <c r="S2297" s="3"/>
      <c r="T2297" s="3"/>
      <c r="U2297" s="3"/>
      <c r="V2297" s="4"/>
      <c r="W2297" s="761"/>
      <c r="X2297" s="761"/>
      <c r="Y2297" s="761"/>
      <c r="Z2297" s="761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</row>
    <row r="2298" spans="2:39">
      <c r="B2298" s="975">
        <v>8</v>
      </c>
      <c r="C2298" s="993" t="s">
        <v>5595</v>
      </c>
      <c r="D2298" s="3">
        <v>200098941</v>
      </c>
      <c r="E2298" s="11">
        <v>80732</v>
      </c>
      <c r="F2298" s="749">
        <v>16</v>
      </c>
      <c r="G2298" s="995"/>
      <c r="H2298" s="3" t="s">
        <v>1041</v>
      </c>
      <c r="I2298" s="995"/>
      <c r="J2298" s="878">
        <v>125.9</v>
      </c>
      <c r="K2298" s="995"/>
      <c r="L2298" s="995"/>
      <c r="M2298" s="761" t="str">
        <f t="shared" si="38"/>
        <v>July</v>
      </c>
      <c r="N2298" s="761">
        <v>44763</v>
      </c>
      <c r="O2298" s="761" t="s">
        <v>62</v>
      </c>
      <c r="P2298" s="995"/>
      <c r="Q2298" s="995"/>
      <c r="R2298" s="995"/>
      <c r="S2298" s="3"/>
      <c r="T2298" s="3"/>
      <c r="U2298" s="3"/>
      <c r="V2298" s="4"/>
      <c r="W2298" s="761"/>
      <c r="X2298" s="761"/>
      <c r="Y2298" s="761"/>
      <c r="Z2298" s="761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</row>
    <row r="2299" spans="2:39">
      <c r="B2299" s="975">
        <v>8</v>
      </c>
      <c r="C2299" s="993" t="s">
        <v>5595</v>
      </c>
      <c r="D2299" s="3">
        <v>200098942</v>
      </c>
      <c r="E2299" s="11">
        <v>80742</v>
      </c>
      <c r="F2299" s="749">
        <v>17</v>
      </c>
      <c r="G2299" s="995"/>
      <c r="H2299" s="3" t="s">
        <v>1041</v>
      </c>
      <c r="I2299" s="995"/>
      <c r="J2299" s="878">
        <v>126.03</v>
      </c>
      <c r="K2299" s="995"/>
      <c r="L2299" s="995"/>
      <c r="M2299" s="761" t="str">
        <f t="shared" si="38"/>
        <v>July</v>
      </c>
      <c r="N2299" s="761">
        <v>44763</v>
      </c>
      <c r="O2299" s="761" t="s">
        <v>62</v>
      </c>
      <c r="P2299" s="995"/>
      <c r="Q2299" s="995"/>
      <c r="R2299" s="995"/>
      <c r="S2299" s="3"/>
      <c r="T2299" s="3"/>
      <c r="U2299" s="3"/>
      <c r="V2299" s="4"/>
      <c r="W2299" s="761"/>
      <c r="X2299" s="761"/>
      <c r="Y2299" s="761"/>
      <c r="Z2299" s="761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</row>
    <row r="2300" spans="2:39">
      <c r="B2300" s="975">
        <v>8</v>
      </c>
      <c r="C2300" s="993" t="s">
        <v>5595</v>
      </c>
      <c r="D2300" s="3">
        <v>200098943</v>
      </c>
      <c r="E2300" s="11">
        <v>80752</v>
      </c>
      <c r="F2300" s="749">
        <v>18</v>
      </c>
      <c r="G2300" s="995"/>
      <c r="H2300" s="3" t="s">
        <v>1041</v>
      </c>
      <c r="I2300" s="995"/>
      <c r="J2300" s="878">
        <v>125.9</v>
      </c>
      <c r="K2300" s="995"/>
      <c r="L2300" s="995"/>
      <c r="M2300" s="761" t="str">
        <f t="shared" si="38"/>
        <v>July</v>
      </c>
      <c r="N2300" s="761">
        <v>44763</v>
      </c>
      <c r="O2300" s="761" t="s">
        <v>62</v>
      </c>
      <c r="P2300" s="995"/>
      <c r="Q2300" s="995"/>
      <c r="R2300" s="995"/>
      <c r="S2300" s="3"/>
      <c r="T2300" s="3"/>
      <c r="U2300" s="3"/>
      <c r="V2300" s="4"/>
      <c r="W2300" s="761"/>
      <c r="X2300" s="761"/>
      <c r="Y2300" s="761"/>
      <c r="Z2300" s="761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</row>
    <row r="2301" spans="2:39">
      <c r="B2301" s="975">
        <v>8</v>
      </c>
      <c r="C2301" s="993" t="s">
        <v>5595</v>
      </c>
      <c r="D2301" s="3">
        <v>200098944</v>
      </c>
      <c r="E2301" s="11">
        <v>80762</v>
      </c>
      <c r="F2301" s="749">
        <v>19</v>
      </c>
      <c r="G2301" s="995"/>
      <c r="H2301" s="3" t="s">
        <v>128</v>
      </c>
      <c r="I2301" s="995"/>
      <c r="J2301" s="3">
        <v>122.13</v>
      </c>
      <c r="K2301" s="995"/>
      <c r="L2301" s="995"/>
      <c r="M2301" s="761" t="str">
        <f t="shared" si="38"/>
        <v>July</v>
      </c>
      <c r="N2301" s="761">
        <v>44764</v>
      </c>
      <c r="O2301" s="761" t="s">
        <v>62</v>
      </c>
      <c r="P2301" s="995"/>
      <c r="Q2301" s="995"/>
      <c r="R2301" s="995"/>
      <c r="S2301" s="3"/>
      <c r="T2301" s="3"/>
      <c r="U2301" s="3"/>
      <c r="V2301" s="4"/>
      <c r="W2301" s="761"/>
      <c r="X2301" s="761"/>
      <c r="Y2301" s="761"/>
      <c r="Z2301" s="761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</row>
    <row r="2302" spans="2:39">
      <c r="B2302" s="975">
        <v>8</v>
      </c>
      <c r="C2302" s="993" t="s">
        <v>5595</v>
      </c>
      <c r="D2302" s="3">
        <v>200098945</v>
      </c>
      <c r="E2302" s="11">
        <v>80772</v>
      </c>
      <c r="F2302" s="749">
        <v>20</v>
      </c>
      <c r="G2302" s="995"/>
      <c r="H2302" s="3" t="s">
        <v>128</v>
      </c>
      <c r="I2302" s="995"/>
      <c r="J2302" s="785">
        <v>122.26</v>
      </c>
      <c r="K2302" s="995"/>
      <c r="L2302" s="995"/>
      <c r="M2302" s="761" t="str">
        <f t="shared" si="38"/>
        <v>July</v>
      </c>
      <c r="N2302" s="761">
        <v>44764</v>
      </c>
      <c r="O2302" s="761" t="s">
        <v>62</v>
      </c>
      <c r="P2302" s="995"/>
      <c r="Q2302" s="995"/>
      <c r="R2302" s="995"/>
      <c r="S2302" s="3"/>
      <c r="T2302" s="3"/>
      <c r="U2302" s="3"/>
      <c r="V2302" s="4"/>
      <c r="W2302" s="761"/>
      <c r="X2302" s="761"/>
      <c r="Y2302" s="761"/>
      <c r="Z2302" s="761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</row>
    <row r="2303" spans="2:39">
      <c r="B2303" s="975">
        <v>8</v>
      </c>
      <c r="C2303" s="993" t="s">
        <v>5595</v>
      </c>
      <c r="D2303" s="3">
        <v>200098946</v>
      </c>
      <c r="E2303" s="11">
        <v>80782</v>
      </c>
      <c r="F2303" s="749">
        <v>21</v>
      </c>
      <c r="G2303" s="995"/>
      <c r="H2303" s="3" t="s">
        <v>128</v>
      </c>
      <c r="I2303" s="995"/>
      <c r="J2303" s="785">
        <v>121.86</v>
      </c>
      <c r="K2303" s="995"/>
      <c r="L2303" s="995"/>
      <c r="M2303" s="761" t="str">
        <f t="shared" si="38"/>
        <v>July</v>
      </c>
      <c r="N2303" s="761">
        <v>44764</v>
      </c>
      <c r="O2303" s="761" t="s">
        <v>62</v>
      </c>
      <c r="P2303" s="995"/>
      <c r="Q2303" s="995"/>
      <c r="R2303" s="995"/>
      <c r="S2303" s="3"/>
      <c r="T2303" s="3"/>
      <c r="U2303" s="3"/>
      <c r="V2303" s="4"/>
      <c r="W2303" s="761"/>
      <c r="X2303" s="761"/>
      <c r="Y2303" s="761"/>
      <c r="Z2303" s="761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</row>
    <row r="2304" spans="2:39">
      <c r="B2304" s="975">
        <v>8</v>
      </c>
      <c r="C2304" s="993" t="s">
        <v>5595</v>
      </c>
      <c r="D2304" s="3">
        <v>200098947</v>
      </c>
      <c r="E2304" s="11">
        <v>80792</v>
      </c>
      <c r="F2304" s="749">
        <v>22</v>
      </c>
      <c r="G2304" s="995"/>
      <c r="H2304" s="3" t="s">
        <v>128</v>
      </c>
      <c r="I2304" s="995"/>
      <c r="J2304" s="785">
        <v>126.16</v>
      </c>
      <c r="K2304" s="995"/>
      <c r="L2304" s="995"/>
      <c r="M2304" s="761" t="str">
        <f t="shared" si="38"/>
        <v>July</v>
      </c>
      <c r="N2304" s="761">
        <v>44764</v>
      </c>
      <c r="O2304" s="761" t="s">
        <v>62</v>
      </c>
      <c r="P2304" s="995"/>
      <c r="Q2304" s="995"/>
      <c r="R2304" s="995"/>
      <c r="S2304" s="3"/>
      <c r="T2304" s="3"/>
      <c r="U2304" s="3"/>
      <c r="V2304" s="4"/>
      <c r="W2304" s="761"/>
      <c r="X2304" s="761"/>
      <c r="Y2304" s="761"/>
      <c r="Z2304" s="761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</row>
    <row r="2305" spans="2:39">
      <c r="B2305" s="975">
        <v>8</v>
      </c>
      <c r="C2305" s="993" t="s">
        <v>5595</v>
      </c>
      <c r="D2305" s="3">
        <v>200098948</v>
      </c>
      <c r="E2305" s="11">
        <v>80802</v>
      </c>
      <c r="F2305" s="749">
        <v>23</v>
      </c>
      <c r="G2305" s="995"/>
      <c r="H2305" s="3" t="s">
        <v>128</v>
      </c>
      <c r="I2305" s="995"/>
      <c r="J2305" s="785">
        <v>123.85</v>
      </c>
      <c r="K2305" s="995"/>
      <c r="L2305" s="995"/>
      <c r="M2305" s="761" t="str">
        <f t="shared" si="38"/>
        <v>July</v>
      </c>
      <c r="N2305" s="761">
        <v>44764</v>
      </c>
      <c r="O2305" s="761" t="s">
        <v>62</v>
      </c>
      <c r="P2305" s="995"/>
      <c r="Q2305" s="995"/>
      <c r="R2305" s="995"/>
      <c r="S2305" s="3"/>
      <c r="T2305" s="3"/>
      <c r="U2305" s="3"/>
      <c r="V2305" s="4"/>
      <c r="W2305" s="761"/>
      <c r="X2305" s="761"/>
      <c r="Y2305" s="761"/>
      <c r="Z2305" s="761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</row>
    <row r="2306" spans="2:39">
      <c r="B2306" s="975">
        <v>8</v>
      </c>
      <c r="C2306" s="993" t="s">
        <v>5595</v>
      </c>
      <c r="D2306" s="3">
        <v>200098949</v>
      </c>
      <c r="E2306" s="11">
        <v>80812</v>
      </c>
      <c r="F2306" s="749">
        <v>24</v>
      </c>
      <c r="G2306" s="995"/>
      <c r="H2306" s="3" t="s">
        <v>128</v>
      </c>
      <c r="I2306" s="995"/>
      <c r="J2306" s="785">
        <v>126.07</v>
      </c>
      <c r="K2306" s="995"/>
      <c r="L2306" s="995"/>
      <c r="M2306" s="761" t="str">
        <f t="shared" si="38"/>
        <v>July</v>
      </c>
      <c r="N2306" s="761">
        <v>44764</v>
      </c>
      <c r="O2306" s="761" t="s">
        <v>62</v>
      </c>
      <c r="P2306" s="995"/>
      <c r="Q2306" s="995"/>
      <c r="R2306" s="995"/>
      <c r="S2306" s="3"/>
      <c r="T2306" s="3"/>
      <c r="U2306" s="3"/>
      <c r="V2306" s="4"/>
      <c r="W2306" s="761"/>
      <c r="X2306" s="761"/>
      <c r="Y2306" s="761"/>
      <c r="Z2306" s="761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</row>
    <row r="2307" spans="2:39">
      <c r="B2307" s="975">
        <v>8</v>
      </c>
      <c r="C2307" s="993" t="s">
        <v>5595</v>
      </c>
      <c r="D2307" s="3">
        <v>200098950</v>
      </c>
      <c r="E2307" s="11">
        <v>80822</v>
      </c>
      <c r="F2307" s="749">
        <v>25</v>
      </c>
      <c r="G2307" s="995"/>
      <c r="H2307" s="3" t="s">
        <v>128</v>
      </c>
      <c r="I2307" s="995"/>
      <c r="J2307" s="785">
        <v>126.13</v>
      </c>
      <c r="K2307" s="995"/>
      <c r="L2307" s="995"/>
      <c r="M2307" s="761" t="str">
        <f t="shared" si="38"/>
        <v>July</v>
      </c>
      <c r="N2307" s="761">
        <v>44764</v>
      </c>
      <c r="O2307" s="761" t="s">
        <v>62</v>
      </c>
      <c r="P2307" s="995"/>
      <c r="Q2307" s="995"/>
      <c r="R2307" s="995"/>
      <c r="S2307" s="3"/>
      <c r="T2307" s="3"/>
      <c r="U2307" s="3"/>
      <c r="V2307" s="4"/>
      <c r="W2307" s="761"/>
      <c r="X2307" s="761"/>
      <c r="Y2307" s="761"/>
      <c r="Z2307" s="761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</row>
    <row r="2308" spans="2:39">
      <c r="B2308" s="975">
        <v>8</v>
      </c>
      <c r="C2308" s="993" t="s">
        <v>5595</v>
      </c>
      <c r="D2308" s="3">
        <v>200098951</v>
      </c>
      <c r="E2308" s="11">
        <v>80832</v>
      </c>
      <c r="F2308" s="749">
        <v>26</v>
      </c>
      <c r="G2308" s="995"/>
      <c r="H2308" s="3" t="s">
        <v>128</v>
      </c>
      <c r="I2308" s="995"/>
      <c r="J2308" s="785">
        <v>123.29</v>
      </c>
      <c r="K2308" s="995"/>
      <c r="L2308" s="995"/>
      <c r="M2308" s="761" t="str">
        <f t="shared" si="38"/>
        <v>July</v>
      </c>
      <c r="N2308" s="761">
        <v>44769</v>
      </c>
      <c r="O2308" s="761" t="s">
        <v>62</v>
      </c>
      <c r="P2308" s="995"/>
      <c r="Q2308" s="995"/>
      <c r="R2308" s="995"/>
      <c r="S2308" s="3"/>
      <c r="T2308" s="3"/>
      <c r="U2308" s="3"/>
      <c r="V2308" s="4"/>
      <c r="W2308" s="761"/>
      <c r="X2308" s="761"/>
      <c r="Y2308" s="761"/>
      <c r="Z2308" s="761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</row>
    <row r="2309" spans="2:39">
      <c r="B2309" s="975">
        <v>8</v>
      </c>
      <c r="C2309" s="993" t="s">
        <v>5595</v>
      </c>
      <c r="D2309" s="3">
        <v>200098952</v>
      </c>
      <c r="E2309" s="11">
        <v>80842</v>
      </c>
      <c r="F2309" s="749">
        <v>27</v>
      </c>
      <c r="G2309" s="995"/>
      <c r="H2309" s="3" t="s">
        <v>128</v>
      </c>
      <c r="I2309" s="995"/>
      <c r="J2309" s="785">
        <v>124.86</v>
      </c>
      <c r="K2309" s="995"/>
      <c r="L2309" s="995"/>
      <c r="M2309" s="761" t="str">
        <f t="shared" si="38"/>
        <v>July</v>
      </c>
      <c r="N2309" s="761">
        <v>44769</v>
      </c>
      <c r="O2309" s="761" t="s">
        <v>62</v>
      </c>
      <c r="P2309" s="995"/>
      <c r="Q2309" s="995"/>
      <c r="R2309" s="995"/>
      <c r="S2309" s="3"/>
      <c r="T2309" s="3"/>
      <c r="U2309" s="3"/>
      <c r="V2309" s="4"/>
      <c r="W2309" s="761"/>
      <c r="X2309" s="761"/>
      <c r="Y2309" s="761"/>
      <c r="Z2309" s="761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</row>
    <row r="2310" spans="2:39">
      <c r="B2310" s="975">
        <v>8</v>
      </c>
      <c r="C2310" s="993" t="s">
        <v>5595</v>
      </c>
      <c r="D2310" s="3">
        <v>200098953</v>
      </c>
      <c r="E2310" s="11">
        <v>80852</v>
      </c>
      <c r="F2310" s="749">
        <v>28</v>
      </c>
      <c r="G2310" s="995"/>
      <c r="H2310" s="3" t="s">
        <v>128</v>
      </c>
      <c r="I2310" s="995"/>
      <c r="J2310" s="785">
        <v>124.21</v>
      </c>
      <c r="K2310" s="995"/>
      <c r="L2310" s="995"/>
      <c r="M2310" s="761" t="str">
        <f t="shared" si="38"/>
        <v>July</v>
      </c>
      <c r="N2310" s="761">
        <v>44769</v>
      </c>
      <c r="O2310" s="761" t="s">
        <v>62</v>
      </c>
      <c r="P2310" s="995"/>
      <c r="Q2310" s="995"/>
      <c r="R2310" s="995"/>
      <c r="S2310" s="3"/>
      <c r="T2310" s="3"/>
      <c r="U2310" s="3"/>
      <c r="V2310" s="4"/>
      <c r="W2310" s="761"/>
      <c r="X2310" s="761"/>
      <c r="Y2310" s="761"/>
      <c r="Z2310" s="761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</row>
    <row r="2311" spans="2:39">
      <c r="B2311" s="975">
        <v>8</v>
      </c>
      <c r="C2311" s="993" t="s">
        <v>5595</v>
      </c>
      <c r="D2311" s="3">
        <v>200098954</v>
      </c>
      <c r="E2311" s="11">
        <v>80862</v>
      </c>
      <c r="F2311" s="749">
        <v>29</v>
      </c>
      <c r="G2311" s="995"/>
      <c r="H2311" s="3" t="s">
        <v>128</v>
      </c>
      <c r="I2311" s="995"/>
      <c r="J2311" s="785">
        <v>126</v>
      </c>
      <c r="K2311" s="995"/>
      <c r="L2311" s="995"/>
      <c r="M2311" s="761" t="str">
        <f t="shared" si="38"/>
        <v>July</v>
      </c>
      <c r="N2311" s="761">
        <v>44769</v>
      </c>
      <c r="O2311" s="761" t="s">
        <v>62</v>
      </c>
      <c r="P2311" s="995"/>
      <c r="Q2311" s="995"/>
      <c r="R2311" s="995"/>
      <c r="S2311" s="3"/>
      <c r="T2311" s="3"/>
      <c r="U2311" s="3"/>
      <c r="V2311" s="4"/>
      <c r="W2311" s="761"/>
      <c r="X2311" s="761"/>
      <c r="Y2311" s="761"/>
      <c r="Z2311" s="761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</row>
    <row r="2312" spans="2:39">
      <c r="B2312" s="975">
        <v>8</v>
      </c>
      <c r="C2312" s="993" t="s">
        <v>5595</v>
      </c>
      <c r="D2312" s="3">
        <v>200098955</v>
      </c>
      <c r="E2312" s="11">
        <v>80872</v>
      </c>
      <c r="F2312" s="749">
        <v>30</v>
      </c>
      <c r="G2312" s="995"/>
      <c r="H2312" s="3" t="s">
        <v>128</v>
      </c>
      <c r="I2312" s="995"/>
      <c r="J2312" s="785">
        <v>123.02</v>
      </c>
      <c r="K2312" s="995"/>
      <c r="L2312" s="995"/>
      <c r="M2312" s="761" t="str">
        <f t="shared" si="38"/>
        <v>July</v>
      </c>
      <c r="N2312" s="761">
        <v>44770</v>
      </c>
      <c r="O2312" s="761" t="s">
        <v>62</v>
      </c>
      <c r="P2312" s="995"/>
      <c r="Q2312" s="995"/>
      <c r="R2312" s="995"/>
      <c r="S2312" s="3"/>
      <c r="T2312" s="3"/>
      <c r="U2312" s="3"/>
      <c r="V2312" s="4"/>
      <c r="W2312" s="761"/>
      <c r="X2312" s="761"/>
      <c r="Y2312" s="761"/>
      <c r="Z2312" s="761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</row>
    <row r="2313" spans="2:39">
      <c r="B2313" s="975">
        <v>8</v>
      </c>
      <c r="C2313" s="993" t="s">
        <v>5595</v>
      </c>
      <c r="D2313" s="3">
        <v>200099066</v>
      </c>
      <c r="E2313" s="11">
        <v>81872</v>
      </c>
      <c r="F2313" s="749">
        <v>31</v>
      </c>
      <c r="G2313" s="995"/>
      <c r="H2313" s="3" t="s">
        <v>128</v>
      </c>
      <c r="I2313" s="995"/>
      <c r="J2313" s="785">
        <v>123.59</v>
      </c>
      <c r="K2313" s="995"/>
      <c r="L2313" s="995"/>
      <c r="M2313" s="761" t="str">
        <f t="shared" si="38"/>
        <v>July</v>
      </c>
      <c r="N2313" s="761">
        <v>44770</v>
      </c>
      <c r="O2313" s="761" t="s">
        <v>62</v>
      </c>
      <c r="P2313" s="995"/>
      <c r="Q2313" s="995"/>
      <c r="R2313" s="995"/>
      <c r="S2313" s="3"/>
      <c r="T2313" s="3"/>
      <c r="U2313" s="3"/>
      <c r="V2313" s="4"/>
      <c r="W2313" s="761"/>
      <c r="X2313" s="761"/>
      <c r="Y2313" s="761"/>
      <c r="Z2313" s="761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</row>
    <row r="2314" spans="2:39">
      <c r="B2314" s="975">
        <v>8</v>
      </c>
      <c r="C2314" s="993" t="s">
        <v>5595</v>
      </c>
      <c r="D2314" s="3">
        <v>200099067</v>
      </c>
      <c r="E2314" s="11">
        <v>81882</v>
      </c>
      <c r="F2314" s="749">
        <v>32</v>
      </c>
      <c r="G2314" s="995"/>
      <c r="H2314" s="3" t="s">
        <v>128</v>
      </c>
      <c r="I2314" s="995"/>
      <c r="J2314" s="785">
        <v>123.38</v>
      </c>
      <c r="K2314" s="995"/>
      <c r="L2314" s="995"/>
      <c r="M2314" s="761" t="str">
        <f t="shared" si="38"/>
        <v>July</v>
      </c>
      <c r="N2314" s="761">
        <v>44770</v>
      </c>
      <c r="O2314" s="761" t="s">
        <v>62</v>
      </c>
      <c r="P2314" s="995"/>
      <c r="Q2314" s="995"/>
      <c r="R2314" s="995"/>
      <c r="S2314" s="3"/>
      <c r="T2314" s="3"/>
      <c r="U2314" s="3"/>
      <c r="V2314" s="4"/>
      <c r="W2314" s="761"/>
      <c r="X2314" s="761"/>
      <c r="Y2314" s="761"/>
      <c r="Z2314" s="761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</row>
    <row r="2315" spans="2:39">
      <c r="B2315" s="975">
        <v>8</v>
      </c>
      <c r="C2315" s="993" t="s">
        <v>5595</v>
      </c>
      <c r="D2315" s="3">
        <v>200099068</v>
      </c>
      <c r="E2315" s="11">
        <v>81892</v>
      </c>
      <c r="F2315" s="749">
        <v>33</v>
      </c>
      <c r="G2315" s="995"/>
      <c r="H2315" s="3" t="s">
        <v>128</v>
      </c>
      <c r="I2315" s="995"/>
      <c r="J2315" s="785">
        <v>123.58</v>
      </c>
      <c r="K2315" s="995"/>
      <c r="L2315" s="995"/>
      <c r="M2315" s="761" t="str">
        <f t="shared" si="38"/>
        <v>July</v>
      </c>
      <c r="N2315" s="761">
        <v>44770</v>
      </c>
      <c r="O2315" s="761" t="s">
        <v>62</v>
      </c>
      <c r="P2315" s="995"/>
      <c r="Q2315" s="995"/>
      <c r="R2315" s="995"/>
      <c r="S2315" s="3"/>
      <c r="T2315" s="3"/>
      <c r="U2315" s="3"/>
      <c r="V2315" s="4"/>
      <c r="W2315" s="761"/>
      <c r="X2315" s="761"/>
      <c r="Y2315" s="761"/>
      <c r="Z2315" s="761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</row>
    <row r="2316" spans="2:39">
      <c r="B2316" s="975">
        <v>8</v>
      </c>
      <c r="C2316" s="993" t="s">
        <v>5595</v>
      </c>
      <c r="D2316" s="3">
        <v>200099069</v>
      </c>
      <c r="E2316" s="11">
        <v>81902</v>
      </c>
      <c r="F2316" s="749">
        <v>34</v>
      </c>
      <c r="G2316" s="995"/>
      <c r="H2316" s="3" t="s">
        <v>128</v>
      </c>
      <c r="I2316" s="995"/>
      <c r="J2316" s="785">
        <v>126</v>
      </c>
      <c r="K2316" s="995"/>
      <c r="L2316" s="995"/>
      <c r="M2316" s="761" t="str">
        <f t="shared" si="38"/>
        <v>July</v>
      </c>
      <c r="N2316" s="761">
        <v>44770</v>
      </c>
      <c r="O2316" s="761" t="s">
        <v>62</v>
      </c>
      <c r="P2316" s="995"/>
      <c r="Q2316" s="995"/>
      <c r="R2316" s="995"/>
      <c r="S2316" s="3"/>
      <c r="T2316" s="3"/>
      <c r="U2316" s="3"/>
      <c r="V2316" s="4"/>
      <c r="W2316" s="761"/>
      <c r="X2316" s="761"/>
      <c r="Y2316" s="761"/>
      <c r="Z2316" s="761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</row>
    <row r="2317" spans="2:39">
      <c r="B2317" s="975">
        <v>8</v>
      </c>
      <c r="C2317" s="993" t="s">
        <v>5595</v>
      </c>
      <c r="D2317" s="3">
        <v>200099070</v>
      </c>
      <c r="E2317" s="11">
        <v>81912</v>
      </c>
      <c r="F2317" s="749">
        <v>35</v>
      </c>
      <c r="G2317" s="995"/>
      <c r="H2317" s="3" t="s">
        <v>128</v>
      </c>
      <c r="I2317" s="995"/>
      <c r="J2317" s="785">
        <v>122.06</v>
      </c>
      <c r="K2317" s="995"/>
      <c r="L2317" s="995"/>
      <c r="M2317" s="761" t="str">
        <f t="shared" si="38"/>
        <v>August</v>
      </c>
      <c r="N2317" s="761">
        <v>44774</v>
      </c>
      <c r="O2317" s="761" t="s">
        <v>62</v>
      </c>
      <c r="P2317" s="995"/>
      <c r="Q2317" s="995"/>
      <c r="R2317" s="995"/>
      <c r="S2317" s="3"/>
      <c r="T2317" s="3"/>
      <c r="U2317" s="3"/>
      <c r="V2317" s="4"/>
      <c r="W2317" s="761"/>
      <c r="X2317" s="761"/>
      <c r="Y2317" s="761"/>
      <c r="Z2317" s="761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</row>
    <row r="2318" spans="2:39">
      <c r="B2318" s="975">
        <v>8</v>
      </c>
      <c r="C2318" s="993" t="s">
        <v>5595</v>
      </c>
      <c r="D2318" s="3">
        <v>200099071</v>
      </c>
      <c r="E2318" s="11">
        <v>81922</v>
      </c>
      <c r="F2318" s="749">
        <v>36</v>
      </c>
      <c r="G2318" s="995"/>
      <c r="H2318" s="3" t="s">
        <v>128</v>
      </c>
      <c r="I2318" s="995"/>
      <c r="J2318" s="785">
        <v>122.21</v>
      </c>
      <c r="K2318" s="995"/>
      <c r="L2318" s="995"/>
      <c r="M2318" s="761" t="str">
        <f t="shared" si="38"/>
        <v>August</v>
      </c>
      <c r="N2318" s="761">
        <v>44774</v>
      </c>
      <c r="O2318" s="761" t="s">
        <v>62</v>
      </c>
      <c r="P2318" s="995"/>
      <c r="Q2318" s="995"/>
      <c r="R2318" s="995"/>
      <c r="S2318" s="3"/>
      <c r="T2318" s="3"/>
      <c r="U2318" s="3"/>
      <c r="V2318" s="4"/>
      <c r="W2318" s="761"/>
      <c r="X2318" s="761"/>
      <c r="Y2318" s="761"/>
      <c r="Z2318" s="761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</row>
    <row r="2319" spans="2:39">
      <c r="B2319" s="975">
        <v>8</v>
      </c>
      <c r="C2319" s="993" t="s">
        <v>5595</v>
      </c>
      <c r="D2319" s="3">
        <v>200099072</v>
      </c>
      <c r="E2319" s="11">
        <v>81932</v>
      </c>
      <c r="F2319" s="749">
        <v>37</v>
      </c>
      <c r="G2319" s="995"/>
      <c r="H2319" s="3" t="s">
        <v>128</v>
      </c>
      <c r="I2319" s="995"/>
      <c r="J2319" s="785">
        <v>123</v>
      </c>
      <c r="K2319" s="995"/>
      <c r="L2319" s="995"/>
      <c r="M2319" s="761" t="str">
        <f t="shared" si="38"/>
        <v>August</v>
      </c>
      <c r="N2319" s="761">
        <v>44774</v>
      </c>
      <c r="O2319" s="761" t="s">
        <v>62</v>
      </c>
      <c r="P2319" s="995"/>
      <c r="Q2319" s="995"/>
      <c r="R2319" s="995"/>
      <c r="S2319" s="3"/>
      <c r="T2319" s="3"/>
      <c r="U2319" s="3"/>
      <c r="V2319" s="4"/>
      <c r="W2319" s="761"/>
      <c r="X2319" s="761"/>
      <c r="Y2319" s="761"/>
      <c r="Z2319" s="761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</row>
    <row r="2320" spans="2:39">
      <c r="B2320" s="975">
        <v>8</v>
      </c>
      <c r="C2320" s="993" t="s">
        <v>5595</v>
      </c>
      <c r="D2320" s="3">
        <v>200099073</v>
      </c>
      <c r="E2320" s="11">
        <v>81942</v>
      </c>
      <c r="F2320" s="749">
        <v>38</v>
      </c>
      <c r="G2320" s="995"/>
      <c r="H2320" s="3" t="s">
        <v>128</v>
      </c>
      <c r="I2320" s="995"/>
      <c r="J2320" s="785">
        <v>125.53</v>
      </c>
      <c r="K2320" s="995"/>
      <c r="L2320" s="995"/>
      <c r="M2320" s="761" t="str">
        <f t="shared" si="38"/>
        <v>August</v>
      </c>
      <c r="N2320" s="761">
        <v>44774</v>
      </c>
      <c r="O2320" s="761" t="s">
        <v>62</v>
      </c>
      <c r="P2320" s="995"/>
      <c r="Q2320" s="995"/>
      <c r="R2320" s="995"/>
      <c r="S2320" s="3"/>
      <c r="T2320" s="3"/>
      <c r="U2320" s="3"/>
      <c r="V2320" s="4"/>
      <c r="W2320" s="761"/>
      <c r="X2320" s="761"/>
      <c r="Y2320" s="761"/>
      <c r="Z2320" s="761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</row>
    <row r="2321" spans="1:39">
      <c r="B2321" s="975">
        <v>8</v>
      </c>
      <c r="C2321" s="993" t="s">
        <v>5595</v>
      </c>
      <c r="D2321" s="3">
        <v>200099074</v>
      </c>
      <c r="E2321" s="11">
        <v>81952</v>
      </c>
      <c r="F2321" s="749">
        <v>39</v>
      </c>
      <c r="G2321" s="995"/>
      <c r="H2321" s="3" t="s">
        <v>128</v>
      </c>
      <c r="I2321" s="995"/>
      <c r="J2321" s="786">
        <v>122.39</v>
      </c>
      <c r="K2321" s="995"/>
      <c r="L2321" s="995"/>
      <c r="M2321" s="761" t="str">
        <f t="shared" si="38"/>
        <v>August</v>
      </c>
      <c r="N2321" s="761">
        <v>44776</v>
      </c>
      <c r="O2321" s="761" t="s">
        <v>62</v>
      </c>
      <c r="P2321" s="995"/>
      <c r="Q2321" s="995"/>
      <c r="R2321" s="995"/>
      <c r="S2321" s="3"/>
      <c r="T2321" s="3"/>
      <c r="U2321" s="3"/>
      <c r="V2321" s="4"/>
      <c r="W2321" s="761"/>
      <c r="X2321" s="761"/>
      <c r="Y2321" s="761"/>
      <c r="Z2321" s="761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</row>
    <row r="2322" spans="1:39">
      <c r="B2322" s="975">
        <v>8</v>
      </c>
      <c r="C2322" s="993" t="s">
        <v>5595</v>
      </c>
      <c r="D2322" s="3">
        <v>200099075</v>
      </c>
      <c r="E2322" s="11">
        <v>81962</v>
      </c>
      <c r="F2322" s="749">
        <v>40</v>
      </c>
      <c r="G2322" s="995"/>
      <c r="H2322" s="3" t="s">
        <v>128</v>
      </c>
      <c r="I2322" s="995"/>
      <c r="J2322" s="786">
        <v>125.68</v>
      </c>
      <c r="K2322" s="995"/>
      <c r="L2322" s="995"/>
      <c r="M2322" s="761" t="str">
        <f t="shared" si="38"/>
        <v>August</v>
      </c>
      <c r="N2322" s="761">
        <v>44776</v>
      </c>
      <c r="O2322" s="761" t="s">
        <v>62</v>
      </c>
      <c r="P2322" s="995"/>
      <c r="Q2322" s="995"/>
      <c r="R2322" s="995"/>
      <c r="S2322" s="3"/>
      <c r="T2322" s="3"/>
      <c r="U2322" s="3"/>
      <c r="V2322" s="4"/>
      <c r="W2322" s="761"/>
      <c r="X2322" s="761"/>
      <c r="Y2322" s="761"/>
      <c r="Z2322" s="761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</row>
    <row r="2323" spans="1:39">
      <c r="B2323" s="975">
        <v>8</v>
      </c>
      <c r="C2323" s="993" t="s">
        <v>5595</v>
      </c>
      <c r="D2323" s="3">
        <v>200099120</v>
      </c>
      <c r="E2323" s="11">
        <v>82172</v>
      </c>
      <c r="F2323" s="749">
        <v>41</v>
      </c>
      <c r="G2323" s="995"/>
      <c r="H2323" s="3" t="s">
        <v>128</v>
      </c>
      <c r="I2323" s="995"/>
      <c r="J2323" s="786">
        <v>123.04</v>
      </c>
      <c r="K2323" s="995"/>
      <c r="L2323" s="995"/>
      <c r="M2323" s="761" t="str">
        <f t="shared" si="38"/>
        <v>August</v>
      </c>
      <c r="N2323" s="761">
        <v>44776</v>
      </c>
      <c r="O2323" s="761" t="s">
        <v>62</v>
      </c>
      <c r="P2323" s="995"/>
      <c r="Q2323" s="995"/>
      <c r="R2323" s="995"/>
      <c r="S2323" s="3"/>
      <c r="T2323" s="3"/>
      <c r="U2323" s="3"/>
      <c r="V2323" s="4"/>
      <c r="W2323" s="761"/>
      <c r="X2323" s="761"/>
      <c r="Y2323" s="761"/>
      <c r="Z2323" s="761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</row>
    <row r="2324" spans="1:39">
      <c r="B2324" s="975">
        <v>8</v>
      </c>
      <c r="C2324" s="993" t="s">
        <v>5595</v>
      </c>
      <c r="D2324" s="3">
        <v>200099121</v>
      </c>
      <c r="E2324" s="11">
        <v>82182</v>
      </c>
      <c r="F2324" s="749">
        <v>42</v>
      </c>
      <c r="G2324" s="995"/>
      <c r="H2324" s="3" t="s">
        <v>128</v>
      </c>
      <c r="I2324" s="995"/>
      <c r="J2324" s="786">
        <v>125.18</v>
      </c>
      <c r="K2324" s="995"/>
      <c r="L2324" s="995"/>
      <c r="M2324" s="761" t="str">
        <f t="shared" si="38"/>
        <v>August</v>
      </c>
      <c r="N2324" s="761">
        <v>44776</v>
      </c>
      <c r="O2324" s="761" t="s">
        <v>62</v>
      </c>
      <c r="P2324" s="995"/>
      <c r="Q2324" s="995"/>
      <c r="R2324" s="995"/>
      <c r="S2324" s="3"/>
      <c r="T2324" s="3"/>
      <c r="U2324" s="3"/>
      <c r="V2324" s="4"/>
      <c r="W2324" s="761"/>
      <c r="X2324" s="761"/>
      <c r="Y2324" s="761"/>
      <c r="Z2324" s="761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</row>
    <row r="2325" spans="1:39">
      <c r="B2325" s="975">
        <v>8</v>
      </c>
      <c r="C2325" s="993" t="s">
        <v>5595</v>
      </c>
      <c r="D2325" s="3">
        <v>200099122</v>
      </c>
      <c r="E2325" s="1469" t="s">
        <v>5647</v>
      </c>
      <c r="F2325" s="749">
        <v>43</v>
      </c>
      <c r="G2325" s="995"/>
      <c r="H2325" s="3" t="s">
        <v>128</v>
      </c>
      <c r="I2325" s="995"/>
      <c r="J2325" s="786">
        <v>121.74</v>
      </c>
      <c r="K2325" s="995"/>
      <c r="L2325" s="995"/>
      <c r="M2325" s="761" t="str">
        <f t="shared" si="38"/>
        <v>August</v>
      </c>
      <c r="N2325" s="761">
        <v>44778</v>
      </c>
      <c r="O2325" s="761" t="s">
        <v>62</v>
      </c>
      <c r="P2325" s="995"/>
      <c r="Q2325" s="995"/>
      <c r="R2325" s="995"/>
      <c r="S2325" s="3"/>
      <c r="T2325" s="3"/>
      <c r="U2325" s="3"/>
      <c r="V2325" s="4"/>
      <c r="W2325" s="761"/>
      <c r="X2325" s="761"/>
      <c r="Y2325" s="761"/>
      <c r="Z2325" s="761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</row>
    <row r="2326" spans="1:39">
      <c r="B2326" s="975">
        <v>8</v>
      </c>
      <c r="C2326" s="993" t="s">
        <v>5595</v>
      </c>
      <c r="D2326" s="3">
        <v>200099123</v>
      </c>
      <c r="E2326" s="1469" t="s">
        <v>5648</v>
      </c>
      <c r="F2326" s="749">
        <v>44</v>
      </c>
      <c r="G2326" s="995"/>
      <c r="H2326" s="3" t="s">
        <v>128</v>
      </c>
      <c r="I2326" s="995"/>
      <c r="J2326" s="786">
        <v>122.37</v>
      </c>
      <c r="K2326" s="995"/>
      <c r="L2326" s="995"/>
      <c r="M2326" s="761" t="str">
        <f t="shared" si="38"/>
        <v>August</v>
      </c>
      <c r="N2326" s="761">
        <v>44778</v>
      </c>
      <c r="O2326" s="761" t="s">
        <v>62</v>
      </c>
      <c r="P2326" s="995"/>
      <c r="Q2326" s="995"/>
      <c r="R2326" s="995"/>
      <c r="S2326" s="3"/>
      <c r="T2326" s="3"/>
      <c r="U2326" s="3"/>
      <c r="V2326" s="4"/>
      <c r="W2326" s="761"/>
      <c r="X2326" s="761"/>
      <c r="Y2326" s="761"/>
      <c r="Z2326" s="761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</row>
    <row r="2327" spans="1:39">
      <c r="B2327" s="975">
        <v>8</v>
      </c>
      <c r="C2327" s="993" t="s">
        <v>5595</v>
      </c>
      <c r="D2327" s="3">
        <v>200099124</v>
      </c>
      <c r="E2327" s="1469" t="s">
        <v>5649</v>
      </c>
      <c r="F2327" s="749">
        <v>45</v>
      </c>
      <c r="G2327" s="995"/>
      <c r="H2327" s="3" t="s">
        <v>128</v>
      </c>
      <c r="I2327" s="995"/>
      <c r="J2327" s="786">
        <v>124.37</v>
      </c>
      <c r="K2327" s="995"/>
      <c r="L2327" s="995"/>
      <c r="M2327" s="761" t="str">
        <f t="shared" si="38"/>
        <v>August</v>
      </c>
      <c r="N2327" s="761">
        <v>44778</v>
      </c>
      <c r="O2327" s="761" t="s">
        <v>62</v>
      </c>
      <c r="P2327" s="995"/>
      <c r="Q2327" s="995"/>
      <c r="R2327" s="995"/>
      <c r="S2327" s="3"/>
      <c r="T2327" s="3"/>
      <c r="U2327" s="3"/>
      <c r="V2327" s="4"/>
      <c r="W2327" s="761"/>
      <c r="X2327" s="761"/>
      <c r="Y2327" s="761"/>
      <c r="Z2327" s="761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</row>
    <row r="2328" spans="1:39">
      <c r="B2328" s="975">
        <v>8</v>
      </c>
      <c r="C2328" s="993" t="s">
        <v>5595</v>
      </c>
      <c r="D2328" s="3">
        <v>200099125</v>
      </c>
      <c r="E2328" s="1469" t="s">
        <v>5650</v>
      </c>
      <c r="F2328" s="749">
        <v>46</v>
      </c>
      <c r="G2328" s="995"/>
      <c r="H2328" s="3" t="s">
        <v>128</v>
      </c>
      <c r="I2328" s="995"/>
      <c r="J2328" s="762">
        <v>125.57</v>
      </c>
      <c r="K2328" s="995"/>
      <c r="L2328" s="995"/>
      <c r="M2328" s="761" t="str">
        <f t="shared" si="38"/>
        <v>August</v>
      </c>
      <c r="N2328" s="761">
        <v>44778</v>
      </c>
      <c r="O2328" s="761" t="s">
        <v>62</v>
      </c>
      <c r="P2328" s="995"/>
      <c r="Q2328" s="995"/>
      <c r="R2328" s="995"/>
      <c r="S2328" s="3"/>
      <c r="T2328" s="3"/>
      <c r="U2328" s="3"/>
      <c r="V2328" s="4"/>
      <c r="W2328" s="761"/>
      <c r="X2328" s="761"/>
      <c r="Y2328" s="761"/>
      <c r="Z2328" s="761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</row>
    <row r="2329" spans="1:39">
      <c r="B2329" s="975">
        <v>8</v>
      </c>
      <c r="C2329" s="993" t="s">
        <v>5595</v>
      </c>
      <c r="D2329" s="3">
        <v>200099126</v>
      </c>
      <c r="E2329" s="1469" t="s">
        <v>5651</v>
      </c>
      <c r="F2329" s="749">
        <v>47</v>
      </c>
      <c r="G2329" s="995"/>
      <c r="H2329" s="3" t="s">
        <v>128</v>
      </c>
      <c r="I2329" s="995"/>
      <c r="J2329" s="786">
        <v>126</v>
      </c>
      <c r="K2329" s="995"/>
      <c r="L2329" s="995"/>
      <c r="M2329" s="761" t="str">
        <f t="shared" si="38"/>
        <v>August</v>
      </c>
      <c r="N2329" s="761">
        <v>44781</v>
      </c>
      <c r="O2329" s="761" t="s">
        <v>62</v>
      </c>
      <c r="P2329" s="995"/>
      <c r="Q2329" s="995"/>
      <c r="R2329" s="995"/>
      <c r="S2329" s="3"/>
      <c r="T2329" s="3"/>
      <c r="U2329" s="3"/>
      <c r="V2329" s="4"/>
      <c r="W2329" s="761"/>
      <c r="X2329" s="761"/>
      <c r="Y2329" s="761"/>
      <c r="Z2329" s="761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</row>
    <row r="2330" spans="1:39" s="707" customFormat="1">
      <c r="A2330"/>
      <c r="B2330" s="976" t="s">
        <v>13</v>
      </c>
      <c r="C2330" s="807"/>
      <c r="D2330" s="807"/>
      <c r="E2330" s="807"/>
      <c r="F2330" s="808"/>
      <c r="G2330" s="807"/>
      <c r="H2330" s="807"/>
      <c r="I2330" s="807"/>
      <c r="J2330" s="820"/>
      <c r="K2330" s="807"/>
      <c r="L2330" s="807"/>
      <c r="M2330" s="819"/>
      <c r="N2330" s="819"/>
      <c r="O2330" s="819"/>
      <c r="P2330" s="807"/>
      <c r="Q2330" s="807"/>
      <c r="R2330" s="807"/>
      <c r="S2330" s="807"/>
      <c r="T2330" s="807"/>
      <c r="U2330" s="807"/>
      <c r="V2330" s="710"/>
      <c r="W2330" s="819"/>
      <c r="X2330" s="819"/>
      <c r="Y2330" s="819"/>
      <c r="Z2330" s="819"/>
      <c r="AA2330" s="710"/>
      <c r="AB2330" s="710"/>
      <c r="AC2330" s="710"/>
      <c r="AD2330" s="710"/>
      <c r="AE2330" s="710"/>
      <c r="AF2330" s="710"/>
      <c r="AG2330" s="710"/>
      <c r="AH2330" s="710"/>
      <c r="AI2330" s="710"/>
      <c r="AJ2330" s="710"/>
      <c r="AK2330" s="710"/>
      <c r="AL2330" s="710"/>
      <c r="AM2330" s="710"/>
    </row>
    <row r="2331" spans="1:39">
      <c r="B2331" s="975">
        <v>9</v>
      </c>
      <c r="C2331" s="993" t="s">
        <v>5595</v>
      </c>
      <c r="D2331" s="3">
        <v>200099221</v>
      </c>
      <c r="E2331" s="1469" t="s">
        <v>5652</v>
      </c>
      <c r="F2331" s="749">
        <v>1</v>
      </c>
      <c r="G2331" s="995"/>
      <c r="H2331" s="3" t="s">
        <v>128</v>
      </c>
      <c r="I2331" s="995"/>
      <c r="J2331" s="786">
        <v>122.56</v>
      </c>
      <c r="K2331" s="995"/>
      <c r="L2331" s="995"/>
      <c r="M2331" s="761" t="s">
        <v>2556</v>
      </c>
      <c r="N2331" s="761">
        <v>44784</v>
      </c>
      <c r="O2331" s="761" t="s">
        <v>62</v>
      </c>
      <c r="P2331" s="995"/>
      <c r="Q2331" s="995"/>
      <c r="R2331" s="995"/>
      <c r="S2331" s="3"/>
      <c r="T2331" s="3"/>
      <c r="U2331" s="3"/>
      <c r="V2331" s="4"/>
      <c r="W2331" s="761"/>
      <c r="X2331" s="761"/>
      <c r="Y2331" s="761"/>
      <c r="Z2331" s="761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</row>
    <row r="2332" spans="1:39">
      <c r="B2332" s="975">
        <v>9</v>
      </c>
      <c r="C2332" s="993" t="s">
        <v>5595</v>
      </c>
      <c r="D2332" s="3">
        <v>200099222</v>
      </c>
      <c r="E2332" s="1469" t="s">
        <v>5653</v>
      </c>
      <c r="F2332" s="749">
        <v>2</v>
      </c>
      <c r="G2332" s="995"/>
      <c r="H2332" s="3" t="s">
        <v>128</v>
      </c>
      <c r="I2332" s="995"/>
      <c r="J2332" s="786">
        <v>122.42</v>
      </c>
      <c r="K2332" s="995"/>
      <c r="L2332" s="995"/>
      <c r="M2332" s="761" t="s">
        <v>2556</v>
      </c>
      <c r="N2332" s="761">
        <v>44784</v>
      </c>
      <c r="O2332" s="761" t="s">
        <v>62</v>
      </c>
      <c r="P2332" s="995"/>
      <c r="Q2332" s="995"/>
      <c r="R2332" s="995"/>
      <c r="S2332" s="3"/>
      <c r="T2332" s="3"/>
      <c r="U2332" s="3"/>
      <c r="V2332" s="4"/>
      <c r="W2332" s="761"/>
      <c r="X2332" s="761"/>
      <c r="Y2332" s="761"/>
      <c r="Z2332" s="761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</row>
    <row r="2333" spans="1:39">
      <c r="B2333" s="975">
        <v>9</v>
      </c>
      <c r="C2333" s="993" t="s">
        <v>5595</v>
      </c>
      <c r="D2333" s="3">
        <v>200099223</v>
      </c>
      <c r="E2333" s="1469" t="s">
        <v>5654</v>
      </c>
      <c r="F2333" s="749">
        <v>3</v>
      </c>
      <c r="G2333" s="995"/>
      <c r="H2333" s="3" t="s">
        <v>128</v>
      </c>
      <c r="I2333" s="995"/>
      <c r="J2333" s="786">
        <v>124.57</v>
      </c>
      <c r="K2333" s="995"/>
      <c r="L2333" s="995"/>
      <c r="M2333" s="761" t="s">
        <v>2556</v>
      </c>
      <c r="N2333" s="761">
        <v>44784</v>
      </c>
      <c r="O2333" s="761" t="s">
        <v>62</v>
      </c>
      <c r="P2333" s="995"/>
      <c r="Q2333" s="995"/>
      <c r="R2333" s="995"/>
      <c r="S2333" s="3"/>
      <c r="T2333" s="3"/>
      <c r="U2333" s="3"/>
      <c r="V2333" s="4"/>
      <c r="W2333" s="761"/>
      <c r="X2333" s="761"/>
      <c r="Y2333" s="761"/>
      <c r="Z2333" s="761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</row>
    <row r="2334" spans="1:39">
      <c r="B2334" s="975">
        <v>9</v>
      </c>
      <c r="C2334" s="993" t="s">
        <v>5595</v>
      </c>
      <c r="D2334" s="3">
        <v>200099224</v>
      </c>
      <c r="E2334" s="1469" t="s">
        <v>5655</v>
      </c>
      <c r="F2334" s="749">
        <v>4</v>
      </c>
      <c r="G2334" s="995"/>
      <c r="H2334" s="3" t="s">
        <v>128</v>
      </c>
      <c r="I2334" s="995"/>
      <c r="J2334" s="786">
        <v>124</v>
      </c>
      <c r="K2334" s="995"/>
      <c r="L2334" s="995"/>
      <c r="M2334" s="761" t="s">
        <v>2556</v>
      </c>
      <c r="N2334" s="761">
        <v>44784</v>
      </c>
      <c r="O2334" s="761" t="s">
        <v>62</v>
      </c>
      <c r="P2334" s="995"/>
      <c r="Q2334" s="995"/>
      <c r="R2334" s="995"/>
      <c r="S2334" s="3"/>
      <c r="T2334" s="3"/>
      <c r="U2334" s="3"/>
      <c r="V2334" s="4"/>
      <c r="W2334" s="761"/>
      <c r="X2334" s="761"/>
      <c r="Y2334" s="761"/>
      <c r="Z2334" s="761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</row>
    <row r="2335" spans="1:39">
      <c r="B2335" s="975">
        <v>9</v>
      </c>
      <c r="C2335" s="993" t="s">
        <v>5595</v>
      </c>
      <c r="D2335" s="3">
        <v>200099225</v>
      </c>
      <c r="E2335" s="1469" t="s">
        <v>5656</v>
      </c>
      <c r="F2335" s="749">
        <v>5</v>
      </c>
      <c r="G2335" s="995"/>
      <c r="H2335" s="3" t="s">
        <v>128</v>
      </c>
      <c r="I2335" s="995"/>
      <c r="J2335" s="786">
        <v>124</v>
      </c>
      <c r="K2335" s="995"/>
      <c r="L2335" s="995"/>
      <c r="M2335" s="761" t="s">
        <v>2556</v>
      </c>
      <c r="N2335" s="761">
        <v>44784</v>
      </c>
      <c r="O2335" s="761" t="s">
        <v>62</v>
      </c>
      <c r="P2335" s="995"/>
      <c r="Q2335" s="995"/>
      <c r="R2335" s="995"/>
      <c r="S2335" s="3"/>
      <c r="T2335" s="3"/>
      <c r="U2335" s="3"/>
      <c r="V2335" s="4"/>
      <c r="W2335" s="761"/>
      <c r="X2335" s="761"/>
      <c r="Y2335" s="761"/>
      <c r="Z2335" s="761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</row>
    <row r="2336" spans="1:39">
      <c r="B2336" s="975">
        <v>9</v>
      </c>
      <c r="C2336" s="993" t="s">
        <v>5595</v>
      </c>
      <c r="D2336" s="3">
        <v>200099226</v>
      </c>
      <c r="E2336" s="1469" t="s">
        <v>5657</v>
      </c>
      <c r="F2336" s="749">
        <v>6</v>
      </c>
      <c r="G2336" s="995"/>
      <c r="H2336" s="3" t="s">
        <v>128</v>
      </c>
      <c r="I2336" s="995"/>
      <c r="J2336" s="786">
        <v>122.39</v>
      </c>
      <c r="K2336" s="995"/>
      <c r="L2336" s="995"/>
      <c r="M2336" s="761" t="s">
        <v>2556</v>
      </c>
      <c r="N2336" s="761">
        <v>44788</v>
      </c>
      <c r="O2336" s="761" t="s">
        <v>62</v>
      </c>
      <c r="P2336" s="995"/>
      <c r="Q2336" s="995"/>
      <c r="R2336" s="995"/>
      <c r="S2336" s="3"/>
      <c r="T2336" s="3"/>
      <c r="U2336" s="3"/>
      <c r="V2336" s="4"/>
      <c r="W2336" s="761"/>
      <c r="X2336" s="761"/>
      <c r="Y2336" s="761"/>
      <c r="Z2336" s="761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</row>
    <row r="2337" spans="2:39">
      <c r="B2337" s="975">
        <v>9</v>
      </c>
      <c r="C2337" s="993" t="s">
        <v>5595</v>
      </c>
      <c r="D2337" s="3">
        <v>200099227</v>
      </c>
      <c r="E2337" s="1469" t="s">
        <v>5658</v>
      </c>
      <c r="F2337" s="749">
        <v>7</v>
      </c>
      <c r="G2337" s="995"/>
      <c r="H2337" s="3" t="s">
        <v>128</v>
      </c>
      <c r="I2337" s="995"/>
      <c r="J2337" s="786">
        <v>124.09</v>
      </c>
      <c r="K2337" s="995"/>
      <c r="L2337" s="995"/>
      <c r="M2337" s="761" t="s">
        <v>2556</v>
      </c>
      <c r="N2337" s="761">
        <v>44788</v>
      </c>
      <c r="O2337" s="761" t="s">
        <v>62</v>
      </c>
      <c r="P2337" s="995"/>
      <c r="Q2337" s="995"/>
      <c r="R2337" s="995"/>
      <c r="S2337" s="3"/>
      <c r="T2337" s="3"/>
      <c r="U2337" s="3"/>
      <c r="V2337" s="4"/>
      <c r="W2337" s="761"/>
      <c r="X2337" s="761"/>
      <c r="Y2337" s="761"/>
      <c r="Z2337" s="761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</row>
    <row r="2338" spans="2:39">
      <c r="B2338" s="975">
        <v>9</v>
      </c>
      <c r="C2338" s="993" t="s">
        <v>5595</v>
      </c>
      <c r="D2338" s="3">
        <v>200099228</v>
      </c>
      <c r="E2338" s="1469" t="s">
        <v>5659</v>
      </c>
      <c r="F2338" s="749">
        <v>8</v>
      </c>
      <c r="G2338" s="995"/>
      <c r="H2338" s="3" t="s">
        <v>128</v>
      </c>
      <c r="I2338" s="995"/>
      <c r="J2338" s="786">
        <v>122.39</v>
      </c>
      <c r="K2338" s="995"/>
      <c r="L2338" s="995"/>
      <c r="M2338" s="761" t="s">
        <v>2556</v>
      </c>
      <c r="N2338" s="761">
        <v>44788</v>
      </c>
      <c r="O2338" s="761" t="s">
        <v>62</v>
      </c>
      <c r="P2338" s="995"/>
      <c r="Q2338" s="995"/>
      <c r="R2338" s="995"/>
      <c r="S2338" s="3"/>
      <c r="T2338" s="3"/>
      <c r="U2338" s="3"/>
      <c r="V2338" s="4"/>
      <c r="W2338" s="761"/>
      <c r="X2338" s="761"/>
      <c r="Y2338" s="761"/>
      <c r="Z2338" s="761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</row>
    <row r="2339" spans="2:39">
      <c r="B2339" s="975">
        <v>9</v>
      </c>
      <c r="C2339" s="993" t="s">
        <v>5595</v>
      </c>
      <c r="D2339" s="3">
        <v>200099229</v>
      </c>
      <c r="E2339" s="1469" t="s">
        <v>5660</v>
      </c>
      <c r="F2339" s="749">
        <v>9</v>
      </c>
      <c r="G2339" s="995"/>
      <c r="H2339" s="3" t="s">
        <v>128</v>
      </c>
      <c r="I2339" s="995"/>
      <c r="J2339" s="786">
        <v>125.26</v>
      </c>
      <c r="K2339" s="995"/>
      <c r="L2339" s="995"/>
      <c r="M2339" s="761" t="s">
        <v>2556</v>
      </c>
      <c r="N2339" s="761">
        <v>44788</v>
      </c>
      <c r="O2339" s="761" t="s">
        <v>62</v>
      </c>
      <c r="P2339" s="995"/>
      <c r="Q2339" s="995"/>
      <c r="R2339" s="995"/>
      <c r="S2339" s="3"/>
      <c r="T2339" s="3"/>
      <c r="U2339" s="3"/>
      <c r="V2339" s="4"/>
      <c r="W2339" s="761"/>
      <c r="X2339" s="761"/>
      <c r="Y2339" s="761"/>
      <c r="Z2339" s="761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</row>
    <row r="2340" spans="2:39">
      <c r="B2340" s="975">
        <v>9</v>
      </c>
      <c r="C2340" s="993" t="s">
        <v>5595</v>
      </c>
      <c r="D2340" s="3">
        <v>200099230</v>
      </c>
      <c r="E2340" s="1469" t="s">
        <v>5661</v>
      </c>
      <c r="F2340" s="749">
        <v>10</v>
      </c>
      <c r="G2340" s="995"/>
      <c r="H2340" s="3" t="s">
        <v>128</v>
      </c>
      <c r="I2340" s="995"/>
      <c r="J2340" s="786">
        <v>125.78</v>
      </c>
      <c r="K2340" s="995"/>
      <c r="L2340" s="995"/>
      <c r="M2340" s="761" t="s">
        <v>2556</v>
      </c>
      <c r="N2340" s="761">
        <v>44788</v>
      </c>
      <c r="O2340" s="761" t="s">
        <v>62</v>
      </c>
      <c r="P2340" s="995"/>
      <c r="Q2340" s="995"/>
      <c r="R2340" s="995"/>
      <c r="S2340" s="3"/>
      <c r="T2340" s="3"/>
      <c r="U2340" s="3"/>
      <c r="V2340" s="4"/>
      <c r="W2340" s="761"/>
      <c r="X2340" s="761"/>
      <c r="Y2340" s="761"/>
      <c r="Z2340" s="761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</row>
    <row r="2341" spans="2:39">
      <c r="B2341" s="975">
        <v>9</v>
      </c>
      <c r="C2341" s="993" t="s">
        <v>5595</v>
      </c>
      <c r="D2341" s="3">
        <v>200099231</v>
      </c>
      <c r="E2341" s="1469" t="s">
        <v>5662</v>
      </c>
      <c r="F2341" s="749">
        <v>11</v>
      </c>
      <c r="G2341" s="995"/>
      <c r="H2341" s="3" t="s">
        <v>128</v>
      </c>
      <c r="I2341" s="995"/>
      <c r="J2341" s="786">
        <v>122.35</v>
      </c>
      <c r="K2341" s="995"/>
      <c r="L2341" s="995"/>
      <c r="M2341" s="761" t="s">
        <v>2556</v>
      </c>
      <c r="N2341" s="761">
        <v>44791</v>
      </c>
      <c r="O2341" s="761" t="s">
        <v>62</v>
      </c>
      <c r="P2341" s="995"/>
      <c r="Q2341" s="995"/>
      <c r="R2341" s="995"/>
      <c r="S2341" s="3"/>
      <c r="T2341" s="3"/>
      <c r="U2341" s="3"/>
      <c r="V2341" s="4"/>
      <c r="W2341" s="761"/>
      <c r="X2341" s="761"/>
      <c r="Y2341" s="761"/>
      <c r="Z2341" s="761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</row>
    <row r="2342" spans="2:39">
      <c r="B2342" s="975">
        <v>9</v>
      </c>
      <c r="C2342" s="993" t="s">
        <v>5595</v>
      </c>
      <c r="D2342" s="3">
        <v>200099232</v>
      </c>
      <c r="E2342" s="1469" t="s">
        <v>5663</v>
      </c>
      <c r="F2342" s="749">
        <v>12</v>
      </c>
      <c r="G2342" s="995"/>
      <c r="H2342" s="3" t="s">
        <v>128</v>
      </c>
      <c r="I2342" s="995"/>
      <c r="J2342" s="786">
        <v>122.66</v>
      </c>
      <c r="K2342" s="995"/>
      <c r="L2342" s="995"/>
      <c r="M2342" s="761" t="s">
        <v>2556</v>
      </c>
      <c r="N2342" s="761">
        <v>44791</v>
      </c>
      <c r="O2342" s="761" t="s">
        <v>62</v>
      </c>
      <c r="P2342" s="995"/>
      <c r="Q2342" s="995"/>
      <c r="R2342" s="995"/>
      <c r="S2342" s="3"/>
      <c r="T2342" s="3"/>
      <c r="U2342" s="3"/>
      <c r="V2342" s="4"/>
      <c r="W2342" s="761"/>
      <c r="X2342" s="761"/>
      <c r="Y2342" s="761"/>
      <c r="Z2342" s="761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</row>
    <row r="2343" spans="2:39">
      <c r="B2343" s="975">
        <v>9</v>
      </c>
      <c r="C2343" s="993" t="s">
        <v>5595</v>
      </c>
      <c r="D2343" s="3">
        <v>200099233</v>
      </c>
      <c r="E2343" s="1469" t="s">
        <v>5664</v>
      </c>
      <c r="F2343" s="749">
        <v>13</v>
      </c>
      <c r="G2343" s="995"/>
      <c r="H2343" s="3" t="s">
        <v>128</v>
      </c>
      <c r="I2343" s="995"/>
      <c r="J2343" s="786">
        <v>122.43</v>
      </c>
      <c r="K2343" s="995"/>
      <c r="L2343" s="995"/>
      <c r="M2343" s="761" t="s">
        <v>2556</v>
      </c>
      <c r="N2343" s="761">
        <v>44791</v>
      </c>
      <c r="O2343" s="761" t="s">
        <v>62</v>
      </c>
      <c r="P2343" s="995"/>
      <c r="Q2343" s="995"/>
      <c r="R2343" s="995"/>
      <c r="S2343" s="3"/>
      <c r="T2343" s="3"/>
      <c r="U2343" s="3"/>
      <c r="V2343" s="4"/>
      <c r="W2343" s="761"/>
      <c r="X2343" s="761"/>
      <c r="Y2343" s="761"/>
      <c r="Z2343" s="761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</row>
    <row r="2344" spans="2:39">
      <c r="B2344" s="975">
        <v>9</v>
      </c>
      <c r="C2344" s="993" t="s">
        <v>5595</v>
      </c>
      <c r="D2344" s="3">
        <v>200099234</v>
      </c>
      <c r="E2344" s="1469" t="s">
        <v>5665</v>
      </c>
      <c r="F2344" s="749">
        <v>14</v>
      </c>
      <c r="G2344" s="995"/>
      <c r="H2344" s="3" t="s">
        <v>128</v>
      </c>
      <c r="I2344" s="995"/>
      <c r="J2344" s="786">
        <v>122.4</v>
      </c>
      <c r="K2344" s="995"/>
      <c r="L2344" s="995"/>
      <c r="M2344" s="761" t="s">
        <v>2556</v>
      </c>
      <c r="N2344" s="761">
        <v>44791</v>
      </c>
      <c r="O2344" s="761" t="s">
        <v>62</v>
      </c>
      <c r="P2344" s="995"/>
      <c r="Q2344" s="995"/>
      <c r="R2344" s="995"/>
      <c r="S2344" s="3"/>
      <c r="T2344" s="3"/>
      <c r="U2344" s="3"/>
      <c r="V2344" s="4"/>
      <c r="W2344" s="761"/>
      <c r="X2344" s="761"/>
      <c r="Y2344" s="761"/>
      <c r="Z2344" s="761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</row>
    <row r="2345" spans="2:39">
      <c r="B2345" s="975">
        <v>9</v>
      </c>
      <c r="C2345" s="993" t="s">
        <v>5595</v>
      </c>
      <c r="D2345" s="3">
        <v>200099235</v>
      </c>
      <c r="E2345" s="1469" t="s">
        <v>5666</v>
      </c>
      <c r="F2345" s="749">
        <v>15</v>
      </c>
      <c r="G2345" s="995"/>
      <c r="H2345" s="3" t="s">
        <v>128</v>
      </c>
      <c r="I2345" s="995"/>
      <c r="J2345" s="786">
        <v>126.2</v>
      </c>
      <c r="K2345" s="995"/>
      <c r="L2345" s="995"/>
      <c r="M2345" s="761" t="s">
        <v>2556</v>
      </c>
      <c r="N2345" s="761">
        <v>44791</v>
      </c>
      <c r="O2345" s="761" t="s">
        <v>62</v>
      </c>
      <c r="P2345" s="995"/>
      <c r="Q2345" s="995"/>
      <c r="R2345" s="995"/>
      <c r="S2345" s="3"/>
      <c r="T2345" s="3"/>
      <c r="U2345" s="3"/>
      <c r="V2345" s="4"/>
      <c r="W2345" s="761"/>
      <c r="X2345" s="761"/>
      <c r="Y2345" s="761"/>
      <c r="Z2345" s="761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</row>
    <row r="2346" spans="2:39">
      <c r="B2346" s="975">
        <v>9</v>
      </c>
      <c r="C2346" s="993" t="s">
        <v>5595</v>
      </c>
      <c r="D2346" s="3">
        <v>200099236</v>
      </c>
      <c r="E2346" s="1469" t="s">
        <v>5667</v>
      </c>
      <c r="F2346" s="749">
        <v>16</v>
      </c>
      <c r="G2346" s="995"/>
      <c r="H2346" s="3" t="s">
        <v>128</v>
      </c>
      <c r="I2346" s="995"/>
      <c r="J2346" s="762">
        <v>121.29</v>
      </c>
      <c r="K2346" s="995"/>
      <c r="L2346" s="995"/>
      <c r="M2346" s="761" t="s">
        <v>2556</v>
      </c>
      <c r="N2346" s="761">
        <v>44795</v>
      </c>
      <c r="O2346" s="761" t="s">
        <v>62</v>
      </c>
      <c r="P2346" s="995"/>
      <c r="Q2346" s="995"/>
      <c r="R2346" s="995"/>
      <c r="S2346" s="3"/>
      <c r="T2346" s="3"/>
      <c r="U2346" s="3"/>
      <c r="V2346" s="4"/>
      <c r="W2346" s="761"/>
      <c r="X2346" s="761"/>
      <c r="Y2346" s="761"/>
      <c r="Z2346" s="761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</row>
    <row r="2347" spans="2:39">
      <c r="B2347" s="975">
        <v>9</v>
      </c>
      <c r="C2347" s="993" t="s">
        <v>5595</v>
      </c>
      <c r="D2347" s="3">
        <v>200099237</v>
      </c>
      <c r="E2347" s="1469" t="s">
        <v>5668</v>
      </c>
      <c r="F2347" s="749">
        <v>17</v>
      </c>
      <c r="G2347" s="995"/>
      <c r="H2347" s="3" t="s">
        <v>128</v>
      </c>
      <c r="I2347" s="995"/>
      <c r="J2347" s="762">
        <v>124.82</v>
      </c>
      <c r="K2347" s="995"/>
      <c r="L2347" s="995"/>
      <c r="M2347" s="761" t="s">
        <v>2556</v>
      </c>
      <c r="N2347" s="761">
        <v>44795</v>
      </c>
      <c r="O2347" s="761" t="s">
        <v>62</v>
      </c>
      <c r="P2347" s="995"/>
      <c r="Q2347" s="995"/>
      <c r="R2347" s="995"/>
      <c r="S2347" s="3"/>
      <c r="T2347" s="3"/>
      <c r="U2347" s="3"/>
      <c r="V2347" s="4"/>
      <c r="W2347" s="761"/>
      <c r="X2347" s="761"/>
      <c r="Y2347" s="761"/>
      <c r="Z2347" s="761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</row>
    <row r="2348" spans="2:39">
      <c r="B2348" s="975">
        <v>9</v>
      </c>
      <c r="C2348" s="993" t="s">
        <v>5595</v>
      </c>
      <c r="D2348" s="3">
        <v>200099238</v>
      </c>
      <c r="E2348" s="1469" t="s">
        <v>5669</v>
      </c>
      <c r="F2348" s="749">
        <v>18</v>
      </c>
      <c r="G2348" s="995"/>
      <c r="H2348" s="3" t="s">
        <v>128</v>
      </c>
      <c r="I2348" s="995"/>
      <c r="J2348" s="762">
        <v>125.16</v>
      </c>
      <c r="K2348" s="995"/>
      <c r="L2348" s="995"/>
      <c r="M2348" s="761" t="s">
        <v>2556</v>
      </c>
      <c r="N2348" s="761">
        <v>44795</v>
      </c>
      <c r="O2348" s="761" t="s">
        <v>62</v>
      </c>
      <c r="P2348" s="995"/>
      <c r="Q2348" s="995"/>
      <c r="R2348" s="995"/>
      <c r="S2348" s="3"/>
      <c r="T2348" s="3"/>
      <c r="U2348" s="3"/>
      <c r="V2348" s="4"/>
      <c r="W2348" s="761"/>
      <c r="X2348" s="761"/>
      <c r="Y2348" s="761"/>
      <c r="Z2348" s="761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</row>
    <row r="2349" spans="2:39">
      <c r="B2349" s="975">
        <v>9</v>
      </c>
      <c r="C2349" s="993" t="s">
        <v>5595</v>
      </c>
      <c r="D2349" s="3">
        <v>200099239</v>
      </c>
      <c r="E2349" s="1469" t="s">
        <v>5670</v>
      </c>
      <c r="F2349" s="749">
        <v>19</v>
      </c>
      <c r="G2349" s="995"/>
      <c r="H2349" s="3" t="s">
        <v>128</v>
      </c>
      <c r="I2349" s="995"/>
      <c r="J2349" s="762">
        <v>125.93</v>
      </c>
      <c r="K2349" s="995"/>
      <c r="L2349" s="995"/>
      <c r="M2349" s="761" t="s">
        <v>2556</v>
      </c>
      <c r="N2349" s="761">
        <v>44795</v>
      </c>
      <c r="O2349" s="761" t="s">
        <v>62</v>
      </c>
      <c r="P2349" s="995"/>
      <c r="Q2349" s="995"/>
      <c r="R2349" s="995"/>
      <c r="S2349" s="3"/>
      <c r="T2349" s="3"/>
      <c r="U2349" s="3"/>
      <c r="V2349" s="4"/>
      <c r="W2349" s="761"/>
      <c r="X2349" s="761"/>
      <c r="Y2349" s="761"/>
      <c r="Z2349" s="761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</row>
    <row r="2350" spans="2:39">
      <c r="B2350" s="975">
        <v>9</v>
      </c>
      <c r="C2350" s="993" t="s">
        <v>5595</v>
      </c>
      <c r="D2350" s="3">
        <v>200099260</v>
      </c>
      <c r="E2350" s="1469" t="s">
        <v>5671</v>
      </c>
      <c r="F2350" s="749">
        <v>20</v>
      </c>
      <c r="G2350" s="995"/>
      <c r="H2350" s="3" t="s">
        <v>128</v>
      </c>
      <c r="I2350" s="995"/>
      <c r="J2350" s="762">
        <v>123.75</v>
      </c>
      <c r="K2350" s="995"/>
      <c r="L2350" s="995"/>
      <c r="M2350" s="761" t="s">
        <v>2556</v>
      </c>
      <c r="N2350" s="761">
        <v>44796</v>
      </c>
      <c r="O2350" s="761" t="s">
        <v>62</v>
      </c>
      <c r="P2350" s="995"/>
      <c r="Q2350" s="995"/>
      <c r="R2350" s="995"/>
      <c r="S2350" s="3"/>
      <c r="T2350" s="3"/>
      <c r="U2350" s="3"/>
      <c r="V2350" s="4"/>
      <c r="W2350" s="761"/>
      <c r="X2350" s="761"/>
      <c r="Y2350" s="761"/>
      <c r="Z2350" s="761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</row>
    <row r="2351" spans="2:39">
      <c r="B2351" s="975">
        <v>9</v>
      </c>
      <c r="C2351" s="993" t="s">
        <v>5595</v>
      </c>
      <c r="D2351" s="3">
        <v>200099296</v>
      </c>
      <c r="E2351" s="1469" t="s">
        <v>5672</v>
      </c>
      <c r="F2351" s="749">
        <v>21</v>
      </c>
      <c r="G2351" s="995"/>
      <c r="H2351" s="3" t="s">
        <v>128</v>
      </c>
      <c r="I2351" s="995"/>
      <c r="J2351" s="762">
        <v>123.19</v>
      </c>
      <c r="K2351" s="995"/>
      <c r="L2351" s="995"/>
      <c r="M2351" s="761" t="s">
        <v>2556</v>
      </c>
      <c r="N2351" s="761">
        <v>44799</v>
      </c>
      <c r="O2351" s="761" t="s">
        <v>62</v>
      </c>
      <c r="P2351" s="995"/>
      <c r="Q2351" s="995"/>
      <c r="R2351" s="995"/>
      <c r="S2351" s="3"/>
      <c r="T2351" s="3"/>
      <c r="U2351" s="3"/>
      <c r="V2351" s="4"/>
      <c r="W2351" s="761"/>
      <c r="X2351" s="761"/>
      <c r="Y2351" s="761"/>
      <c r="Z2351" s="761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</row>
    <row r="2352" spans="2:39">
      <c r="B2352" s="975">
        <v>9</v>
      </c>
      <c r="C2352" s="993" t="s">
        <v>5595</v>
      </c>
      <c r="D2352" s="3">
        <v>200099297</v>
      </c>
      <c r="E2352" s="1469" t="s">
        <v>5673</v>
      </c>
      <c r="F2352" s="749">
        <v>22</v>
      </c>
      <c r="G2352" s="995"/>
      <c r="H2352" s="3" t="s">
        <v>128</v>
      </c>
      <c r="I2352" s="995"/>
      <c r="J2352" s="762">
        <v>123.86</v>
      </c>
      <c r="K2352" s="995"/>
      <c r="L2352" s="995"/>
      <c r="M2352" s="761" t="s">
        <v>2556</v>
      </c>
      <c r="N2352" s="761">
        <v>44799</v>
      </c>
      <c r="O2352" s="761" t="s">
        <v>62</v>
      </c>
      <c r="P2352" s="995"/>
      <c r="Q2352" s="995"/>
      <c r="R2352" s="995"/>
      <c r="S2352" s="3"/>
      <c r="T2352" s="3"/>
      <c r="U2352" s="3"/>
      <c r="V2352" s="4"/>
      <c r="W2352" s="761"/>
      <c r="X2352" s="761"/>
      <c r="Y2352" s="761"/>
      <c r="Z2352" s="761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</row>
    <row r="2353" spans="2:39">
      <c r="B2353" s="975">
        <v>9</v>
      </c>
      <c r="C2353" s="993" t="s">
        <v>5595</v>
      </c>
      <c r="D2353" s="3">
        <v>200099298</v>
      </c>
      <c r="E2353" s="1469" t="s">
        <v>5674</v>
      </c>
      <c r="F2353" s="749">
        <v>23</v>
      </c>
      <c r="G2353" s="995"/>
      <c r="H2353" s="3" t="s">
        <v>128</v>
      </c>
      <c r="I2353" s="995"/>
      <c r="J2353" s="762">
        <v>125.67</v>
      </c>
      <c r="K2353" s="995"/>
      <c r="L2353" s="995"/>
      <c r="M2353" s="761" t="s">
        <v>2556</v>
      </c>
      <c r="N2353" s="761">
        <v>44799</v>
      </c>
      <c r="O2353" s="761" t="s">
        <v>62</v>
      </c>
      <c r="P2353" s="995"/>
      <c r="Q2353" s="995"/>
      <c r="R2353" s="995"/>
      <c r="S2353" s="3"/>
      <c r="T2353" s="3"/>
      <c r="U2353" s="3"/>
      <c r="V2353" s="4"/>
      <c r="W2353" s="761"/>
      <c r="X2353" s="761"/>
      <c r="Y2353" s="761"/>
      <c r="Z2353" s="761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</row>
    <row r="2354" spans="2:39">
      <c r="B2354" s="1008">
        <v>9</v>
      </c>
      <c r="C2354" s="1009" t="s">
        <v>5595</v>
      </c>
      <c r="D2354" s="13">
        <v>200099299</v>
      </c>
      <c r="E2354" s="1487" t="s">
        <v>5675</v>
      </c>
      <c r="F2354" s="795">
        <v>24</v>
      </c>
      <c r="G2354" s="1010"/>
      <c r="H2354" s="13" t="s">
        <v>128</v>
      </c>
      <c r="I2354" s="1010"/>
      <c r="J2354" s="887">
        <v>125.75</v>
      </c>
      <c r="K2354" s="1010"/>
      <c r="L2354" s="1010"/>
      <c r="M2354" s="813" t="s">
        <v>2556</v>
      </c>
      <c r="N2354" s="813">
        <v>44799</v>
      </c>
      <c r="O2354" s="813" t="s">
        <v>62</v>
      </c>
      <c r="P2354" s="1010"/>
      <c r="Q2354" s="1010"/>
      <c r="R2354" s="1010"/>
      <c r="S2354" s="13"/>
      <c r="T2354" s="13"/>
      <c r="U2354" s="13"/>
      <c r="V2354" s="826"/>
      <c r="W2354" s="813"/>
      <c r="X2354" s="813"/>
      <c r="Y2354" s="813"/>
      <c r="Z2354" s="813"/>
      <c r="AA2354" s="826"/>
      <c r="AB2354" s="826"/>
      <c r="AC2354" s="826"/>
      <c r="AD2354" s="826"/>
      <c r="AE2354" s="826"/>
      <c r="AF2354" s="826"/>
      <c r="AG2354" s="826"/>
      <c r="AH2354" s="826"/>
      <c r="AI2354" s="826"/>
      <c r="AJ2354" s="826"/>
      <c r="AK2354" s="826"/>
      <c r="AL2354" s="826"/>
      <c r="AM2354" s="826"/>
    </row>
    <row r="2355" spans="2:39">
      <c r="B2355" s="975">
        <v>9</v>
      </c>
      <c r="C2355" s="993" t="s">
        <v>5595</v>
      </c>
      <c r="D2355" s="3">
        <v>200099381</v>
      </c>
      <c r="E2355" s="1469" t="s">
        <v>5676</v>
      </c>
      <c r="F2355" s="749">
        <v>25</v>
      </c>
      <c r="G2355" s="995"/>
      <c r="H2355" s="3" t="s">
        <v>128</v>
      </c>
      <c r="I2355" s="995"/>
      <c r="J2355" s="786">
        <v>122.72</v>
      </c>
      <c r="K2355" s="995"/>
      <c r="L2355" s="995"/>
      <c r="M2355" s="813" t="str">
        <f t="shared" ref="M2355:M2370" si="39">TEXT(N2355,"mmmm")</f>
        <v>September</v>
      </c>
      <c r="N2355" s="761">
        <v>44812</v>
      </c>
      <c r="O2355" s="761" t="s">
        <v>62</v>
      </c>
      <c r="P2355" s="995"/>
      <c r="Q2355" s="995"/>
      <c r="R2355" s="995"/>
      <c r="S2355" s="3"/>
      <c r="T2355" s="3"/>
      <c r="U2355" s="3"/>
      <c r="V2355" s="3"/>
      <c r="W2355" s="761"/>
      <c r="X2355" s="761"/>
      <c r="Y2355" s="761"/>
      <c r="Z2355" s="761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</row>
    <row r="2356" spans="2:39">
      <c r="B2356" s="975">
        <v>9</v>
      </c>
      <c r="C2356" s="993" t="s">
        <v>5595</v>
      </c>
      <c r="D2356" s="3">
        <v>200099382</v>
      </c>
      <c r="E2356" s="1469" t="s">
        <v>5677</v>
      </c>
      <c r="F2356" s="749">
        <v>26</v>
      </c>
      <c r="G2356" s="995"/>
      <c r="H2356" s="3" t="s">
        <v>128</v>
      </c>
      <c r="I2356" s="995"/>
      <c r="J2356" s="786">
        <v>122.93</v>
      </c>
      <c r="K2356" s="995"/>
      <c r="L2356" s="995"/>
      <c r="M2356" s="813" t="str">
        <f t="shared" si="39"/>
        <v>September</v>
      </c>
      <c r="N2356" s="761">
        <v>44812</v>
      </c>
      <c r="O2356" s="761" t="s">
        <v>62</v>
      </c>
      <c r="P2356" s="995"/>
      <c r="Q2356" s="995"/>
      <c r="R2356" s="995"/>
      <c r="S2356" s="3"/>
      <c r="T2356" s="3"/>
      <c r="U2356" s="3"/>
      <c r="V2356" s="3"/>
      <c r="W2356" s="761"/>
      <c r="X2356" s="761"/>
      <c r="Y2356" s="761"/>
      <c r="Z2356" s="761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</row>
    <row r="2357" spans="2:39">
      <c r="B2357" s="975">
        <v>9</v>
      </c>
      <c r="C2357" s="993" t="s">
        <v>5595</v>
      </c>
      <c r="D2357" s="3">
        <v>200099383</v>
      </c>
      <c r="E2357" s="1469" t="s">
        <v>5678</v>
      </c>
      <c r="F2357" s="749">
        <v>27</v>
      </c>
      <c r="G2357" s="995"/>
      <c r="H2357" s="3" t="s">
        <v>128</v>
      </c>
      <c r="I2357" s="995"/>
      <c r="J2357" s="786">
        <v>123.73</v>
      </c>
      <c r="K2357" s="995"/>
      <c r="L2357" s="995"/>
      <c r="M2357" s="813" t="str">
        <f t="shared" si="39"/>
        <v>September</v>
      </c>
      <c r="N2357" s="761">
        <v>44812</v>
      </c>
      <c r="O2357" s="761" t="s">
        <v>62</v>
      </c>
      <c r="P2357" s="995"/>
      <c r="Q2357" s="995"/>
      <c r="R2357" s="995"/>
      <c r="S2357" s="3"/>
      <c r="T2357" s="3"/>
      <c r="U2357" s="3"/>
      <c r="V2357" s="3"/>
      <c r="W2357" s="761"/>
      <c r="X2357" s="761"/>
      <c r="Y2357" s="761"/>
      <c r="Z2357" s="761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</row>
    <row r="2358" spans="2:39">
      <c r="B2358" s="975">
        <v>9</v>
      </c>
      <c r="C2358" s="993" t="s">
        <v>5595</v>
      </c>
      <c r="D2358" s="3">
        <v>200099384</v>
      </c>
      <c r="E2358" s="1469" t="s">
        <v>5679</v>
      </c>
      <c r="F2358" s="749">
        <v>28</v>
      </c>
      <c r="G2358" s="995"/>
      <c r="H2358" s="3" t="s">
        <v>128</v>
      </c>
      <c r="I2358" s="995"/>
      <c r="J2358" s="786">
        <v>126.1</v>
      </c>
      <c r="K2358" s="995"/>
      <c r="L2358" s="995"/>
      <c r="M2358" s="813" t="str">
        <f t="shared" si="39"/>
        <v>September</v>
      </c>
      <c r="N2358" s="761">
        <v>44812</v>
      </c>
      <c r="O2358" s="761" t="s">
        <v>62</v>
      </c>
      <c r="P2358" s="995"/>
      <c r="Q2358" s="995"/>
      <c r="R2358" s="995"/>
      <c r="S2358" s="3"/>
      <c r="T2358" s="3"/>
      <c r="U2358" s="3"/>
      <c r="V2358" s="3"/>
      <c r="W2358" s="761"/>
      <c r="X2358" s="761"/>
      <c r="Y2358" s="761"/>
      <c r="Z2358" s="761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</row>
    <row r="2359" spans="2:39">
      <c r="B2359" s="975">
        <v>9</v>
      </c>
      <c r="C2359" s="993" t="s">
        <v>5595</v>
      </c>
      <c r="D2359" s="3">
        <v>200099385</v>
      </c>
      <c r="E2359" s="1469" t="s">
        <v>5680</v>
      </c>
      <c r="F2359" s="749">
        <v>29</v>
      </c>
      <c r="G2359" s="995"/>
      <c r="H2359" s="3" t="s">
        <v>128</v>
      </c>
      <c r="I2359" s="995"/>
      <c r="J2359" s="786">
        <v>126.15</v>
      </c>
      <c r="K2359" s="995"/>
      <c r="L2359" s="995"/>
      <c r="M2359" s="813" t="str">
        <f t="shared" si="39"/>
        <v>September</v>
      </c>
      <c r="N2359" s="761">
        <v>44812</v>
      </c>
      <c r="O2359" s="761" t="s">
        <v>62</v>
      </c>
      <c r="P2359" s="995"/>
      <c r="Q2359" s="995"/>
      <c r="R2359" s="995"/>
      <c r="S2359" s="3"/>
      <c r="T2359" s="3"/>
      <c r="U2359" s="3"/>
      <c r="V2359" s="3"/>
      <c r="W2359" s="761"/>
      <c r="X2359" s="761"/>
      <c r="Y2359" s="761"/>
      <c r="Z2359" s="761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</row>
    <row r="2360" spans="2:39">
      <c r="B2360" s="975">
        <v>9</v>
      </c>
      <c r="C2360" s="993" t="s">
        <v>5595</v>
      </c>
      <c r="D2360" s="3">
        <v>200099386</v>
      </c>
      <c r="E2360" s="1469" t="s">
        <v>5681</v>
      </c>
      <c r="F2360" s="749">
        <v>30</v>
      </c>
      <c r="G2360" s="995"/>
      <c r="H2360" s="3" t="s">
        <v>128</v>
      </c>
      <c r="I2360" s="995"/>
      <c r="J2360" s="786">
        <v>125.3</v>
      </c>
      <c r="K2360" s="995"/>
      <c r="L2360" s="995"/>
      <c r="M2360" s="813" t="str">
        <f t="shared" si="39"/>
        <v>September</v>
      </c>
      <c r="N2360" s="761">
        <v>44812</v>
      </c>
      <c r="O2360" s="761" t="s">
        <v>62</v>
      </c>
      <c r="P2360" s="995"/>
      <c r="Q2360" s="995"/>
      <c r="R2360" s="995"/>
      <c r="S2360" s="3"/>
      <c r="T2360" s="3"/>
      <c r="U2360" s="3"/>
      <c r="V2360" s="3"/>
      <c r="W2360" s="761"/>
      <c r="X2360" s="761"/>
      <c r="Y2360" s="761"/>
      <c r="Z2360" s="761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</row>
    <row r="2361" spans="2:39">
      <c r="B2361" s="975">
        <v>9</v>
      </c>
      <c r="C2361" s="993" t="s">
        <v>5595</v>
      </c>
      <c r="D2361" s="3">
        <v>200099387</v>
      </c>
      <c r="E2361" s="1469" t="s">
        <v>5682</v>
      </c>
      <c r="F2361" s="749">
        <v>31</v>
      </c>
      <c r="G2361" s="995"/>
      <c r="H2361" s="3" t="s">
        <v>128</v>
      </c>
      <c r="I2361" s="995"/>
      <c r="J2361" s="786">
        <v>122.4</v>
      </c>
      <c r="K2361" s="995"/>
      <c r="L2361" s="995"/>
      <c r="M2361" s="813" t="str">
        <f t="shared" si="39"/>
        <v>September</v>
      </c>
      <c r="N2361" s="761">
        <v>44817</v>
      </c>
      <c r="O2361" s="761" t="s">
        <v>62</v>
      </c>
      <c r="P2361" s="995"/>
      <c r="Q2361" s="995"/>
      <c r="R2361" s="995"/>
      <c r="S2361" s="3"/>
      <c r="T2361" s="3"/>
      <c r="U2361" s="3"/>
      <c r="V2361" s="3"/>
      <c r="W2361" s="761"/>
      <c r="X2361" s="761"/>
      <c r="Y2361" s="761"/>
      <c r="Z2361" s="761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</row>
    <row r="2362" spans="2:39">
      <c r="B2362" s="975">
        <v>9</v>
      </c>
      <c r="C2362" s="993" t="s">
        <v>5595</v>
      </c>
      <c r="D2362" s="3">
        <v>200099388</v>
      </c>
      <c r="E2362" s="1469" t="s">
        <v>5683</v>
      </c>
      <c r="F2362" s="749">
        <v>32</v>
      </c>
      <c r="G2362" s="995"/>
      <c r="H2362" s="3" t="s">
        <v>128</v>
      </c>
      <c r="I2362" s="995"/>
      <c r="J2362" s="786">
        <v>122.54</v>
      </c>
      <c r="K2362" s="995"/>
      <c r="L2362" s="995"/>
      <c r="M2362" s="813" t="str">
        <f t="shared" si="39"/>
        <v>September</v>
      </c>
      <c r="N2362" s="761">
        <v>44817</v>
      </c>
      <c r="O2362" s="761" t="s">
        <v>62</v>
      </c>
      <c r="P2362" s="995"/>
      <c r="Q2362" s="995"/>
      <c r="R2362" s="995"/>
      <c r="S2362" s="3"/>
      <c r="T2362" s="3"/>
      <c r="U2362" s="3"/>
      <c r="V2362" s="3"/>
      <c r="W2362" s="761"/>
      <c r="X2362" s="761"/>
      <c r="Y2362" s="761"/>
      <c r="Z2362" s="761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</row>
    <row r="2363" spans="2:39">
      <c r="B2363" s="975">
        <v>9</v>
      </c>
      <c r="C2363" s="993" t="s">
        <v>5595</v>
      </c>
      <c r="D2363" s="3">
        <v>200099389</v>
      </c>
      <c r="E2363" s="1469" t="s">
        <v>5684</v>
      </c>
      <c r="F2363" s="749">
        <v>33</v>
      </c>
      <c r="G2363" s="995"/>
      <c r="H2363" s="3" t="s">
        <v>128</v>
      </c>
      <c r="I2363" s="995"/>
      <c r="J2363" s="786">
        <v>123.17</v>
      </c>
      <c r="K2363" s="995"/>
      <c r="L2363" s="995"/>
      <c r="M2363" s="813" t="str">
        <f t="shared" si="39"/>
        <v>September</v>
      </c>
      <c r="N2363" s="761">
        <v>44817</v>
      </c>
      <c r="O2363" s="761" t="s">
        <v>62</v>
      </c>
      <c r="P2363" s="995"/>
      <c r="Q2363" s="995"/>
      <c r="R2363" s="995"/>
      <c r="S2363" s="3"/>
      <c r="T2363" s="3"/>
      <c r="U2363" s="3"/>
      <c r="V2363" s="3"/>
      <c r="W2363" s="761"/>
      <c r="X2363" s="761"/>
      <c r="Y2363" s="761"/>
      <c r="Z2363" s="761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</row>
    <row r="2364" spans="2:39">
      <c r="B2364" s="975">
        <v>9</v>
      </c>
      <c r="C2364" s="993" t="s">
        <v>5595</v>
      </c>
      <c r="D2364" s="3">
        <v>200099390</v>
      </c>
      <c r="E2364" s="1469" t="s">
        <v>5685</v>
      </c>
      <c r="F2364" s="749">
        <v>34</v>
      </c>
      <c r="G2364" s="995"/>
      <c r="H2364" s="3" t="s">
        <v>128</v>
      </c>
      <c r="I2364" s="995"/>
      <c r="J2364" s="786">
        <v>123.65</v>
      </c>
      <c r="K2364" s="995"/>
      <c r="L2364" s="995"/>
      <c r="M2364" s="813" t="str">
        <f t="shared" si="39"/>
        <v>September</v>
      </c>
      <c r="N2364" s="761">
        <v>44817</v>
      </c>
      <c r="O2364" s="761" t="s">
        <v>62</v>
      </c>
      <c r="P2364" s="995"/>
      <c r="Q2364" s="995"/>
      <c r="R2364" s="995"/>
      <c r="S2364" s="3"/>
      <c r="T2364" s="3"/>
      <c r="U2364" s="3"/>
      <c r="V2364" s="3"/>
      <c r="W2364" s="761"/>
      <c r="X2364" s="761"/>
      <c r="Y2364" s="761"/>
      <c r="Z2364" s="761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</row>
    <row r="2365" spans="2:39">
      <c r="B2365" s="975">
        <v>9</v>
      </c>
      <c r="C2365" s="993" t="s">
        <v>5595</v>
      </c>
      <c r="D2365" s="3">
        <v>200099391</v>
      </c>
      <c r="E2365" s="1469" t="s">
        <v>5686</v>
      </c>
      <c r="F2365" s="749">
        <v>35</v>
      </c>
      <c r="G2365" s="995"/>
      <c r="H2365" s="3" t="s">
        <v>128</v>
      </c>
      <c r="I2365" s="995"/>
      <c r="J2365" s="786">
        <v>125.08</v>
      </c>
      <c r="K2365" s="995"/>
      <c r="L2365" s="995"/>
      <c r="M2365" s="761" t="str">
        <f t="shared" si="39"/>
        <v>September</v>
      </c>
      <c r="N2365" s="761">
        <v>44817</v>
      </c>
      <c r="O2365" s="761" t="s">
        <v>62</v>
      </c>
      <c r="P2365" s="995"/>
      <c r="Q2365" s="995"/>
      <c r="R2365" s="995"/>
      <c r="S2365" s="3"/>
      <c r="T2365" s="3"/>
      <c r="U2365" s="3"/>
      <c r="V2365" s="3"/>
      <c r="W2365" s="761"/>
      <c r="X2365" s="761"/>
      <c r="Y2365" s="761"/>
      <c r="Z2365" s="761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</row>
    <row r="2366" spans="2:39">
      <c r="B2366" s="975">
        <v>9</v>
      </c>
      <c r="C2366" s="993" t="s">
        <v>5595</v>
      </c>
      <c r="D2366" s="3">
        <v>200099392</v>
      </c>
      <c r="E2366" s="1469" t="s">
        <v>5687</v>
      </c>
      <c r="F2366" s="749">
        <v>36</v>
      </c>
      <c r="G2366" s="995"/>
      <c r="H2366" s="3" t="s">
        <v>128</v>
      </c>
      <c r="I2366" s="995"/>
      <c r="J2366" s="786">
        <v>122.51</v>
      </c>
      <c r="K2366" s="995"/>
      <c r="L2366" s="995"/>
      <c r="M2366" s="761" t="str">
        <f t="shared" si="39"/>
        <v>September</v>
      </c>
      <c r="N2366" s="761">
        <v>44818</v>
      </c>
      <c r="O2366" s="761" t="s">
        <v>62</v>
      </c>
      <c r="P2366" s="995"/>
      <c r="Q2366" s="995"/>
      <c r="R2366" s="995"/>
      <c r="S2366" s="3"/>
      <c r="T2366" s="3"/>
      <c r="U2366" s="3"/>
      <c r="V2366" s="3"/>
      <c r="W2366" s="761"/>
      <c r="X2366" s="761"/>
      <c r="Y2366" s="761"/>
      <c r="Z2366" s="761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</row>
    <row r="2367" spans="2:39">
      <c r="B2367" s="975">
        <v>9</v>
      </c>
      <c r="C2367" s="993" t="s">
        <v>5595</v>
      </c>
      <c r="D2367" s="3">
        <v>200099393</v>
      </c>
      <c r="E2367" s="1469" t="s">
        <v>5688</v>
      </c>
      <c r="F2367" s="749">
        <v>37</v>
      </c>
      <c r="G2367" s="995"/>
      <c r="H2367" s="3" t="s">
        <v>128</v>
      </c>
      <c r="I2367" s="995"/>
      <c r="J2367" s="786">
        <v>123</v>
      </c>
      <c r="K2367" s="995"/>
      <c r="L2367" s="995"/>
      <c r="M2367" s="761" t="str">
        <f t="shared" si="39"/>
        <v>September</v>
      </c>
      <c r="N2367" s="761">
        <v>44818</v>
      </c>
      <c r="O2367" s="761" t="s">
        <v>62</v>
      </c>
      <c r="P2367" s="995"/>
      <c r="Q2367" s="995"/>
      <c r="R2367" s="995"/>
      <c r="S2367" s="3"/>
      <c r="T2367" s="3"/>
      <c r="U2367" s="3"/>
      <c r="V2367" s="3"/>
      <c r="W2367" s="761"/>
      <c r="X2367" s="761"/>
      <c r="Y2367" s="761"/>
      <c r="Z2367" s="761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</row>
    <row r="2368" spans="2:39">
      <c r="B2368" s="975">
        <v>9</v>
      </c>
      <c r="C2368" s="993" t="s">
        <v>5595</v>
      </c>
      <c r="D2368" s="3">
        <v>200099394</v>
      </c>
      <c r="E2368" s="1469" t="s">
        <v>5689</v>
      </c>
      <c r="F2368" s="749">
        <v>38</v>
      </c>
      <c r="G2368" s="995"/>
      <c r="H2368" s="3" t="s">
        <v>128</v>
      </c>
      <c r="I2368" s="995"/>
      <c r="J2368" s="786">
        <v>123.62</v>
      </c>
      <c r="K2368" s="995"/>
      <c r="L2368" s="995"/>
      <c r="M2368" s="761" t="str">
        <f t="shared" si="39"/>
        <v>September</v>
      </c>
      <c r="N2368" s="761">
        <v>44818</v>
      </c>
      <c r="O2368" s="761" t="s">
        <v>62</v>
      </c>
      <c r="P2368" s="995"/>
      <c r="Q2368" s="995"/>
      <c r="R2368" s="995"/>
      <c r="S2368" s="3"/>
      <c r="T2368" s="3"/>
      <c r="U2368" s="3"/>
      <c r="V2368" s="3"/>
      <c r="W2368" s="761"/>
      <c r="X2368" s="761"/>
      <c r="Y2368" s="761"/>
      <c r="Z2368" s="761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</row>
    <row r="2369" spans="1:39">
      <c r="B2369" s="975">
        <v>9</v>
      </c>
      <c r="C2369" s="993" t="s">
        <v>5595</v>
      </c>
      <c r="D2369" s="3">
        <v>200099395</v>
      </c>
      <c r="E2369" s="1469" t="s">
        <v>5690</v>
      </c>
      <c r="F2369" s="749">
        <v>39</v>
      </c>
      <c r="G2369" s="995"/>
      <c r="H2369" s="3" t="s">
        <v>128</v>
      </c>
      <c r="I2369" s="995"/>
      <c r="J2369" s="786">
        <v>123.59</v>
      </c>
      <c r="K2369" s="995"/>
      <c r="L2369" s="995"/>
      <c r="M2369" s="761" t="str">
        <f t="shared" si="39"/>
        <v>September</v>
      </c>
      <c r="N2369" s="761">
        <v>44818</v>
      </c>
      <c r="O2369" s="761" t="s">
        <v>62</v>
      </c>
      <c r="P2369" s="995"/>
      <c r="Q2369" s="995"/>
      <c r="R2369" s="995"/>
      <c r="S2369" s="3"/>
      <c r="T2369" s="3"/>
      <c r="U2369" s="3"/>
      <c r="V2369" s="3"/>
      <c r="W2369" s="761"/>
      <c r="X2369" s="761"/>
      <c r="Y2369" s="761"/>
      <c r="Z2369" s="761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</row>
    <row r="2370" spans="1:39">
      <c r="B2370" s="975">
        <v>9</v>
      </c>
      <c r="C2370" s="993" t="s">
        <v>5595</v>
      </c>
      <c r="D2370" s="3">
        <v>200099350</v>
      </c>
      <c r="E2370" s="1469" t="s">
        <v>5691</v>
      </c>
      <c r="F2370" s="749">
        <v>40</v>
      </c>
      <c r="G2370" s="995"/>
      <c r="H2370" s="3" t="s">
        <v>128</v>
      </c>
      <c r="I2370" s="995"/>
      <c r="J2370" s="786">
        <v>124.12</v>
      </c>
      <c r="K2370" s="995"/>
      <c r="L2370" s="995"/>
      <c r="M2370" s="761" t="str">
        <f t="shared" si="39"/>
        <v>September</v>
      </c>
      <c r="N2370" s="761">
        <v>44818</v>
      </c>
      <c r="O2370" s="761" t="s">
        <v>62</v>
      </c>
      <c r="P2370" s="995"/>
      <c r="Q2370" s="995"/>
      <c r="R2370" s="995"/>
      <c r="S2370" s="3"/>
      <c r="T2370" s="3"/>
      <c r="U2370" s="3"/>
      <c r="V2370" s="3"/>
      <c r="W2370" s="761"/>
      <c r="X2370" s="761"/>
      <c r="Y2370" s="761"/>
      <c r="Z2370" s="761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</row>
    <row r="2371" spans="1:39">
      <c r="B2371" s="975">
        <v>10</v>
      </c>
      <c r="C2371" s="993" t="s">
        <v>5595</v>
      </c>
      <c r="D2371" s="3">
        <v>200099725</v>
      </c>
      <c r="E2371" s="3">
        <v>102052</v>
      </c>
      <c r="F2371" s="749">
        <v>1</v>
      </c>
      <c r="G2371" s="995"/>
      <c r="H2371" s="3" t="s">
        <v>128</v>
      </c>
      <c r="I2371" s="995"/>
      <c r="J2371" s="786">
        <v>122.4</v>
      </c>
      <c r="K2371" s="995"/>
      <c r="L2371" s="995"/>
      <c r="M2371" s="761" t="s">
        <v>2716</v>
      </c>
      <c r="N2371" s="761">
        <v>44851</v>
      </c>
      <c r="O2371" s="761" t="s">
        <v>62</v>
      </c>
      <c r="P2371" s="995"/>
      <c r="Q2371" s="995"/>
      <c r="R2371" s="995"/>
      <c r="S2371" s="3"/>
      <c r="T2371" s="3"/>
      <c r="U2371" s="3"/>
      <c r="V2371" s="3"/>
      <c r="W2371" s="761"/>
      <c r="X2371" s="761"/>
      <c r="Y2371" s="761"/>
      <c r="Z2371" s="761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</row>
    <row r="2372" spans="1:39" s="707" customFormat="1">
      <c r="A2372"/>
      <c r="B2372" s="976" t="s">
        <v>13</v>
      </c>
      <c r="C2372" s="807"/>
      <c r="D2372" s="807"/>
      <c r="E2372" s="807"/>
      <c r="F2372" s="808"/>
      <c r="G2372" s="807"/>
      <c r="H2372" s="807"/>
      <c r="I2372" s="807"/>
      <c r="J2372" s="820"/>
      <c r="K2372" s="807"/>
      <c r="L2372" s="807"/>
      <c r="M2372" s="819"/>
      <c r="N2372" s="819"/>
      <c r="O2372" s="819"/>
      <c r="P2372" s="807"/>
      <c r="Q2372" s="807"/>
      <c r="R2372" s="807"/>
      <c r="S2372" s="807"/>
      <c r="T2372" s="807"/>
      <c r="U2372" s="807"/>
      <c r="V2372" s="807"/>
      <c r="W2372" s="819"/>
      <c r="X2372" s="819"/>
      <c r="Y2372" s="819"/>
      <c r="Z2372" s="819"/>
      <c r="AA2372" s="710"/>
      <c r="AB2372" s="710"/>
      <c r="AC2372" s="710"/>
      <c r="AD2372" s="710"/>
      <c r="AE2372" s="710"/>
      <c r="AF2372" s="710"/>
      <c r="AG2372" s="710"/>
      <c r="AH2372" s="710"/>
      <c r="AI2372" s="710"/>
      <c r="AJ2372" s="710"/>
      <c r="AK2372" s="710"/>
      <c r="AL2372" s="710"/>
      <c r="AM2372" s="710"/>
    </row>
    <row r="2373" spans="1:39">
      <c r="B2373" s="975">
        <v>11</v>
      </c>
      <c r="C2373" s="993" t="s">
        <v>5595</v>
      </c>
      <c r="D2373" s="3">
        <v>200099823</v>
      </c>
      <c r="E2373" s="3">
        <v>110012</v>
      </c>
      <c r="F2373" s="749">
        <v>1</v>
      </c>
      <c r="G2373" s="995"/>
      <c r="H2373" s="3" t="s">
        <v>128</v>
      </c>
      <c r="I2373" s="995"/>
      <c r="J2373" s="786">
        <v>122.4</v>
      </c>
      <c r="K2373" s="995"/>
      <c r="L2373" s="995"/>
      <c r="M2373" s="761" t="s">
        <v>2716</v>
      </c>
      <c r="N2373" s="761">
        <v>44851</v>
      </c>
      <c r="O2373" s="761" t="s">
        <v>62</v>
      </c>
      <c r="P2373" s="1020"/>
      <c r="Q2373" s="995"/>
      <c r="R2373" s="995"/>
      <c r="S2373" s="3"/>
      <c r="T2373" s="3"/>
      <c r="U2373" s="3"/>
      <c r="V2373" s="3"/>
      <c r="W2373" s="761"/>
      <c r="X2373" s="761"/>
      <c r="Y2373" s="761"/>
      <c r="Z2373" s="761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</row>
    <row r="2374" spans="1:39">
      <c r="B2374" s="975">
        <v>11</v>
      </c>
      <c r="C2374" s="993" t="s">
        <v>5595</v>
      </c>
      <c r="D2374" s="3">
        <v>200099824</v>
      </c>
      <c r="E2374" s="3">
        <v>110022</v>
      </c>
      <c r="F2374" s="749">
        <v>2</v>
      </c>
      <c r="G2374" s="995"/>
      <c r="H2374" s="3" t="s">
        <v>128</v>
      </c>
      <c r="I2374" s="995"/>
      <c r="J2374" s="786">
        <v>121.29</v>
      </c>
      <c r="K2374" s="995"/>
      <c r="L2374" s="995"/>
      <c r="M2374" s="761" t="s">
        <v>2716</v>
      </c>
      <c r="N2374" s="761">
        <v>44851</v>
      </c>
      <c r="O2374" s="761" t="s">
        <v>62</v>
      </c>
      <c r="P2374" s="1020"/>
      <c r="Q2374" s="995"/>
      <c r="R2374" s="995"/>
      <c r="S2374" s="3"/>
      <c r="T2374" s="3"/>
      <c r="U2374" s="3"/>
      <c r="V2374" s="3"/>
      <c r="W2374" s="761"/>
      <c r="X2374" s="761"/>
      <c r="Y2374" s="761"/>
      <c r="Z2374" s="761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</row>
    <row r="2375" spans="1:39">
      <c r="B2375" s="975">
        <v>11</v>
      </c>
      <c r="C2375" s="993" t="s">
        <v>5595</v>
      </c>
      <c r="D2375" s="3">
        <v>200099825</v>
      </c>
      <c r="E2375" s="3">
        <v>110032</v>
      </c>
      <c r="F2375" s="749">
        <v>3</v>
      </c>
      <c r="G2375" s="995"/>
      <c r="H2375" s="3" t="s">
        <v>128</v>
      </c>
      <c r="I2375" s="995"/>
      <c r="J2375" s="786">
        <v>122.74</v>
      </c>
      <c r="K2375" s="995"/>
      <c r="L2375" s="995"/>
      <c r="M2375" s="761" t="s">
        <v>2716</v>
      </c>
      <c r="N2375" s="761">
        <v>44851</v>
      </c>
      <c r="O2375" s="761" t="s">
        <v>62</v>
      </c>
      <c r="P2375" s="1020"/>
      <c r="Q2375" s="995"/>
      <c r="R2375" s="995"/>
      <c r="S2375" s="3"/>
      <c r="T2375" s="3"/>
      <c r="U2375" s="3"/>
      <c r="V2375" s="3"/>
      <c r="W2375" s="761"/>
      <c r="X2375" s="761"/>
      <c r="Y2375" s="761"/>
      <c r="Z2375" s="761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</row>
    <row r="2376" spans="1:39">
      <c r="B2376" s="975">
        <v>11</v>
      </c>
      <c r="C2376" s="993" t="s">
        <v>5595</v>
      </c>
      <c r="D2376" s="3">
        <v>200099826</v>
      </c>
      <c r="E2376" s="3">
        <v>110042</v>
      </c>
      <c r="F2376" s="749">
        <v>4</v>
      </c>
      <c r="G2376" s="995"/>
      <c r="H2376" s="3" t="s">
        <v>128</v>
      </c>
      <c r="I2376" s="995"/>
      <c r="J2376" s="786">
        <v>122.4</v>
      </c>
      <c r="K2376" s="995"/>
      <c r="L2376" s="995"/>
      <c r="M2376" s="761" t="s">
        <v>2716</v>
      </c>
      <c r="N2376" s="761">
        <v>44851</v>
      </c>
      <c r="O2376" s="761" t="s">
        <v>62</v>
      </c>
      <c r="P2376" s="1020"/>
      <c r="Q2376" s="995"/>
      <c r="R2376" s="995"/>
      <c r="S2376" s="3"/>
      <c r="T2376" s="3"/>
      <c r="U2376" s="3"/>
      <c r="V2376" s="3"/>
      <c r="W2376" s="761"/>
      <c r="X2376" s="761"/>
      <c r="Y2376" s="761"/>
      <c r="Z2376" s="761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</row>
    <row r="2377" spans="1:39">
      <c r="B2377" s="975">
        <v>11</v>
      </c>
      <c r="C2377" s="993" t="s">
        <v>5595</v>
      </c>
      <c r="D2377" s="3">
        <v>200099827</v>
      </c>
      <c r="E2377" s="3">
        <v>110052</v>
      </c>
      <c r="F2377" s="749">
        <v>5</v>
      </c>
      <c r="G2377" s="995"/>
      <c r="H2377" s="3" t="s">
        <v>128</v>
      </c>
      <c r="I2377" s="995"/>
      <c r="J2377" s="786">
        <v>122.4</v>
      </c>
      <c r="K2377" s="995"/>
      <c r="L2377" s="995"/>
      <c r="M2377" s="761" t="s">
        <v>2716</v>
      </c>
      <c r="N2377" s="761">
        <v>44851</v>
      </c>
      <c r="O2377" s="761" t="s">
        <v>62</v>
      </c>
      <c r="P2377" s="1020"/>
      <c r="Q2377" s="995"/>
      <c r="R2377" s="995"/>
      <c r="S2377" s="3"/>
      <c r="T2377" s="3"/>
      <c r="U2377" s="3"/>
      <c r="V2377" s="3"/>
      <c r="W2377" s="761"/>
      <c r="X2377" s="761"/>
      <c r="Y2377" s="761"/>
      <c r="Z2377" s="761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</row>
    <row r="2378" spans="1:39">
      <c r="B2378" s="975">
        <v>11</v>
      </c>
      <c r="C2378" s="993" t="s">
        <v>5595</v>
      </c>
      <c r="D2378" s="3">
        <v>200099828</v>
      </c>
      <c r="E2378" s="3">
        <v>110062</v>
      </c>
      <c r="F2378" s="749">
        <v>6</v>
      </c>
      <c r="G2378" s="995"/>
      <c r="H2378" s="3" t="s">
        <v>128</v>
      </c>
      <c r="I2378" s="995"/>
      <c r="J2378" s="786">
        <v>122.39</v>
      </c>
      <c r="K2378" s="995"/>
      <c r="L2378" s="995"/>
      <c r="M2378" s="761" t="s">
        <v>2716</v>
      </c>
      <c r="N2378" s="761">
        <v>44851</v>
      </c>
      <c r="O2378" s="761" t="s">
        <v>62</v>
      </c>
      <c r="P2378" s="1020"/>
      <c r="Q2378" s="995"/>
      <c r="R2378" s="995"/>
      <c r="S2378" s="3"/>
      <c r="T2378" s="3"/>
      <c r="U2378" s="3"/>
      <c r="V2378" s="3"/>
      <c r="W2378" s="761"/>
      <c r="X2378" s="761"/>
      <c r="Y2378" s="761"/>
      <c r="Z2378" s="761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</row>
    <row r="2379" spans="1:39">
      <c r="B2379" s="975">
        <v>11</v>
      </c>
      <c r="C2379" s="993" t="s">
        <v>5595</v>
      </c>
      <c r="D2379" s="3">
        <v>200099829</v>
      </c>
      <c r="E2379" s="3">
        <v>110072</v>
      </c>
      <c r="F2379" s="749">
        <v>7</v>
      </c>
      <c r="G2379" s="995"/>
      <c r="H2379" s="3" t="s">
        <v>128</v>
      </c>
      <c r="I2379" s="995"/>
      <c r="J2379" s="786">
        <v>122.39</v>
      </c>
      <c r="K2379" s="995"/>
      <c r="L2379" s="995"/>
      <c r="M2379" s="761" t="s">
        <v>2716</v>
      </c>
      <c r="N2379" s="761">
        <v>44851</v>
      </c>
      <c r="O2379" s="761" t="s">
        <v>62</v>
      </c>
      <c r="P2379" s="1020"/>
      <c r="Q2379" s="995"/>
      <c r="R2379" s="995"/>
      <c r="S2379" s="3"/>
      <c r="T2379" s="3"/>
      <c r="U2379" s="3"/>
      <c r="V2379" s="3"/>
      <c r="W2379" s="761"/>
      <c r="X2379" s="761"/>
      <c r="Y2379" s="761"/>
      <c r="Z2379" s="761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</row>
    <row r="2380" spans="1:39">
      <c r="B2380" s="975">
        <v>11</v>
      </c>
      <c r="C2380" s="993" t="s">
        <v>5595</v>
      </c>
      <c r="D2380" s="3">
        <v>200099830</v>
      </c>
      <c r="E2380" s="3">
        <v>110082</v>
      </c>
      <c r="F2380" s="749">
        <v>8</v>
      </c>
      <c r="G2380" s="995"/>
      <c r="H2380" s="3" t="s">
        <v>128</v>
      </c>
      <c r="I2380" s="995"/>
      <c r="J2380" s="786">
        <v>120.9</v>
      </c>
      <c r="K2380" s="995"/>
      <c r="L2380" s="995"/>
      <c r="M2380" s="761" t="s">
        <v>2716</v>
      </c>
      <c r="N2380" s="761">
        <v>44852</v>
      </c>
      <c r="O2380" s="761" t="s">
        <v>62</v>
      </c>
      <c r="P2380" s="1020"/>
      <c r="Q2380" s="995"/>
      <c r="R2380" s="995"/>
      <c r="S2380" s="3"/>
      <c r="T2380" s="3"/>
      <c r="U2380" s="3"/>
      <c r="V2380" s="3"/>
      <c r="W2380" s="761"/>
      <c r="X2380" s="761"/>
      <c r="Y2380" s="761"/>
      <c r="Z2380" s="761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</row>
    <row r="2381" spans="1:39">
      <c r="B2381" s="975">
        <v>11</v>
      </c>
      <c r="C2381" s="993" t="s">
        <v>5595</v>
      </c>
      <c r="D2381" s="3">
        <v>200099831</v>
      </c>
      <c r="E2381" s="3">
        <v>110092</v>
      </c>
      <c r="F2381" s="749">
        <v>9</v>
      </c>
      <c r="G2381" s="995"/>
      <c r="H2381" s="3" t="s">
        <v>128</v>
      </c>
      <c r="I2381" s="995"/>
      <c r="J2381" s="786">
        <v>123.78</v>
      </c>
      <c r="K2381" s="995"/>
      <c r="L2381" s="995"/>
      <c r="M2381" s="761" t="s">
        <v>2716</v>
      </c>
      <c r="N2381" s="761">
        <v>44852</v>
      </c>
      <c r="O2381" s="761" t="s">
        <v>62</v>
      </c>
      <c r="P2381" s="1020"/>
      <c r="Q2381" s="995"/>
      <c r="R2381" s="995"/>
      <c r="S2381" s="3"/>
      <c r="T2381" s="3"/>
      <c r="U2381" s="3"/>
      <c r="V2381" s="3"/>
      <c r="W2381" s="761"/>
      <c r="X2381" s="761"/>
      <c r="Y2381" s="761"/>
      <c r="Z2381" s="761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</row>
    <row r="2382" spans="1:39">
      <c r="B2382" s="975">
        <v>11</v>
      </c>
      <c r="C2382" s="993" t="s">
        <v>5595</v>
      </c>
      <c r="D2382" s="3">
        <v>200099832</v>
      </c>
      <c r="E2382" s="3">
        <v>110102</v>
      </c>
      <c r="F2382" s="749">
        <v>10</v>
      </c>
      <c r="G2382" s="995"/>
      <c r="H2382" s="3" t="s">
        <v>128</v>
      </c>
      <c r="I2382" s="995"/>
      <c r="J2382" s="786">
        <v>124.84</v>
      </c>
      <c r="K2382" s="995"/>
      <c r="L2382" s="995"/>
      <c r="M2382" s="761" t="s">
        <v>2716</v>
      </c>
      <c r="N2382" s="761">
        <v>44852</v>
      </c>
      <c r="O2382" s="761" t="s">
        <v>62</v>
      </c>
      <c r="P2382" s="1020"/>
      <c r="Q2382" s="995"/>
      <c r="R2382" s="995"/>
      <c r="S2382" s="3"/>
      <c r="T2382" s="3"/>
      <c r="U2382" s="3"/>
      <c r="V2382" s="3"/>
      <c r="W2382" s="761"/>
      <c r="X2382" s="761"/>
      <c r="Y2382" s="761"/>
      <c r="Z2382" s="761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</row>
    <row r="2383" spans="1:39">
      <c r="B2383" s="975">
        <v>11</v>
      </c>
      <c r="C2383" s="993" t="s">
        <v>5595</v>
      </c>
      <c r="D2383" s="3">
        <v>200099833</v>
      </c>
      <c r="E2383" s="3">
        <v>110112</v>
      </c>
      <c r="F2383" s="749">
        <v>11</v>
      </c>
      <c r="G2383" s="995"/>
      <c r="H2383" s="3" t="s">
        <v>128</v>
      </c>
      <c r="I2383" s="995"/>
      <c r="J2383" s="786">
        <v>121.34</v>
      </c>
      <c r="K2383" s="995"/>
      <c r="L2383" s="995"/>
      <c r="M2383" s="761" t="s">
        <v>2716</v>
      </c>
      <c r="N2383" s="761">
        <v>44854</v>
      </c>
      <c r="O2383" s="761" t="s">
        <v>62</v>
      </c>
      <c r="P2383" s="1020"/>
      <c r="Q2383" s="995"/>
      <c r="R2383" s="995"/>
      <c r="S2383" s="3"/>
      <c r="T2383" s="3"/>
      <c r="U2383" s="3"/>
      <c r="V2383" s="3"/>
      <c r="W2383" s="761"/>
      <c r="X2383" s="761"/>
      <c r="Y2383" s="761"/>
      <c r="Z2383" s="761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</row>
    <row r="2384" spans="1:39">
      <c r="B2384" s="975">
        <v>11</v>
      </c>
      <c r="C2384" s="993" t="s">
        <v>5595</v>
      </c>
      <c r="D2384" s="3">
        <v>200099834</v>
      </c>
      <c r="E2384" s="3">
        <v>110122</v>
      </c>
      <c r="F2384" s="749">
        <v>12</v>
      </c>
      <c r="G2384" s="995"/>
      <c r="H2384" s="3" t="s">
        <v>128</v>
      </c>
      <c r="I2384" s="995"/>
      <c r="J2384" s="786">
        <v>123.8</v>
      </c>
      <c r="K2384" s="995"/>
      <c r="L2384" s="995"/>
      <c r="M2384" s="761" t="s">
        <v>2716</v>
      </c>
      <c r="N2384" s="761">
        <v>44854</v>
      </c>
      <c r="O2384" s="761" t="s">
        <v>62</v>
      </c>
      <c r="P2384" s="1020"/>
      <c r="Q2384" s="995"/>
      <c r="R2384" s="995"/>
      <c r="S2384" s="3"/>
      <c r="T2384" s="3"/>
      <c r="U2384" s="3"/>
      <c r="V2384" s="3"/>
      <c r="W2384" s="761"/>
      <c r="X2384" s="761"/>
      <c r="Y2384" s="761"/>
      <c r="Z2384" s="761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</row>
    <row r="2385" spans="1:39">
      <c r="B2385" s="975">
        <v>11</v>
      </c>
      <c r="C2385" s="993" t="s">
        <v>5595</v>
      </c>
      <c r="D2385" s="3">
        <v>200099835</v>
      </c>
      <c r="E2385" s="3">
        <v>110132</v>
      </c>
      <c r="F2385" s="749">
        <v>13</v>
      </c>
      <c r="G2385" s="995"/>
      <c r="H2385" s="3" t="s">
        <v>128</v>
      </c>
      <c r="I2385" s="995"/>
      <c r="J2385" s="786">
        <v>124.81</v>
      </c>
      <c r="K2385" s="995"/>
      <c r="L2385" s="995"/>
      <c r="M2385" s="761" t="s">
        <v>2716</v>
      </c>
      <c r="N2385" s="761">
        <v>44854</v>
      </c>
      <c r="O2385" s="761" t="s">
        <v>62</v>
      </c>
      <c r="P2385" s="1020"/>
      <c r="Q2385" s="995"/>
      <c r="R2385" s="995"/>
      <c r="S2385" s="3"/>
      <c r="T2385" s="3"/>
      <c r="U2385" s="3"/>
      <c r="V2385" s="3"/>
      <c r="W2385" s="761"/>
      <c r="X2385" s="761"/>
      <c r="Y2385" s="761"/>
      <c r="Z2385" s="761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</row>
    <row r="2386" spans="1:39">
      <c r="B2386" s="975">
        <v>11</v>
      </c>
      <c r="C2386" s="993" t="s">
        <v>5595</v>
      </c>
      <c r="D2386" s="3">
        <v>200099836</v>
      </c>
      <c r="E2386" s="3">
        <v>110142</v>
      </c>
      <c r="F2386" s="749">
        <v>14</v>
      </c>
      <c r="G2386" s="995"/>
      <c r="H2386" s="3" t="s">
        <v>128</v>
      </c>
      <c r="I2386" s="995"/>
      <c r="J2386" s="786">
        <v>125.82</v>
      </c>
      <c r="K2386" s="995"/>
      <c r="L2386" s="995"/>
      <c r="M2386" s="761" t="s">
        <v>2716</v>
      </c>
      <c r="N2386" s="761">
        <v>44854</v>
      </c>
      <c r="O2386" s="761" t="s">
        <v>62</v>
      </c>
      <c r="P2386" s="1020"/>
      <c r="Q2386" s="995"/>
      <c r="R2386" s="995"/>
      <c r="S2386" s="3"/>
      <c r="T2386" s="3"/>
      <c r="U2386" s="3"/>
      <c r="V2386" s="3"/>
      <c r="W2386" s="761"/>
      <c r="X2386" s="761"/>
      <c r="Y2386" s="761"/>
      <c r="Z2386" s="761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</row>
    <row r="2387" spans="1:39">
      <c r="B2387" s="975">
        <v>11</v>
      </c>
      <c r="C2387" s="993" t="s">
        <v>5595</v>
      </c>
      <c r="D2387" s="3">
        <v>200099837</v>
      </c>
      <c r="E2387" s="3">
        <v>110152</v>
      </c>
      <c r="F2387" s="749">
        <v>15</v>
      </c>
      <c r="G2387" s="995"/>
      <c r="H2387" s="3" t="s">
        <v>128</v>
      </c>
      <c r="I2387" s="995"/>
      <c r="J2387" s="786">
        <v>124.68</v>
      </c>
      <c r="K2387" s="995"/>
      <c r="L2387" s="995"/>
      <c r="M2387" s="761" t="s">
        <v>2716</v>
      </c>
      <c r="N2387" s="761">
        <v>44854</v>
      </c>
      <c r="O2387" s="761" t="s">
        <v>62</v>
      </c>
      <c r="P2387" s="1020"/>
      <c r="Q2387" s="995"/>
      <c r="R2387" s="995"/>
      <c r="S2387" s="3"/>
      <c r="T2387" s="3"/>
      <c r="U2387" s="3"/>
      <c r="V2387" s="3"/>
      <c r="W2387" s="761"/>
      <c r="X2387" s="761"/>
      <c r="Y2387" s="761"/>
      <c r="Z2387" s="761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</row>
    <row r="2388" spans="1:39">
      <c r="B2388" s="1011">
        <v>11</v>
      </c>
      <c r="C2388" s="993" t="s">
        <v>5595</v>
      </c>
      <c r="D2388" s="3">
        <v>200099850</v>
      </c>
      <c r="E2388" s="3">
        <v>110322</v>
      </c>
      <c r="F2388" s="802">
        <v>16</v>
      </c>
      <c r="G2388" s="1012"/>
      <c r="H2388" s="3" t="s">
        <v>128</v>
      </c>
      <c r="I2388" s="1012"/>
      <c r="J2388" s="786">
        <v>122.4</v>
      </c>
      <c r="K2388" s="1012"/>
      <c r="L2388" s="1012"/>
      <c r="M2388" s="761" t="s">
        <v>2716</v>
      </c>
      <c r="N2388" s="759">
        <v>44858</v>
      </c>
      <c r="O2388" s="761" t="s">
        <v>62</v>
      </c>
      <c r="P2388" s="1019"/>
      <c r="Q2388" s="1012"/>
      <c r="R2388" s="1012"/>
      <c r="S2388" s="8"/>
      <c r="T2388" s="8"/>
      <c r="U2388" s="8"/>
      <c r="V2388" s="8"/>
      <c r="W2388" s="759"/>
      <c r="X2388" s="759"/>
      <c r="Y2388" s="759"/>
      <c r="Z2388" s="759"/>
      <c r="AA2388" s="35"/>
      <c r="AB2388" s="35"/>
      <c r="AC2388" s="35"/>
      <c r="AD2388" s="35"/>
      <c r="AE2388" s="35"/>
      <c r="AF2388" s="35"/>
      <c r="AG2388" s="35"/>
      <c r="AH2388" s="35"/>
      <c r="AI2388" s="35"/>
      <c r="AJ2388" s="35"/>
      <c r="AK2388" s="35"/>
      <c r="AL2388" s="35"/>
      <c r="AM2388" s="35"/>
    </row>
    <row r="2389" spans="1:39">
      <c r="B2389" s="1011">
        <v>11</v>
      </c>
      <c r="C2389" s="993" t="s">
        <v>5595</v>
      </c>
      <c r="D2389" s="3">
        <v>200099851</v>
      </c>
      <c r="E2389" s="3">
        <v>110332</v>
      </c>
      <c r="F2389" s="802">
        <v>17</v>
      </c>
      <c r="G2389" s="1012"/>
      <c r="H2389" s="3" t="s">
        <v>128</v>
      </c>
      <c r="I2389" s="1012"/>
      <c r="J2389" s="786">
        <v>122.4</v>
      </c>
      <c r="K2389" s="1012"/>
      <c r="L2389" s="1012"/>
      <c r="M2389" s="761" t="s">
        <v>2716</v>
      </c>
      <c r="N2389" s="759">
        <v>44858</v>
      </c>
      <c r="O2389" s="761" t="s">
        <v>62</v>
      </c>
      <c r="P2389" s="1019"/>
      <c r="Q2389" s="1012"/>
      <c r="R2389" s="1012"/>
      <c r="S2389" s="8"/>
      <c r="T2389" s="8"/>
      <c r="U2389" s="8"/>
      <c r="V2389" s="8"/>
      <c r="W2389" s="759"/>
      <c r="X2389" s="759"/>
      <c r="Y2389" s="759"/>
      <c r="Z2389" s="759"/>
      <c r="AA2389" s="35"/>
      <c r="AB2389" s="35"/>
      <c r="AC2389" s="35"/>
      <c r="AD2389" s="35"/>
      <c r="AE2389" s="35"/>
      <c r="AF2389" s="35"/>
      <c r="AG2389" s="35"/>
      <c r="AH2389" s="35"/>
      <c r="AI2389" s="35"/>
      <c r="AJ2389" s="35"/>
      <c r="AK2389" s="35"/>
      <c r="AL2389" s="35"/>
      <c r="AM2389" s="35"/>
    </row>
    <row r="2390" spans="1:39">
      <c r="B2390" s="1011">
        <v>11</v>
      </c>
      <c r="C2390" s="993" t="s">
        <v>5595</v>
      </c>
      <c r="D2390" s="3">
        <v>200099852</v>
      </c>
      <c r="E2390" s="3">
        <v>110342</v>
      </c>
      <c r="F2390" s="802">
        <v>18</v>
      </c>
      <c r="G2390" s="1012"/>
      <c r="H2390" s="3" t="s">
        <v>128</v>
      </c>
      <c r="I2390" s="1012"/>
      <c r="J2390" s="786">
        <v>123.23</v>
      </c>
      <c r="K2390" s="1012"/>
      <c r="L2390" s="1012"/>
      <c r="M2390" s="761" t="s">
        <v>2716</v>
      </c>
      <c r="N2390" s="759">
        <v>44858</v>
      </c>
      <c r="O2390" s="761" t="s">
        <v>62</v>
      </c>
      <c r="P2390" s="1019"/>
      <c r="Q2390" s="1012"/>
      <c r="R2390" s="1012"/>
      <c r="S2390" s="8"/>
      <c r="T2390" s="8"/>
      <c r="U2390" s="8"/>
      <c r="V2390" s="8"/>
      <c r="W2390" s="759"/>
      <c r="X2390" s="759"/>
      <c r="Y2390" s="759"/>
      <c r="Z2390" s="759"/>
      <c r="AA2390" s="35"/>
      <c r="AB2390" s="35"/>
      <c r="AC2390" s="35"/>
      <c r="AD2390" s="35"/>
      <c r="AE2390" s="35"/>
      <c r="AF2390" s="35"/>
      <c r="AG2390" s="35"/>
      <c r="AH2390" s="35"/>
      <c r="AI2390" s="35"/>
      <c r="AJ2390" s="35"/>
      <c r="AK2390" s="35"/>
      <c r="AL2390" s="35"/>
      <c r="AM2390" s="35"/>
    </row>
    <row r="2391" spans="1:39">
      <c r="B2391" s="1011">
        <v>11</v>
      </c>
      <c r="C2391" s="993" t="s">
        <v>5595</v>
      </c>
      <c r="D2391" s="3">
        <v>200099853</v>
      </c>
      <c r="E2391" s="3">
        <v>110352</v>
      </c>
      <c r="F2391" s="802">
        <v>19</v>
      </c>
      <c r="G2391" s="1012"/>
      <c r="H2391" s="3" t="s">
        <v>128</v>
      </c>
      <c r="I2391" s="1012"/>
      <c r="J2391" s="786">
        <v>125.76</v>
      </c>
      <c r="K2391" s="1012"/>
      <c r="L2391" s="1012"/>
      <c r="M2391" s="761" t="s">
        <v>2716</v>
      </c>
      <c r="N2391" s="759">
        <v>44858</v>
      </c>
      <c r="O2391" s="761" t="s">
        <v>62</v>
      </c>
      <c r="P2391" s="1019"/>
      <c r="Q2391" s="1012"/>
      <c r="R2391" s="1012"/>
      <c r="S2391" s="8"/>
      <c r="T2391" s="8"/>
      <c r="U2391" s="8"/>
      <c r="V2391" s="8"/>
      <c r="W2391" s="759"/>
      <c r="X2391" s="759"/>
      <c r="Y2391" s="759"/>
      <c r="Z2391" s="759"/>
      <c r="AA2391" s="35"/>
      <c r="AB2391" s="35"/>
      <c r="AC2391" s="35"/>
      <c r="AD2391" s="35"/>
      <c r="AE2391" s="35"/>
      <c r="AF2391" s="35"/>
      <c r="AG2391" s="35"/>
      <c r="AH2391" s="35"/>
      <c r="AI2391" s="35"/>
      <c r="AJ2391" s="35"/>
      <c r="AK2391" s="35"/>
      <c r="AL2391" s="35"/>
      <c r="AM2391" s="35"/>
    </row>
    <row r="2392" spans="1:39">
      <c r="B2392" s="1011">
        <v>11</v>
      </c>
      <c r="C2392" s="993" t="s">
        <v>5595</v>
      </c>
      <c r="D2392" s="3">
        <v>200099854</v>
      </c>
      <c r="E2392" s="3">
        <v>110362</v>
      </c>
      <c r="F2392" s="802">
        <v>20</v>
      </c>
      <c r="G2392" s="1013"/>
      <c r="H2392" s="8" t="s">
        <v>128</v>
      </c>
      <c r="I2392" s="1013"/>
      <c r="J2392" s="814">
        <v>122.4</v>
      </c>
      <c r="K2392" s="1013"/>
      <c r="L2392" s="1013"/>
      <c r="M2392" s="759" t="s">
        <v>2740</v>
      </c>
      <c r="N2392" s="759">
        <v>44859</v>
      </c>
      <c r="O2392" s="759" t="s">
        <v>62</v>
      </c>
      <c r="P2392" s="1021"/>
      <c r="Q2392" s="1012"/>
      <c r="R2392" s="1013"/>
      <c r="S2392" s="4"/>
      <c r="T2392" s="4"/>
      <c r="U2392" s="4"/>
      <c r="V2392" s="4"/>
      <c r="W2392" s="4"/>
      <c r="X2392" s="4"/>
      <c r="Y2392" s="4"/>
      <c r="Z2392" s="759"/>
      <c r="AA2392" s="35"/>
      <c r="AB2392" s="35"/>
      <c r="AC2392" s="35"/>
      <c r="AD2392" s="35"/>
      <c r="AE2392" s="35"/>
      <c r="AF2392" s="35"/>
      <c r="AG2392" s="35"/>
      <c r="AH2392" s="35"/>
      <c r="AI2392" s="35"/>
      <c r="AJ2392" s="35"/>
      <c r="AK2392" s="35"/>
      <c r="AL2392" s="35"/>
      <c r="AM2392" s="35"/>
    </row>
    <row r="2393" spans="1:39">
      <c r="B2393" s="1011">
        <v>11</v>
      </c>
      <c r="C2393" s="993" t="s">
        <v>5595</v>
      </c>
      <c r="D2393" s="3">
        <v>200099855</v>
      </c>
      <c r="E2393" s="3">
        <v>110372</v>
      </c>
      <c r="F2393" s="802">
        <v>21</v>
      </c>
      <c r="G2393" s="1014"/>
      <c r="H2393" s="3" t="s">
        <v>128</v>
      </c>
      <c r="I2393" s="1014"/>
      <c r="J2393" s="786">
        <v>123</v>
      </c>
      <c r="K2393" s="1014"/>
      <c r="L2393" s="1014"/>
      <c r="M2393" s="761" t="s">
        <v>2740</v>
      </c>
      <c r="N2393" s="759">
        <v>44859</v>
      </c>
      <c r="O2393" s="759" t="s">
        <v>62</v>
      </c>
      <c r="P2393" s="1022"/>
      <c r="Q2393" s="995"/>
      <c r="R2393" s="1014"/>
      <c r="S2393" s="4"/>
      <c r="T2393" s="4"/>
      <c r="U2393" s="4"/>
      <c r="V2393" s="4"/>
      <c r="W2393" s="4"/>
      <c r="X2393" s="4"/>
      <c r="Y2393" s="4"/>
      <c r="Z2393" s="759"/>
      <c r="AA2393" s="35"/>
      <c r="AB2393" s="35"/>
      <c r="AC2393" s="35"/>
      <c r="AD2393" s="35"/>
      <c r="AE2393" s="35"/>
      <c r="AF2393" s="35"/>
      <c r="AG2393" s="35"/>
      <c r="AH2393" s="35"/>
      <c r="AI2393" s="35"/>
      <c r="AJ2393" s="35"/>
      <c r="AK2393" s="35"/>
      <c r="AL2393" s="35"/>
      <c r="AM2393" s="35"/>
    </row>
    <row r="2394" spans="1:39">
      <c r="B2394" s="1011">
        <v>11</v>
      </c>
      <c r="C2394" s="993" t="s">
        <v>5595</v>
      </c>
      <c r="D2394" s="3">
        <v>200099856</v>
      </c>
      <c r="E2394" s="3">
        <v>110382</v>
      </c>
      <c r="F2394" s="802">
        <v>22</v>
      </c>
      <c r="G2394" s="1014"/>
      <c r="H2394" s="3" t="s">
        <v>128</v>
      </c>
      <c r="I2394" s="1014"/>
      <c r="J2394" s="786">
        <v>125.57</v>
      </c>
      <c r="K2394" s="1014"/>
      <c r="L2394" s="1014"/>
      <c r="M2394" s="761" t="s">
        <v>2740</v>
      </c>
      <c r="N2394" s="759">
        <v>44859</v>
      </c>
      <c r="O2394" s="759" t="s">
        <v>62</v>
      </c>
      <c r="P2394" s="1022"/>
      <c r="Q2394" s="995"/>
      <c r="R2394" s="1014"/>
      <c r="S2394" s="4"/>
      <c r="T2394" s="4"/>
      <c r="U2394" s="4"/>
      <c r="V2394" s="4"/>
      <c r="W2394" s="4"/>
      <c r="X2394" s="4"/>
      <c r="Y2394" s="4"/>
      <c r="Z2394" s="759"/>
      <c r="AA2394" s="35"/>
      <c r="AB2394" s="35"/>
      <c r="AC2394" s="35"/>
      <c r="AD2394" s="35"/>
      <c r="AE2394" s="35"/>
      <c r="AF2394" s="35"/>
      <c r="AG2394" s="35"/>
      <c r="AH2394" s="35"/>
      <c r="AI2394" s="35"/>
      <c r="AJ2394" s="35"/>
      <c r="AK2394" s="35"/>
      <c r="AL2394" s="35"/>
      <c r="AM2394" s="35"/>
    </row>
    <row r="2395" spans="1:39">
      <c r="B2395" s="1011">
        <v>11</v>
      </c>
      <c r="C2395" s="993" t="s">
        <v>5595</v>
      </c>
      <c r="D2395" s="3">
        <v>200099857</v>
      </c>
      <c r="E2395" s="3">
        <v>110392</v>
      </c>
      <c r="F2395" s="802">
        <v>23</v>
      </c>
      <c r="G2395" s="1014"/>
      <c r="H2395" s="3" t="s">
        <v>128</v>
      </c>
      <c r="I2395" s="1014"/>
      <c r="J2395" s="786">
        <v>123.48</v>
      </c>
      <c r="K2395" s="1014"/>
      <c r="L2395" s="1014"/>
      <c r="M2395" s="813" t="s">
        <v>2740</v>
      </c>
      <c r="N2395" s="761">
        <v>44859</v>
      </c>
      <c r="O2395" s="1023" t="s">
        <v>62</v>
      </c>
      <c r="P2395" s="1022"/>
      <c r="Q2395" s="995"/>
      <c r="R2395" s="1014"/>
      <c r="S2395" s="4"/>
      <c r="T2395" s="4"/>
      <c r="U2395" s="4"/>
      <c r="V2395" s="4"/>
      <c r="W2395" s="4"/>
      <c r="X2395" s="4"/>
      <c r="Y2395" s="4"/>
      <c r="Z2395" s="759"/>
      <c r="AA2395" s="35"/>
      <c r="AB2395" s="35"/>
      <c r="AC2395" s="35"/>
      <c r="AD2395" s="35"/>
      <c r="AE2395" s="35"/>
      <c r="AF2395" s="35"/>
      <c r="AG2395" s="35"/>
      <c r="AH2395" s="35"/>
      <c r="AI2395" s="35"/>
      <c r="AJ2395" s="35"/>
      <c r="AK2395" s="35"/>
      <c r="AL2395" s="35"/>
      <c r="AM2395" s="35"/>
    </row>
    <row r="2396" spans="1:39">
      <c r="B2396" s="1011">
        <v>11</v>
      </c>
      <c r="C2396" s="993" t="s">
        <v>5595</v>
      </c>
      <c r="D2396" s="3">
        <v>200099858</v>
      </c>
      <c r="E2396" s="3">
        <v>110402</v>
      </c>
      <c r="F2396" s="802">
        <v>24</v>
      </c>
      <c r="G2396" s="1014"/>
      <c r="H2396" s="3" t="s">
        <v>128</v>
      </c>
      <c r="I2396" s="1014"/>
      <c r="J2396" s="786">
        <v>126.4</v>
      </c>
      <c r="K2396" s="1014"/>
      <c r="L2396" s="1014"/>
      <c r="M2396" s="813" t="s">
        <v>2740</v>
      </c>
      <c r="N2396" s="761">
        <v>44859</v>
      </c>
      <c r="O2396" s="3" t="s">
        <v>62</v>
      </c>
      <c r="P2396" s="1022"/>
      <c r="Q2396" s="995"/>
      <c r="R2396" s="1014"/>
      <c r="S2396" s="4"/>
      <c r="T2396" s="4"/>
      <c r="U2396" s="4"/>
      <c r="V2396" s="4"/>
      <c r="W2396" s="4"/>
      <c r="X2396" s="4"/>
      <c r="Y2396" s="4"/>
      <c r="Z2396" s="759"/>
      <c r="AA2396" s="35"/>
      <c r="AB2396" s="35"/>
      <c r="AC2396" s="35"/>
      <c r="AD2396" s="35"/>
      <c r="AE2396" s="35"/>
      <c r="AF2396" s="35"/>
      <c r="AG2396" s="35"/>
      <c r="AH2396" s="35"/>
      <c r="AI2396" s="35"/>
      <c r="AJ2396" s="35"/>
      <c r="AK2396" s="35"/>
      <c r="AL2396" s="35"/>
      <c r="AM2396" s="35"/>
    </row>
    <row r="2397" spans="1:39" s="707" customFormat="1">
      <c r="A2397"/>
      <c r="B2397" s="978" t="s">
        <v>13</v>
      </c>
      <c r="C2397" s="807"/>
      <c r="D2397" s="807"/>
      <c r="E2397" s="807"/>
      <c r="F2397" s="1015"/>
      <c r="G2397" s="1016"/>
      <c r="H2397" s="9"/>
      <c r="I2397" s="1016"/>
      <c r="J2397" s="820"/>
      <c r="K2397" s="1016"/>
      <c r="L2397" s="1016"/>
      <c r="M2397" s="1024"/>
      <c r="N2397" s="1025"/>
      <c r="O2397" s="807"/>
      <c r="P2397" s="1021"/>
      <c r="Q2397" s="9"/>
      <c r="R2397" s="1016"/>
      <c r="S2397" s="1016"/>
      <c r="T2397" s="1016"/>
      <c r="U2397" s="1016"/>
      <c r="V2397" s="1016"/>
      <c r="W2397" s="1016"/>
      <c r="X2397" s="1016"/>
      <c r="Y2397" s="1016"/>
      <c r="Z2397" s="1025"/>
      <c r="AA2397" s="1016"/>
      <c r="AB2397" s="1016"/>
      <c r="AC2397" s="1016"/>
      <c r="AD2397" s="1016"/>
      <c r="AE2397" s="1016"/>
      <c r="AF2397" s="1016"/>
      <c r="AG2397" s="1016"/>
      <c r="AH2397" s="1016"/>
      <c r="AI2397" s="1016"/>
      <c r="AJ2397" s="1016"/>
      <c r="AK2397" s="1016"/>
      <c r="AL2397" s="1016"/>
      <c r="AM2397" s="1016"/>
    </row>
    <row r="2398" spans="1:39">
      <c r="B2398" s="1011">
        <v>12</v>
      </c>
      <c r="C2398" s="993" t="s">
        <v>5595</v>
      </c>
      <c r="D2398" s="3">
        <v>200100384</v>
      </c>
      <c r="E2398" s="3">
        <v>122742</v>
      </c>
      <c r="F2398" s="802">
        <v>1</v>
      </c>
      <c r="G2398" s="1013"/>
      <c r="H2398" s="8" t="s">
        <v>128</v>
      </c>
      <c r="I2398" s="1013"/>
      <c r="J2398" s="786">
        <v>121.65</v>
      </c>
      <c r="K2398" s="1013"/>
      <c r="L2398" s="1013"/>
      <c r="M2398" s="813" t="s">
        <v>2067</v>
      </c>
      <c r="N2398" s="759">
        <v>44910</v>
      </c>
      <c r="O2398" s="3" t="s">
        <v>62</v>
      </c>
      <c r="P2398" s="1021"/>
      <c r="Q2398" s="1012"/>
      <c r="R2398" s="1013"/>
      <c r="S2398" s="35"/>
      <c r="T2398" s="35"/>
      <c r="U2398" s="35"/>
      <c r="V2398" s="35"/>
      <c r="W2398" s="35"/>
      <c r="X2398" s="35"/>
      <c r="Y2398" s="35"/>
      <c r="Z2398" s="759"/>
      <c r="AA2398" s="35"/>
      <c r="AB2398" s="35"/>
      <c r="AC2398" s="35"/>
      <c r="AD2398" s="35"/>
      <c r="AE2398" s="35"/>
      <c r="AF2398" s="35"/>
      <c r="AG2398" s="35"/>
      <c r="AH2398" s="35"/>
      <c r="AI2398" s="35"/>
      <c r="AJ2398" s="35"/>
      <c r="AK2398" s="35"/>
      <c r="AL2398" s="35"/>
      <c r="AM2398" s="35"/>
    </row>
    <row r="2399" spans="1:39">
      <c r="B2399" s="1011">
        <v>12</v>
      </c>
      <c r="C2399" s="993" t="s">
        <v>5595</v>
      </c>
      <c r="D2399" s="3">
        <v>200100385</v>
      </c>
      <c r="E2399" s="3">
        <v>122752</v>
      </c>
      <c r="F2399" s="802">
        <v>2</v>
      </c>
      <c r="G2399" s="1013"/>
      <c r="H2399" s="8" t="s">
        <v>128</v>
      </c>
      <c r="I2399" s="1013"/>
      <c r="J2399" s="786">
        <v>121.5</v>
      </c>
      <c r="K2399" s="1013"/>
      <c r="L2399" s="1013"/>
      <c r="M2399" s="813" t="s">
        <v>2067</v>
      </c>
      <c r="N2399" s="759">
        <v>44910</v>
      </c>
      <c r="O2399" s="3" t="s">
        <v>62</v>
      </c>
      <c r="P2399" s="1021"/>
      <c r="Q2399" s="1012"/>
      <c r="R2399" s="1013"/>
      <c r="S2399" s="35"/>
      <c r="T2399" s="35"/>
      <c r="U2399" s="35"/>
      <c r="V2399" s="35"/>
      <c r="W2399" s="35"/>
      <c r="X2399" s="35"/>
      <c r="Y2399" s="35"/>
      <c r="Z2399" s="759"/>
      <c r="AA2399" s="35"/>
      <c r="AB2399" s="35"/>
      <c r="AC2399" s="35"/>
      <c r="AD2399" s="35"/>
      <c r="AE2399" s="35"/>
      <c r="AF2399" s="35"/>
      <c r="AG2399" s="35"/>
      <c r="AH2399" s="35"/>
      <c r="AI2399" s="35"/>
      <c r="AJ2399" s="35"/>
      <c r="AK2399" s="35"/>
      <c r="AL2399" s="35"/>
      <c r="AM2399" s="35"/>
    </row>
    <row r="2400" spans="1:39">
      <c r="B2400" s="1011">
        <v>12</v>
      </c>
      <c r="C2400" s="993" t="s">
        <v>5595</v>
      </c>
      <c r="D2400" s="3">
        <v>200100386</v>
      </c>
      <c r="E2400" s="3">
        <v>122762</v>
      </c>
      <c r="F2400" s="802">
        <v>3</v>
      </c>
      <c r="G2400" s="1013"/>
      <c r="H2400" s="8" t="s">
        <v>128</v>
      </c>
      <c r="I2400" s="1013"/>
      <c r="J2400" s="786">
        <v>126.74</v>
      </c>
      <c r="K2400" s="1013"/>
      <c r="L2400" s="1013"/>
      <c r="M2400" s="813" t="s">
        <v>2067</v>
      </c>
      <c r="N2400" s="759">
        <v>44910</v>
      </c>
      <c r="O2400" s="3" t="s">
        <v>62</v>
      </c>
      <c r="P2400" s="1021"/>
      <c r="Q2400" s="1012"/>
      <c r="R2400" s="1013"/>
      <c r="S2400" s="35"/>
      <c r="T2400" s="35"/>
      <c r="U2400" s="35"/>
      <c r="V2400" s="35"/>
      <c r="W2400" s="35"/>
      <c r="X2400" s="35"/>
      <c r="Y2400" s="35"/>
      <c r="Z2400" s="759"/>
      <c r="AA2400" s="35"/>
      <c r="AB2400" s="35"/>
      <c r="AC2400" s="35"/>
      <c r="AD2400" s="35"/>
      <c r="AE2400" s="35"/>
      <c r="AF2400" s="35"/>
      <c r="AG2400" s="35"/>
      <c r="AH2400" s="35"/>
      <c r="AI2400" s="35"/>
      <c r="AJ2400" s="35"/>
      <c r="AK2400" s="35"/>
      <c r="AL2400" s="35"/>
      <c r="AM2400" s="35"/>
    </row>
    <row r="2401" spans="1:39">
      <c r="B2401" s="1011">
        <v>12</v>
      </c>
      <c r="C2401" s="993" t="s">
        <v>5595</v>
      </c>
      <c r="D2401" s="3">
        <v>200100387</v>
      </c>
      <c r="E2401" s="3">
        <v>122772</v>
      </c>
      <c r="F2401" s="802">
        <v>4</v>
      </c>
      <c r="G2401" s="1012"/>
      <c r="H2401" s="8" t="s">
        <v>128</v>
      </c>
      <c r="I2401" s="1012"/>
      <c r="J2401" s="786">
        <v>123.24</v>
      </c>
      <c r="K2401" s="1012"/>
      <c r="L2401" s="1012"/>
      <c r="M2401" s="813" t="s">
        <v>2067</v>
      </c>
      <c r="N2401" s="759">
        <v>44910</v>
      </c>
      <c r="O2401" s="3" t="s">
        <v>62</v>
      </c>
      <c r="P2401" s="1019"/>
      <c r="Q2401" s="1012"/>
      <c r="R2401" s="1012"/>
      <c r="S2401" s="8"/>
      <c r="T2401" s="8"/>
      <c r="U2401" s="8"/>
      <c r="V2401" s="8"/>
      <c r="W2401" s="759"/>
      <c r="X2401" s="759"/>
      <c r="Y2401" s="759"/>
      <c r="Z2401" s="759"/>
      <c r="AA2401" s="35"/>
      <c r="AB2401" s="35"/>
      <c r="AC2401" s="35"/>
      <c r="AD2401" s="35"/>
      <c r="AE2401" s="35"/>
      <c r="AF2401" s="35"/>
      <c r="AG2401" s="35"/>
      <c r="AH2401" s="35"/>
      <c r="AI2401" s="35"/>
      <c r="AJ2401" s="35"/>
      <c r="AK2401" s="35"/>
      <c r="AL2401" s="35"/>
      <c r="AM2401" s="35"/>
    </row>
    <row r="2402" spans="1:39" s="707" customFormat="1" ht="28.95" customHeight="1">
      <c r="A2402"/>
      <c r="B2402" s="1017" t="s">
        <v>13</v>
      </c>
      <c r="C2402" s="1018">
        <v>2023</v>
      </c>
      <c r="D2402" s="807"/>
      <c r="E2402" s="807"/>
      <c r="F2402" s="1015"/>
      <c r="G2402" s="9"/>
      <c r="H2402" s="9"/>
      <c r="I2402" s="9"/>
      <c r="J2402" s="985"/>
      <c r="K2402" s="9"/>
      <c r="L2402" s="9"/>
      <c r="M2402" s="1024"/>
      <c r="N2402" s="1025"/>
      <c r="O2402" s="9"/>
      <c r="P2402" s="9"/>
      <c r="Q2402" s="9"/>
      <c r="R2402" s="9"/>
      <c r="S2402" s="9"/>
      <c r="T2402" s="9"/>
      <c r="U2402" s="9"/>
      <c r="V2402" s="9"/>
      <c r="W2402" s="1025"/>
      <c r="X2402" s="1025"/>
      <c r="Y2402" s="1025"/>
      <c r="Z2402" s="1025"/>
      <c r="AA2402" s="1016"/>
      <c r="AB2402" s="1016"/>
      <c r="AC2402" s="1016"/>
      <c r="AD2402" s="1016"/>
      <c r="AE2402" s="1016"/>
      <c r="AF2402" s="1016"/>
      <c r="AG2402" s="1016"/>
      <c r="AH2402" s="1016"/>
      <c r="AI2402" s="1016"/>
      <c r="AJ2402" s="1016"/>
      <c r="AK2402" s="1016"/>
      <c r="AL2402" s="1016"/>
      <c r="AM2402" s="1016"/>
    </row>
    <row r="2403" spans="1:39">
      <c r="B2403" s="1011">
        <v>1</v>
      </c>
      <c r="C2403" s="993" t="s">
        <v>5595</v>
      </c>
      <c r="D2403" s="3">
        <v>200100450</v>
      </c>
      <c r="E2403" s="3">
        <v>10033</v>
      </c>
      <c r="F2403" s="802">
        <v>1</v>
      </c>
      <c r="G2403" s="1019"/>
      <c r="H2403" s="8" t="s">
        <v>128</v>
      </c>
      <c r="I2403" s="1019"/>
      <c r="J2403" s="786">
        <v>122.77</v>
      </c>
      <c r="K2403" s="1019"/>
      <c r="L2403" s="1019"/>
      <c r="M2403" s="813" t="s">
        <v>2067</v>
      </c>
      <c r="N2403" s="759">
        <v>44914</v>
      </c>
      <c r="O2403" s="8" t="s">
        <v>62</v>
      </c>
      <c r="P2403" s="1019"/>
      <c r="Q2403" s="882">
        <v>3.84</v>
      </c>
      <c r="R2403" s="1012"/>
      <c r="S2403" s="8"/>
      <c r="T2403" s="8"/>
      <c r="U2403" s="8"/>
      <c r="V2403" s="8"/>
      <c r="W2403" s="759"/>
      <c r="X2403" s="759"/>
      <c r="Y2403" s="759"/>
      <c r="Z2403" s="759"/>
      <c r="AA2403" s="35"/>
      <c r="AB2403" s="35"/>
      <c r="AC2403" s="35"/>
      <c r="AD2403" s="35"/>
      <c r="AE2403" s="35"/>
      <c r="AF2403" s="35"/>
      <c r="AG2403" s="35"/>
      <c r="AH2403" s="35"/>
      <c r="AI2403" s="35"/>
      <c r="AJ2403" s="35"/>
      <c r="AK2403" s="35"/>
      <c r="AL2403" s="35"/>
      <c r="AM2403" s="35"/>
    </row>
    <row r="2404" spans="1:39">
      <c r="B2404" s="1011">
        <v>1</v>
      </c>
      <c r="C2404" s="993" t="s">
        <v>5595</v>
      </c>
      <c r="D2404" s="3">
        <v>200100451</v>
      </c>
      <c r="E2404" s="3">
        <v>10043</v>
      </c>
      <c r="F2404" s="802">
        <v>2</v>
      </c>
      <c r="G2404" s="1019"/>
      <c r="H2404" s="8" t="s">
        <v>128</v>
      </c>
      <c r="I2404" s="1019"/>
      <c r="J2404" s="786">
        <v>124.05</v>
      </c>
      <c r="K2404" s="1019"/>
      <c r="L2404" s="1019"/>
      <c r="M2404" s="813" t="s">
        <v>2067</v>
      </c>
      <c r="N2404" s="759">
        <v>44914</v>
      </c>
      <c r="O2404" s="8" t="s">
        <v>62</v>
      </c>
      <c r="P2404" s="1019"/>
      <c r="Q2404" s="762">
        <v>3.72</v>
      </c>
      <c r="R2404" s="1012"/>
      <c r="S2404" s="8"/>
      <c r="T2404" s="8"/>
      <c r="U2404" s="8"/>
      <c r="V2404" s="8"/>
      <c r="W2404" s="759"/>
      <c r="X2404" s="759"/>
      <c r="Y2404" s="759"/>
      <c r="Z2404" s="759"/>
      <c r="AA2404" s="35"/>
      <c r="AB2404" s="35"/>
      <c r="AC2404" s="35"/>
      <c r="AD2404" s="35"/>
      <c r="AE2404" s="35"/>
      <c r="AF2404" s="35"/>
      <c r="AG2404" s="35"/>
      <c r="AH2404" s="35"/>
      <c r="AI2404" s="35"/>
      <c r="AJ2404" s="35"/>
      <c r="AK2404" s="35"/>
      <c r="AL2404" s="35"/>
      <c r="AM2404" s="35"/>
    </row>
    <row r="2405" spans="1:39">
      <c r="B2405" s="1011">
        <v>1</v>
      </c>
      <c r="C2405" s="993" t="s">
        <v>5595</v>
      </c>
      <c r="D2405" s="3">
        <v>200100452</v>
      </c>
      <c r="E2405" s="3">
        <v>10053</v>
      </c>
      <c r="F2405" s="802">
        <v>3</v>
      </c>
      <c r="G2405" s="1019"/>
      <c r="H2405" s="8" t="s">
        <v>128</v>
      </c>
      <c r="I2405" s="1019"/>
      <c r="J2405" s="786">
        <v>122.95</v>
      </c>
      <c r="K2405" s="1019"/>
      <c r="L2405" s="1019"/>
      <c r="M2405" s="813" t="s">
        <v>2067</v>
      </c>
      <c r="N2405" s="759">
        <v>44914</v>
      </c>
      <c r="O2405" s="8" t="s">
        <v>62</v>
      </c>
      <c r="P2405" s="1019"/>
      <c r="Q2405" s="882">
        <v>3.47</v>
      </c>
      <c r="R2405" s="1012"/>
      <c r="S2405" s="8"/>
      <c r="T2405" s="8"/>
      <c r="U2405" s="8"/>
      <c r="V2405" s="8"/>
      <c r="W2405" s="759"/>
      <c r="X2405" s="759"/>
      <c r="Y2405" s="759"/>
      <c r="Z2405" s="759"/>
      <c r="AA2405" s="35"/>
      <c r="AB2405" s="35"/>
      <c r="AC2405" s="35"/>
      <c r="AD2405" s="35"/>
      <c r="AE2405" s="35"/>
      <c r="AF2405" s="35"/>
      <c r="AG2405" s="35"/>
      <c r="AH2405" s="35"/>
      <c r="AI2405" s="35"/>
      <c r="AJ2405" s="35"/>
      <c r="AK2405" s="35"/>
      <c r="AL2405" s="35"/>
      <c r="AM2405" s="35"/>
    </row>
    <row r="2406" spans="1:39">
      <c r="B2406" s="1011">
        <v>1</v>
      </c>
      <c r="C2406" s="993" t="s">
        <v>5595</v>
      </c>
      <c r="D2406" s="3">
        <v>200100453</v>
      </c>
      <c r="E2406" s="3">
        <v>10063</v>
      </c>
      <c r="F2406" s="802">
        <v>4</v>
      </c>
      <c r="G2406" s="1019"/>
      <c r="H2406" s="8" t="s">
        <v>60</v>
      </c>
      <c r="I2406" s="1019"/>
      <c r="J2406" s="786">
        <v>125.18</v>
      </c>
      <c r="K2406" s="1019"/>
      <c r="L2406" s="1019"/>
      <c r="M2406" s="813" t="s">
        <v>2067</v>
      </c>
      <c r="N2406" s="759">
        <v>44914</v>
      </c>
      <c r="O2406" s="8" t="s">
        <v>62</v>
      </c>
      <c r="P2406" s="1019"/>
      <c r="Q2406" s="882">
        <v>3.6</v>
      </c>
      <c r="R2406" s="1012"/>
      <c r="S2406" s="8"/>
      <c r="T2406" s="8"/>
      <c r="U2406" s="8"/>
      <c r="V2406" s="8"/>
      <c r="W2406" s="759"/>
      <c r="X2406" s="759"/>
      <c r="Y2406" s="759"/>
      <c r="Z2406" s="759"/>
      <c r="AA2406" s="35"/>
      <c r="AB2406" s="35"/>
      <c r="AC2406" s="35"/>
      <c r="AD2406" s="35"/>
      <c r="AE2406" s="35"/>
      <c r="AF2406" s="35"/>
      <c r="AG2406" s="35"/>
      <c r="AH2406" s="35"/>
      <c r="AI2406" s="35"/>
      <c r="AJ2406" s="35"/>
      <c r="AK2406" s="35"/>
      <c r="AL2406" s="35"/>
      <c r="AM2406" s="35"/>
    </row>
    <row r="2407" spans="1:39">
      <c r="B2407" s="1011">
        <v>1</v>
      </c>
      <c r="C2407" s="993" t="s">
        <v>5595</v>
      </c>
      <c r="D2407" s="3">
        <v>200100454</v>
      </c>
      <c r="E2407" s="3">
        <v>10073</v>
      </c>
      <c r="F2407" s="802">
        <v>5</v>
      </c>
      <c r="G2407" s="1019"/>
      <c r="H2407" s="8" t="s">
        <v>60</v>
      </c>
      <c r="I2407" s="1019"/>
      <c r="J2407" s="786">
        <v>122.4</v>
      </c>
      <c r="K2407" s="1019"/>
      <c r="L2407" s="1019"/>
      <c r="M2407" s="813" t="s">
        <v>2067</v>
      </c>
      <c r="N2407" s="759">
        <v>44915</v>
      </c>
      <c r="O2407" s="8" t="s">
        <v>62</v>
      </c>
      <c r="P2407" s="1019"/>
      <c r="Q2407" s="762">
        <v>3.62</v>
      </c>
      <c r="R2407" s="1012"/>
      <c r="S2407" s="8"/>
      <c r="T2407" s="8"/>
      <c r="U2407" s="8"/>
      <c r="V2407" s="8"/>
      <c r="W2407" s="759"/>
      <c r="X2407" s="759"/>
      <c r="Y2407" s="759"/>
      <c r="Z2407" s="759"/>
      <c r="AA2407" s="35"/>
      <c r="AB2407" s="35"/>
      <c r="AC2407" s="35"/>
      <c r="AD2407" s="35"/>
      <c r="AE2407" s="35"/>
      <c r="AF2407" s="35"/>
      <c r="AG2407" s="35"/>
      <c r="AH2407" s="35"/>
      <c r="AI2407" s="35"/>
      <c r="AJ2407" s="35"/>
      <c r="AK2407" s="35"/>
      <c r="AL2407" s="35"/>
      <c r="AM2407" s="35"/>
    </row>
    <row r="2408" spans="1:39">
      <c r="B2408" s="1011">
        <v>1</v>
      </c>
      <c r="C2408" s="993" t="s">
        <v>5595</v>
      </c>
      <c r="D2408" s="3">
        <v>200100455</v>
      </c>
      <c r="E2408" s="3">
        <v>10083</v>
      </c>
      <c r="F2408" s="802">
        <v>6</v>
      </c>
      <c r="G2408" s="1019"/>
      <c r="H2408" s="8" t="s">
        <v>60</v>
      </c>
      <c r="I2408" s="1019"/>
      <c r="J2408" s="786">
        <v>123.12</v>
      </c>
      <c r="K2408" s="1019"/>
      <c r="L2408" s="1019"/>
      <c r="M2408" s="813" t="s">
        <v>2067</v>
      </c>
      <c r="N2408" s="759">
        <v>44915</v>
      </c>
      <c r="O2408" s="8" t="s">
        <v>62</v>
      </c>
      <c r="P2408" s="1019"/>
      <c r="Q2408" s="762">
        <v>3.8</v>
      </c>
      <c r="R2408" s="1012"/>
      <c r="S2408" s="8"/>
      <c r="T2408" s="8"/>
      <c r="U2408" s="8"/>
      <c r="V2408" s="8"/>
      <c r="W2408" s="759"/>
      <c r="X2408" s="759"/>
      <c r="Y2408" s="759"/>
      <c r="Z2408" s="759"/>
      <c r="AA2408" s="35"/>
      <c r="AB2408" s="35"/>
      <c r="AC2408" s="35"/>
      <c r="AD2408" s="35"/>
      <c r="AE2408" s="35"/>
      <c r="AF2408" s="35"/>
      <c r="AG2408" s="35"/>
      <c r="AH2408" s="35"/>
      <c r="AI2408" s="35"/>
      <c r="AJ2408" s="35"/>
      <c r="AK2408" s="35"/>
      <c r="AL2408" s="35"/>
      <c r="AM2408" s="35"/>
    </row>
    <row r="2409" spans="1:39">
      <c r="B2409" s="1011">
        <v>1</v>
      </c>
      <c r="C2409" s="993" t="s">
        <v>5595</v>
      </c>
      <c r="D2409" s="3">
        <v>200100456</v>
      </c>
      <c r="E2409" s="3">
        <v>10093</v>
      </c>
      <c r="F2409" s="802">
        <v>7</v>
      </c>
      <c r="G2409" s="1019"/>
      <c r="H2409" s="8" t="s">
        <v>60</v>
      </c>
      <c r="I2409" s="1019"/>
      <c r="J2409" s="786">
        <v>123.44</v>
      </c>
      <c r="K2409" s="1019"/>
      <c r="L2409" s="1019"/>
      <c r="M2409" s="813" t="s">
        <v>2067</v>
      </c>
      <c r="N2409" s="759">
        <v>44915</v>
      </c>
      <c r="O2409" s="8" t="s">
        <v>62</v>
      </c>
      <c r="P2409" s="1019"/>
      <c r="Q2409" s="762">
        <v>3.73</v>
      </c>
      <c r="R2409" s="1012"/>
      <c r="S2409" s="8"/>
      <c r="T2409" s="8"/>
      <c r="U2409" s="8"/>
      <c r="V2409" s="8"/>
      <c r="W2409" s="759"/>
      <c r="X2409" s="759"/>
      <c r="Y2409" s="759"/>
      <c r="Z2409" s="759"/>
      <c r="AA2409" s="35"/>
      <c r="AB2409" s="35"/>
      <c r="AC2409" s="35"/>
      <c r="AD2409" s="35"/>
      <c r="AE2409" s="35"/>
      <c r="AF2409" s="35"/>
      <c r="AG2409" s="35"/>
      <c r="AH2409" s="35"/>
      <c r="AI2409" s="35"/>
      <c r="AJ2409" s="35"/>
      <c r="AK2409" s="35"/>
      <c r="AL2409" s="35"/>
      <c r="AM2409" s="35"/>
    </row>
    <row r="2410" spans="1:39">
      <c r="B2410" s="1011">
        <v>1</v>
      </c>
      <c r="C2410" s="993" t="s">
        <v>5595</v>
      </c>
      <c r="D2410" s="3">
        <v>200100457</v>
      </c>
      <c r="E2410" s="3">
        <v>10103</v>
      </c>
      <c r="F2410" s="802">
        <v>8</v>
      </c>
      <c r="G2410" s="1019"/>
      <c r="H2410" s="8" t="s">
        <v>60</v>
      </c>
      <c r="I2410" s="1019"/>
      <c r="J2410" s="786">
        <v>124.39</v>
      </c>
      <c r="K2410" s="1019"/>
      <c r="L2410" s="1019"/>
      <c r="M2410" s="813" t="s">
        <v>2067</v>
      </c>
      <c r="N2410" s="759">
        <v>44915</v>
      </c>
      <c r="O2410" s="8" t="s">
        <v>62</v>
      </c>
      <c r="P2410" s="1019"/>
      <c r="Q2410" s="762">
        <v>3.6</v>
      </c>
      <c r="R2410" s="1012"/>
      <c r="S2410" s="8"/>
      <c r="T2410" s="8"/>
      <c r="U2410" s="8"/>
      <c r="V2410" s="8"/>
      <c r="W2410" s="759"/>
      <c r="X2410" s="759"/>
      <c r="Y2410" s="759"/>
      <c r="Z2410" s="759"/>
      <c r="AA2410" s="35"/>
      <c r="AB2410" s="35"/>
      <c r="AC2410" s="35"/>
      <c r="AD2410" s="35"/>
      <c r="AE2410" s="35"/>
      <c r="AF2410" s="35"/>
      <c r="AG2410" s="35"/>
      <c r="AH2410" s="35"/>
      <c r="AI2410" s="35"/>
      <c r="AJ2410" s="35"/>
      <c r="AK2410" s="35"/>
      <c r="AL2410" s="35"/>
      <c r="AM2410" s="35"/>
    </row>
    <row r="2411" spans="1:39">
      <c r="B2411" s="1011">
        <v>1</v>
      </c>
      <c r="C2411" s="993" t="s">
        <v>5595</v>
      </c>
      <c r="D2411" s="3">
        <v>200100567</v>
      </c>
      <c r="E2411" s="3">
        <v>10763</v>
      </c>
      <c r="F2411" s="802">
        <v>9</v>
      </c>
      <c r="G2411" s="1019"/>
      <c r="H2411" s="8" t="s">
        <v>60</v>
      </c>
      <c r="I2411" s="1019"/>
      <c r="J2411" s="786">
        <v>122.28</v>
      </c>
      <c r="K2411" s="1019"/>
      <c r="L2411" s="1019"/>
      <c r="M2411" s="813" t="s">
        <v>2067</v>
      </c>
      <c r="N2411" s="759">
        <v>44925</v>
      </c>
      <c r="O2411" s="8" t="s">
        <v>62</v>
      </c>
      <c r="P2411" s="1019"/>
      <c r="Q2411" s="762">
        <v>3.83</v>
      </c>
      <c r="R2411" s="1012"/>
      <c r="S2411" s="8"/>
      <c r="T2411" s="8"/>
      <c r="U2411" s="8"/>
      <c r="V2411" s="8"/>
      <c r="W2411" s="759"/>
      <c r="X2411" s="759"/>
      <c r="Y2411" s="759"/>
      <c r="Z2411" s="759"/>
      <c r="AA2411" s="35"/>
      <c r="AB2411" s="35"/>
      <c r="AC2411" s="35"/>
      <c r="AD2411" s="35"/>
      <c r="AE2411" s="35"/>
      <c r="AF2411" s="35"/>
      <c r="AG2411" s="35"/>
      <c r="AH2411" s="35"/>
      <c r="AI2411" s="35"/>
      <c r="AJ2411" s="35"/>
      <c r="AK2411" s="35"/>
      <c r="AL2411" s="35"/>
      <c r="AM2411" s="35"/>
    </row>
    <row r="2412" spans="1:39">
      <c r="B2412" s="1011">
        <v>1</v>
      </c>
      <c r="C2412" s="993" t="s">
        <v>5595</v>
      </c>
      <c r="D2412" s="3">
        <v>200100568</v>
      </c>
      <c r="E2412" s="3">
        <v>10773</v>
      </c>
      <c r="F2412" s="802">
        <v>10</v>
      </c>
      <c r="G2412" s="1019"/>
      <c r="H2412" s="8" t="s">
        <v>60</v>
      </c>
      <c r="I2412" s="1019"/>
      <c r="J2412" s="786">
        <v>123.55</v>
      </c>
      <c r="K2412" s="1019"/>
      <c r="L2412" s="1019"/>
      <c r="M2412" s="813" t="s">
        <v>2067</v>
      </c>
      <c r="N2412" s="759">
        <v>44925</v>
      </c>
      <c r="O2412" s="8" t="s">
        <v>62</v>
      </c>
      <c r="P2412" s="1019"/>
      <c r="Q2412" s="762">
        <v>3.71</v>
      </c>
      <c r="R2412" s="1012"/>
      <c r="S2412" s="8"/>
      <c r="T2412" s="8"/>
      <c r="U2412" s="8"/>
      <c r="V2412" s="8"/>
      <c r="W2412" s="759"/>
      <c r="X2412" s="759"/>
      <c r="Y2412" s="759"/>
      <c r="Z2412" s="759"/>
      <c r="AA2412" s="35"/>
      <c r="AB2412" s="35"/>
      <c r="AC2412" s="35"/>
      <c r="AD2412" s="35"/>
      <c r="AE2412" s="35"/>
      <c r="AF2412" s="35"/>
      <c r="AG2412" s="35"/>
      <c r="AH2412" s="35"/>
      <c r="AI2412" s="35"/>
      <c r="AJ2412" s="35"/>
      <c r="AK2412" s="35"/>
      <c r="AL2412" s="35"/>
      <c r="AM2412" s="35"/>
    </row>
    <row r="2413" spans="1:39">
      <c r="B2413" s="1011">
        <v>1</v>
      </c>
      <c r="C2413" s="993" t="s">
        <v>5595</v>
      </c>
      <c r="D2413" s="3">
        <v>200100569</v>
      </c>
      <c r="E2413" s="3">
        <v>10783</v>
      </c>
      <c r="F2413" s="802">
        <v>11</v>
      </c>
      <c r="G2413" s="1019"/>
      <c r="H2413" s="8" t="s">
        <v>60</v>
      </c>
      <c r="I2413" s="1019"/>
      <c r="J2413" s="762">
        <v>123.59</v>
      </c>
      <c r="K2413" s="1019"/>
      <c r="L2413" s="1019"/>
      <c r="M2413" s="813" t="s">
        <v>2067</v>
      </c>
      <c r="N2413" s="759">
        <v>44925</v>
      </c>
      <c r="O2413" s="8" t="s">
        <v>62</v>
      </c>
      <c r="P2413" s="1019"/>
      <c r="Q2413" s="3">
        <v>3.41</v>
      </c>
      <c r="R2413" s="1012"/>
      <c r="S2413" s="8"/>
      <c r="T2413" s="8"/>
      <c r="U2413" s="8"/>
      <c r="V2413" s="8"/>
      <c r="W2413" s="759"/>
      <c r="X2413" s="759"/>
      <c r="Y2413" s="759"/>
      <c r="Z2413" s="759"/>
      <c r="AA2413" s="35"/>
      <c r="AB2413" s="35"/>
      <c r="AC2413" s="35"/>
      <c r="AD2413" s="35"/>
      <c r="AE2413" s="35"/>
      <c r="AF2413" s="35"/>
      <c r="AG2413" s="35"/>
      <c r="AH2413" s="35"/>
      <c r="AI2413" s="35"/>
      <c r="AJ2413" s="35"/>
      <c r="AK2413" s="35"/>
      <c r="AL2413" s="35"/>
      <c r="AM2413" s="35"/>
    </row>
    <row r="2414" spans="1:39">
      <c r="B2414" s="1011">
        <v>1</v>
      </c>
      <c r="C2414" s="993" t="s">
        <v>5595</v>
      </c>
      <c r="D2414" s="3">
        <v>200100570</v>
      </c>
      <c r="E2414" s="3">
        <v>10793</v>
      </c>
      <c r="F2414" s="802">
        <v>12</v>
      </c>
      <c r="G2414" s="1019"/>
      <c r="H2414" s="8" t="s">
        <v>60</v>
      </c>
      <c r="I2414" s="1019"/>
      <c r="J2414" s="786">
        <v>122.42</v>
      </c>
      <c r="K2414" s="1019"/>
      <c r="L2414" s="1019"/>
      <c r="M2414" s="813" t="s">
        <v>2067</v>
      </c>
      <c r="N2414" s="759">
        <v>44925</v>
      </c>
      <c r="O2414" s="8" t="s">
        <v>62</v>
      </c>
      <c r="P2414" s="1019"/>
      <c r="Q2414" s="882">
        <v>3.71</v>
      </c>
      <c r="R2414" s="1012"/>
      <c r="S2414" s="8"/>
      <c r="T2414" s="8"/>
      <c r="U2414" s="8"/>
      <c r="V2414" s="8"/>
      <c r="W2414" s="759"/>
      <c r="X2414" s="759"/>
      <c r="Y2414" s="759"/>
      <c r="Z2414" s="759"/>
      <c r="AA2414" s="35"/>
      <c r="AB2414" s="35"/>
      <c r="AC2414" s="35"/>
      <c r="AD2414" s="35"/>
      <c r="AE2414" s="35"/>
      <c r="AF2414" s="35"/>
      <c r="AG2414" s="35"/>
      <c r="AH2414" s="35"/>
      <c r="AI2414" s="35"/>
      <c r="AJ2414" s="35"/>
      <c r="AK2414" s="35"/>
      <c r="AL2414" s="35"/>
      <c r="AM2414" s="35"/>
    </row>
    <row r="2415" spans="1:39">
      <c r="B2415" s="1011">
        <v>1</v>
      </c>
      <c r="C2415" s="993" t="s">
        <v>5595</v>
      </c>
      <c r="D2415" s="3">
        <v>200100571</v>
      </c>
      <c r="E2415" s="3">
        <v>10803</v>
      </c>
      <c r="F2415" s="802">
        <v>13</v>
      </c>
      <c r="G2415" s="1019"/>
      <c r="H2415" s="8" t="s">
        <v>60</v>
      </c>
      <c r="I2415" s="1019"/>
      <c r="J2415" s="786">
        <v>123.46</v>
      </c>
      <c r="K2415" s="1019"/>
      <c r="L2415" s="1019"/>
      <c r="M2415" s="813" t="s">
        <v>2067</v>
      </c>
      <c r="N2415" s="759">
        <v>44925</v>
      </c>
      <c r="O2415" s="8" t="s">
        <v>62</v>
      </c>
      <c r="P2415" s="1019"/>
      <c r="Q2415" s="882">
        <v>3.46</v>
      </c>
      <c r="R2415" s="1012"/>
      <c r="S2415" s="8"/>
      <c r="T2415" s="8"/>
      <c r="U2415" s="8"/>
      <c r="V2415" s="8"/>
      <c r="W2415" s="759"/>
      <c r="X2415" s="759"/>
      <c r="Y2415" s="759"/>
      <c r="Z2415" s="759"/>
      <c r="AA2415" s="35"/>
      <c r="AB2415" s="35"/>
      <c r="AC2415" s="35"/>
      <c r="AD2415" s="35"/>
      <c r="AE2415" s="35"/>
      <c r="AF2415" s="35"/>
      <c r="AG2415" s="35"/>
      <c r="AH2415" s="35"/>
      <c r="AI2415" s="35"/>
      <c r="AJ2415" s="35"/>
      <c r="AK2415" s="35"/>
      <c r="AL2415" s="35"/>
      <c r="AM2415" s="35"/>
    </row>
    <row r="2416" spans="1:39" s="707" customFormat="1">
      <c r="A2416"/>
      <c r="B2416" s="978" t="s">
        <v>13</v>
      </c>
      <c r="C2416" s="807" t="s">
        <v>1723</v>
      </c>
      <c r="D2416" s="807"/>
      <c r="E2416" s="807"/>
      <c r="F2416" s="1015"/>
      <c r="G2416" s="9"/>
      <c r="H2416" s="9"/>
      <c r="I2416" s="9"/>
      <c r="J2416" s="985"/>
      <c r="K2416" s="9"/>
      <c r="L2416" s="9"/>
      <c r="M2416" s="1024"/>
      <c r="N2416" s="1025"/>
      <c r="O2416" s="9"/>
      <c r="P2416" s="9"/>
      <c r="Q2416" s="9"/>
      <c r="R2416" s="9"/>
      <c r="S2416" s="9"/>
      <c r="T2416" s="9"/>
      <c r="U2416" s="9"/>
      <c r="V2416" s="9"/>
      <c r="W2416" s="1025"/>
      <c r="X2416" s="1025"/>
      <c r="Y2416" s="1025"/>
      <c r="Z2416" s="1025"/>
      <c r="AA2416" s="1016"/>
      <c r="AB2416" s="1016"/>
      <c r="AC2416" s="1016"/>
      <c r="AD2416" s="1016"/>
      <c r="AE2416" s="1016"/>
      <c r="AF2416" s="1016"/>
      <c r="AG2416" s="1016"/>
      <c r="AH2416" s="1016"/>
      <c r="AI2416" s="1016"/>
      <c r="AJ2416" s="1016"/>
      <c r="AK2416" s="1016"/>
      <c r="AL2416" s="1016"/>
      <c r="AM2416" s="1016"/>
    </row>
    <row r="2417" spans="1:39">
      <c r="B2417" s="1011" t="s">
        <v>163</v>
      </c>
      <c r="C2417" s="993" t="s">
        <v>5595</v>
      </c>
      <c r="D2417" s="3">
        <v>200100897</v>
      </c>
      <c r="E2417" s="1469" t="s">
        <v>5692</v>
      </c>
      <c r="F2417" s="802">
        <v>1</v>
      </c>
      <c r="G2417" s="1019"/>
      <c r="H2417" s="8" t="s">
        <v>60</v>
      </c>
      <c r="I2417" s="1019"/>
      <c r="J2417" s="786">
        <v>124.32</v>
      </c>
      <c r="K2417" s="1019"/>
      <c r="L2417" s="1019"/>
      <c r="M2417" s="813" t="s">
        <v>2125</v>
      </c>
      <c r="N2417" s="759">
        <v>44958</v>
      </c>
      <c r="O2417" s="8" t="s">
        <v>62</v>
      </c>
      <c r="P2417" s="1019"/>
      <c r="Q2417" s="764">
        <v>3.81</v>
      </c>
      <c r="R2417" s="1012"/>
      <c r="S2417" s="8"/>
      <c r="T2417" s="8"/>
      <c r="U2417" s="8"/>
      <c r="V2417" s="8"/>
      <c r="W2417" s="759"/>
      <c r="X2417" s="759"/>
      <c r="Y2417" s="759"/>
      <c r="Z2417" s="759"/>
      <c r="AA2417" s="35"/>
      <c r="AB2417" s="35"/>
      <c r="AC2417" s="35"/>
      <c r="AD2417" s="35"/>
      <c r="AE2417" s="35"/>
      <c r="AF2417" s="35"/>
      <c r="AG2417" s="35"/>
      <c r="AH2417" s="35"/>
      <c r="AI2417" s="35"/>
      <c r="AJ2417" s="35"/>
      <c r="AK2417" s="35"/>
      <c r="AL2417" s="35"/>
      <c r="AM2417" s="35"/>
    </row>
    <row r="2418" spans="1:39">
      <c r="B2418" s="1011" t="s">
        <v>163</v>
      </c>
      <c r="C2418" s="993" t="s">
        <v>5595</v>
      </c>
      <c r="D2418" s="3">
        <v>200100898</v>
      </c>
      <c r="E2418" s="1469" t="s">
        <v>5693</v>
      </c>
      <c r="F2418" s="802">
        <v>2</v>
      </c>
      <c r="G2418" s="1019"/>
      <c r="H2418" s="8" t="s">
        <v>60</v>
      </c>
      <c r="I2418" s="1019"/>
      <c r="J2418" s="786">
        <v>122.42</v>
      </c>
      <c r="K2418" s="1019"/>
      <c r="L2418" s="1019"/>
      <c r="M2418" s="813" t="s">
        <v>2125</v>
      </c>
      <c r="N2418" s="759">
        <v>44958</v>
      </c>
      <c r="O2418" s="8" t="s">
        <v>62</v>
      </c>
      <c r="P2418" s="1019"/>
      <c r="Q2418" s="882">
        <v>3.74</v>
      </c>
      <c r="R2418" s="1012"/>
      <c r="S2418" s="8"/>
      <c r="T2418" s="8"/>
      <c r="U2418" s="8"/>
      <c r="V2418" s="8"/>
      <c r="W2418" s="759"/>
      <c r="X2418" s="759"/>
      <c r="Y2418" s="759"/>
      <c r="Z2418" s="759"/>
      <c r="AA2418" s="35"/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5"/>
      <c r="AM2418" s="35"/>
    </row>
    <row r="2419" spans="1:39">
      <c r="B2419" s="1011" t="s">
        <v>163</v>
      </c>
      <c r="C2419" s="993" t="s">
        <v>5595</v>
      </c>
      <c r="D2419" s="3">
        <v>200100876</v>
      </c>
      <c r="E2419" s="1469" t="s">
        <v>5694</v>
      </c>
      <c r="F2419" s="802">
        <v>3</v>
      </c>
      <c r="G2419" s="1019"/>
      <c r="H2419" s="8" t="s">
        <v>60</v>
      </c>
      <c r="I2419" s="1019"/>
      <c r="J2419" s="785">
        <v>124.58</v>
      </c>
      <c r="K2419" s="1019"/>
      <c r="L2419" s="1019"/>
      <c r="M2419" s="813" t="s">
        <v>2125</v>
      </c>
      <c r="N2419" s="759">
        <v>44958</v>
      </c>
      <c r="O2419" s="8" t="s">
        <v>62</v>
      </c>
      <c r="P2419" s="1019"/>
      <c r="Q2419" s="882">
        <v>3.78</v>
      </c>
      <c r="R2419" s="1012"/>
      <c r="S2419" s="8"/>
      <c r="T2419" s="8"/>
      <c r="U2419" s="8"/>
      <c r="V2419" s="8"/>
      <c r="W2419" s="759"/>
      <c r="X2419" s="759"/>
      <c r="Y2419" s="759"/>
      <c r="Z2419" s="759"/>
      <c r="AA2419" s="35"/>
      <c r="AB2419" s="35"/>
      <c r="AC2419" s="35"/>
      <c r="AD2419" s="35"/>
      <c r="AE2419" s="35"/>
      <c r="AF2419" s="35"/>
      <c r="AG2419" s="35"/>
      <c r="AH2419" s="35"/>
      <c r="AI2419" s="35"/>
      <c r="AJ2419" s="35"/>
      <c r="AK2419" s="35"/>
      <c r="AL2419" s="35"/>
      <c r="AM2419" s="35"/>
    </row>
    <row r="2420" spans="1:39">
      <c r="B2420" s="1011" t="s">
        <v>163</v>
      </c>
      <c r="C2420" s="993" t="s">
        <v>5595</v>
      </c>
      <c r="D2420" s="3">
        <v>200100877</v>
      </c>
      <c r="E2420" s="1469" t="s">
        <v>5695</v>
      </c>
      <c r="F2420" s="802">
        <v>4</v>
      </c>
      <c r="G2420" s="1019"/>
      <c r="H2420" s="8" t="s">
        <v>60</v>
      </c>
      <c r="I2420" s="1019"/>
      <c r="J2420" s="785">
        <v>123.56</v>
      </c>
      <c r="K2420" s="1019"/>
      <c r="L2420" s="1019"/>
      <c r="M2420" s="813" t="s">
        <v>2125</v>
      </c>
      <c r="N2420" s="759">
        <v>44958</v>
      </c>
      <c r="O2420" s="8" t="s">
        <v>62</v>
      </c>
      <c r="P2420" s="1019"/>
      <c r="Q2420" s="882">
        <v>3.66</v>
      </c>
      <c r="R2420" s="1012"/>
      <c r="S2420" s="8"/>
      <c r="T2420" s="8"/>
      <c r="U2420" s="8"/>
      <c r="V2420" s="8"/>
      <c r="W2420" s="759"/>
      <c r="X2420" s="759"/>
      <c r="Y2420" s="759"/>
      <c r="Z2420" s="759"/>
      <c r="AA2420" s="35"/>
      <c r="AB2420" s="35"/>
      <c r="AC2420" s="35"/>
      <c r="AD2420" s="35"/>
      <c r="AE2420" s="35"/>
      <c r="AF2420" s="35"/>
      <c r="AG2420" s="35"/>
      <c r="AH2420" s="35"/>
      <c r="AI2420" s="35"/>
      <c r="AJ2420" s="35"/>
      <c r="AK2420" s="35"/>
      <c r="AL2420" s="35"/>
      <c r="AM2420" s="35"/>
    </row>
    <row r="2421" spans="1:39">
      <c r="B2421" s="1011" t="s">
        <v>163</v>
      </c>
      <c r="C2421" s="993" t="s">
        <v>5595</v>
      </c>
      <c r="D2421" s="3">
        <v>200100878</v>
      </c>
      <c r="E2421" s="1469" t="s">
        <v>5696</v>
      </c>
      <c r="F2421" s="802">
        <v>5</v>
      </c>
      <c r="G2421" s="1019"/>
      <c r="H2421" s="8" t="s">
        <v>60</v>
      </c>
      <c r="I2421" s="1019"/>
      <c r="J2421" s="786">
        <v>123.3</v>
      </c>
      <c r="K2421" s="1019"/>
      <c r="L2421" s="1019"/>
      <c r="M2421" s="813" t="s">
        <v>2125</v>
      </c>
      <c r="N2421" s="759">
        <v>44958</v>
      </c>
      <c r="O2421" s="8" t="s">
        <v>62</v>
      </c>
      <c r="P2421" s="1019"/>
      <c r="Q2421" s="882">
        <v>3.8</v>
      </c>
      <c r="R2421" s="1012"/>
      <c r="S2421" s="8"/>
      <c r="T2421" s="8"/>
      <c r="U2421" s="8"/>
      <c r="V2421" s="8"/>
      <c r="W2421" s="759"/>
      <c r="X2421" s="759"/>
      <c r="Y2421" s="759"/>
      <c r="Z2421" s="759"/>
      <c r="AA2421" s="35"/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5"/>
      <c r="AM2421" s="35"/>
    </row>
    <row r="2422" spans="1:39">
      <c r="B2422" s="1011" t="s">
        <v>163</v>
      </c>
      <c r="C2422" s="993" t="s">
        <v>5595</v>
      </c>
      <c r="D2422" s="3">
        <v>200100879</v>
      </c>
      <c r="E2422" s="1469" t="s">
        <v>5697</v>
      </c>
      <c r="F2422" s="802">
        <v>6</v>
      </c>
      <c r="G2422" s="1019"/>
      <c r="H2422" s="8" t="s">
        <v>60</v>
      </c>
      <c r="I2422" s="1019"/>
      <c r="J2422" s="785">
        <v>123.59</v>
      </c>
      <c r="K2422" s="1019"/>
      <c r="L2422" s="1019"/>
      <c r="M2422" s="813" t="s">
        <v>2125</v>
      </c>
      <c r="N2422" s="759">
        <v>44958</v>
      </c>
      <c r="O2422" s="8" t="s">
        <v>62</v>
      </c>
      <c r="P2422" s="1019"/>
      <c r="Q2422" s="882">
        <v>3.6</v>
      </c>
      <c r="R2422" s="1012"/>
      <c r="S2422" s="8"/>
      <c r="T2422" s="8"/>
      <c r="U2422" s="8"/>
      <c r="V2422" s="8"/>
      <c r="W2422" s="759"/>
      <c r="X2422" s="759"/>
      <c r="Y2422" s="759"/>
      <c r="Z2422" s="759"/>
      <c r="AA2422" s="35"/>
      <c r="AB2422" s="35"/>
      <c r="AC2422" s="35"/>
      <c r="AD2422" s="35"/>
      <c r="AE2422" s="35"/>
      <c r="AF2422" s="35"/>
      <c r="AG2422" s="35"/>
      <c r="AH2422" s="35"/>
      <c r="AI2422" s="35"/>
      <c r="AJ2422" s="35"/>
      <c r="AK2422" s="35"/>
      <c r="AL2422" s="35"/>
      <c r="AM2422" s="35"/>
    </row>
    <row r="2423" spans="1:39">
      <c r="B2423" s="1011" t="s">
        <v>163</v>
      </c>
      <c r="C2423" s="993" t="s">
        <v>5595</v>
      </c>
      <c r="D2423" s="3">
        <v>200100940</v>
      </c>
      <c r="E2423" s="1469" t="s">
        <v>5698</v>
      </c>
      <c r="F2423" s="802">
        <v>7</v>
      </c>
      <c r="G2423" s="1019"/>
      <c r="H2423" s="8" t="s">
        <v>60</v>
      </c>
      <c r="I2423" s="1019"/>
      <c r="J2423" s="785">
        <v>123.71</v>
      </c>
      <c r="K2423" s="1019"/>
      <c r="L2423" s="1019"/>
      <c r="M2423" s="813" t="s">
        <v>2125</v>
      </c>
      <c r="N2423" s="759">
        <v>44958</v>
      </c>
      <c r="O2423" s="8" t="s">
        <v>62</v>
      </c>
      <c r="P2423" s="1019"/>
      <c r="Q2423" s="882">
        <v>3.47</v>
      </c>
      <c r="R2423" s="1012"/>
      <c r="S2423" s="8"/>
      <c r="T2423" s="8"/>
      <c r="U2423" s="8"/>
      <c r="V2423" s="8"/>
      <c r="W2423" s="759"/>
      <c r="X2423" s="759"/>
      <c r="Y2423" s="759"/>
      <c r="Z2423" s="759"/>
      <c r="AA2423" s="35"/>
      <c r="AB2423" s="35"/>
      <c r="AC2423" s="35"/>
      <c r="AD2423" s="35"/>
      <c r="AE2423" s="35"/>
      <c r="AF2423" s="35"/>
      <c r="AG2423" s="35"/>
      <c r="AH2423" s="35"/>
      <c r="AI2423" s="35"/>
      <c r="AJ2423" s="35"/>
      <c r="AK2423" s="35"/>
      <c r="AL2423" s="35"/>
      <c r="AM2423" s="35"/>
    </row>
    <row r="2424" spans="1:39">
      <c r="B2424" s="1011" t="s">
        <v>163</v>
      </c>
      <c r="C2424" s="993" t="s">
        <v>5595</v>
      </c>
      <c r="D2424" s="3">
        <v>200100941</v>
      </c>
      <c r="E2424" s="1469" t="s">
        <v>5699</v>
      </c>
      <c r="F2424" s="802">
        <v>8</v>
      </c>
      <c r="G2424" s="1019"/>
      <c r="H2424" s="8" t="s">
        <v>60</v>
      </c>
      <c r="I2424" s="1019"/>
      <c r="J2424" s="785">
        <v>125.88</v>
      </c>
      <c r="K2424" s="1019"/>
      <c r="L2424" s="1019"/>
      <c r="M2424" s="813" t="s">
        <v>2125</v>
      </c>
      <c r="N2424" s="759">
        <v>44958</v>
      </c>
      <c r="O2424" s="8" t="s">
        <v>62</v>
      </c>
      <c r="P2424" s="1019"/>
      <c r="Q2424" s="882">
        <v>3.6</v>
      </c>
      <c r="R2424" s="1012"/>
      <c r="S2424" s="8"/>
      <c r="T2424" s="8"/>
      <c r="U2424" s="8"/>
      <c r="V2424" s="8"/>
      <c r="W2424" s="759"/>
      <c r="X2424" s="759"/>
      <c r="Y2424" s="759"/>
      <c r="Z2424" s="759"/>
      <c r="AA2424" s="35"/>
      <c r="AB2424" s="35"/>
      <c r="AC2424" s="35"/>
      <c r="AD2424" s="35"/>
      <c r="AE2424" s="35"/>
      <c r="AF2424" s="35"/>
      <c r="AG2424" s="35"/>
      <c r="AH2424" s="35"/>
      <c r="AI2424" s="35"/>
      <c r="AJ2424" s="35"/>
      <c r="AK2424" s="35"/>
      <c r="AL2424" s="35"/>
      <c r="AM2424" s="35"/>
    </row>
    <row r="2425" spans="1:39">
      <c r="B2425" s="1011" t="s">
        <v>163</v>
      </c>
      <c r="C2425" s="993" t="s">
        <v>5595</v>
      </c>
      <c r="D2425" s="3">
        <v>200100942</v>
      </c>
      <c r="E2425" s="1469" t="s">
        <v>5700</v>
      </c>
      <c r="F2425" s="802">
        <v>9</v>
      </c>
      <c r="G2425" s="1019"/>
      <c r="H2425" s="8" t="s">
        <v>60</v>
      </c>
      <c r="I2425" s="1019"/>
      <c r="J2425" s="786">
        <v>122.14</v>
      </c>
      <c r="K2425" s="1019"/>
      <c r="L2425" s="1019"/>
      <c r="M2425" s="813" t="s">
        <v>2125</v>
      </c>
      <c r="N2425" s="759">
        <v>44960</v>
      </c>
      <c r="O2425" s="8" t="s">
        <v>62</v>
      </c>
      <c r="P2425" s="1019"/>
      <c r="Q2425" s="882">
        <v>3.76</v>
      </c>
      <c r="R2425" s="1012"/>
      <c r="S2425" s="8"/>
      <c r="T2425" s="8"/>
      <c r="U2425" s="8"/>
      <c r="V2425" s="8"/>
      <c r="W2425" s="759"/>
      <c r="X2425" s="759"/>
      <c r="Y2425" s="759"/>
      <c r="Z2425" s="759"/>
      <c r="AA2425" s="35"/>
      <c r="AB2425" s="35"/>
      <c r="AC2425" s="35"/>
      <c r="AD2425" s="35"/>
      <c r="AE2425" s="35"/>
      <c r="AF2425" s="35"/>
      <c r="AG2425" s="35"/>
      <c r="AH2425" s="35"/>
      <c r="AI2425" s="35"/>
      <c r="AJ2425" s="35"/>
      <c r="AK2425" s="35"/>
      <c r="AL2425" s="35"/>
      <c r="AM2425" s="35"/>
    </row>
    <row r="2426" spans="1:39">
      <c r="B2426" s="1011" t="s">
        <v>163</v>
      </c>
      <c r="C2426" s="993" t="s">
        <v>5595</v>
      </c>
      <c r="D2426" s="3">
        <v>200100943</v>
      </c>
      <c r="E2426" s="1469" t="s">
        <v>5701</v>
      </c>
      <c r="F2426" s="802">
        <v>10</v>
      </c>
      <c r="G2426" s="1019"/>
      <c r="H2426" s="8" t="s">
        <v>60</v>
      </c>
      <c r="I2426" s="1019"/>
      <c r="J2426" s="785">
        <v>121.73</v>
      </c>
      <c r="K2426" s="1019"/>
      <c r="L2426" s="1019"/>
      <c r="M2426" s="813" t="s">
        <v>2125</v>
      </c>
      <c r="N2426" s="759">
        <v>44960</v>
      </c>
      <c r="O2426" s="8" t="s">
        <v>62</v>
      </c>
      <c r="P2426" s="1019"/>
      <c r="Q2426" s="882">
        <v>3.64</v>
      </c>
      <c r="R2426" s="1012"/>
      <c r="S2426" s="8"/>
      <c r="T2426" s="8"/>
      <c r="U2426" s="8"/>
      <c r="V2426" s="8"/>
      <c r="W2426" s="759"/>
      <c r="X2426" s="759"/>
      <c r="Y2426" s="759"/>
      <c r="Z2426" s="759"/>
      <c r="AA2426" s="35"/>
      <c r="AB2426" s="35"/>
      <c r="AC2426" s="35"/>
      <c r="AD2426" s="35"/>
      <c r="AE2426" s="35"/>
      <c r="AF2426" s="35"/>
      <c r="AG2426" s="35"/>
      <c r="AH2426" s="35"/>
      <c r="AI2426" s="35"/>
      <c r="AJ2426" s="35"/>
      <c r="AK2426" s="35"/>
      <c r="AL2426" s="35"/>
      <c r="AM2426" s="35"/>
    </row>
    <row r="2427" spans="1:39">
      <c r="B2427" s="1011" t="s">
        <v>163</v>
      </c>
      <c r="C2427" s="993" t="s">
        <v>5595</v>
      </c>
      <c r="D2427" s="3">
        <v>200100944</v>
      </c>
      <c r="E2427" s="1469" t="s">
        <v>5702</v>
      </c>
      <c r="F2427" s="802">
        <v>11</v>
      </c>
      <c r="G2427" s="1019"/>
      <c r="H2427" s="8" t="s">
        <v>60</v>
      </c>
      <c r="I2427" s="1019"/>
      <c r="J2427" s="786">
        <v>123.11</v>
      </c>
      <c r="K2427" s="1019"/>
      <c r="L2427" s="1019"/>
      <c r="M2427" s="813" t="s">
        <v>2125</v>
      </c>
      <c r="N2427" s="759">
        <v>44960</v>
      </c>
      <c r="O2427" s="8" t="s">
        <v>62</v>
      </c>
      <c r="P2427" s="1019"/>
      <c r="Q2427" s="882">
        <v>3.8</v>
      </c>
      <c r="R2427" s="1012"/>
      <c r="S2427" s="8"/>
      <c r="T2427" s="8"/>
      <c r="U2427" s="8"/>
      <c r="V2427" s="8"/>
      <c r="W2427" s="759"/>
      <c r="X2427" s="759"/>
      <c r="Y2427" s="759"/>
      <c r="Z2427" s="759"/>
      <c r="AA2427" s="35"/>
      <c r="AB2427" s="35"/>
      <c r="AC2427" s="35"/>
      <c r="AD2427" s="35"/>
      <c r="AE2427" s="35"/>
      <c r="AF2427" s="35"/>
      <c r="AG2427" s="35"/>
      <c r="AH2427" s="35"/>
      <c r="AI2427" s="35"/>
      <c r="AJ2427" s="35"/>
      <c r="AK2427" s="35"/>
      <c r="AL2427" s="35"/>
      <c r="AM2427" s="35"/>
    </row>
    <row r="2428" spans="1:39">
      <c r="B2428" s="1011" t="s">
        <v>163</v>
      </c>
      <c r="C2428" s="993" t="s">
        <v>5595</v>
      </c>
      <c r="D2428" s="3">
        <v>200100945</v>
      </c>
      <c r="E2428" s="1469" t="s">
        <v>5703</v>
      </c>
      <c r="F2428" s="802">
        <v>12</v>
      </c>
      <c r="G2428" s="1019"/>
      <c r="H2428" s="8" t="s">
        <v>60</v>
      </c>
      <c r="I2428" s="1019"/>
      <c r="J2428" s="786">
        <v>124.1</v>
      </c>
      <c r="K2428" s="1019"/>
      <c r="L2428" s="1019"/>
      <c r="M2428" s="813" t="s">
        <v>2125</v>
      </c>
      <c r="N2428" s="759">
        <v>44960</v>
      </c>
      <c r="O2428" s="8" t="s">
        <v>62</v>
      </c>
      <c r="P2428" s="1019"/>
      <c r="Q2428" s="882">
        <v>3.82</v>
      </c>
      <c r="R2428" s="1012"/>
      <c r="S2428" s="8"/>
      <c r="T2428" s="8"/>
      <c r="U2428" s="8"/>
      <c r="V2428" s="8"/>
      <c r="W2428" s="759"/>
      <c r="X2428" s="759"/>
      <c r="Y2428" s="759"/>
      <c r="Z2428" s="759"/>
      <c r="AA2428" s="35"/>
      <c r="AB2428" s="35"/>
      <c r="AC2428" s="35"/>
      <c r="AD2428" s="35"/>
      <c r="AE2428" s="35"/>
      <c r="AF2428" s="35"/>
      <c r="AG2428" s="35"/>
      <c r="AH2428" s="35"/>
      <c r="AI2428" s="35"/>
      <c r="AJ2428" s="35"/>
      <c r="AK2428" s="35"/>
      <c r="AL2428" s="35"/>
      <c r="AM2428" s="35"/>
    </row>
    <row r="2429" spans="1:39">
      <c r="B2429" s="1011" t="s">
        <v>163</v>
      </c>
      <c r="C2429" s="993" t="s">
        <v>5595</v>
      </c>
      <c r="D2429" s="3">
        <v>200100974</v>
      </c>
      <c r="E2429" s="12" t="s">
        <v>5704</v>
      </c>
      <c r="F2429" s="802">
        <v>13</v>
      </c>
      <c r="G2429" s="1019"/>
      <c r="H2429" s="8" t="s">
        <v>60</v>
      </c>
      <c r="I2429" s="1019"/>
      <c r="J2429" s="786">
        <v>122.46</v>
      </c>
      <c r="K2429" s="1019"/>
      <c r="L2429" s="1019"/>
      <c r="M2429" s="813" t="s">
        <v>2125</v>
      </c>
      <c r="N2429" s="759">
        <v>44960</v>
      </c>
      <c r="O2429" s="8" t="s">
        <v>62</v>
      </c>
      <c r="P2429" s="1019"/>
      <c r="Q2429" s="882">
        <v>3.49</v>
      </c>
      <c r="R2429" s="1012"/>
      <c r="S2429" s="8"/>
      <c r="T2429" s="8"/>
      <c r="U2429" s="8"/>
      <c r="V2429" s="8"/>
      <c r="W2429" s="759"/>
      <c r="X2429" s="759"/>
      <c r="Y2429" s="759"/>
      <c r="Z2429" s="759"/>
      <c r="AA2429" s="35"/>
      <c r="AB2429" s="35"/>
      <c r="AC2429" s="35"/>
      <c r="AD2429" s="35"/>
      <c r="AE2429" s="35"/>
      <c r="AF2429" s="35"/>
      <c r="AG2429" s="35"/>
      <c r="AH2429" s="35"/>
      <c r="AI2429" s="35"/>
      <c r="AJ2429" s="35"/>
      <c r="AK2429" s="35"/>
      <c r="AL2429" s="35"/>
      <c r="AM2429" s="35"/>
    </row>
    <row r="2430" spans="1:39">
      <c r="B2430" s="1011" t="s">
        <v>163</v>
      </c>
      <c r="C2430" s="993" t="s">
        <v>5595</v>
      </c>
      <c r="D2430" s="3">
        <v>200100975</v>
      </c>
      <c r="E2430" s="12" t="s">
        <v>5705</v>
      </c>
      <c r="F2430" s="802">
        <v>14</v>
      </c>
      <c r="G2430" s="1019"/>
      <c r="H2430" s="8" t="s">
        <v>60</v>
      </c>
      <c r="I2430" s="1019"/>
      <c r="J2430" s="786" t="s">
        <v>5706</v>
      </c>
      <c r="K2430" s="1019"/>
      <c r="L2430" s="1019"/>
      <c r="M2430" s="813" t="s">
        <v>2125</v>
      </c>
      <c r="N2430" s="759">
        <v>44960</v>
      </c>
      <c r="O2430" s="8" t="s">
        <v>62</v>
      </c>
      <c r="P2430" s="1019"/>
      <c r="Q2430" s="882">
        <v>3.44</v>
      </c>
      <c r="R2430" s="1012"/>
      <c r="S2430" s="8"/>
      <c r="T2430" s="8"/>
      <c r="U2430" s="8"/>
      <c r="V2430" s="8"/>
      <c r="W2430" s="759"/>
      <c r="X2430" s="759"/>
      <c r="Y2430" s="759"/>
      <c r="Z2430" s="759"/>
      <c r="AA2430" s="35"/>
      <c r="AB2430" s="35"/>
      <c r="AC2430" s="35"/>
      <c r="AD2430" s="35"/>
      <c r="AE2430" s="35"/>
      <c r="AF2430" s="35"/>
      <c r="AG2430" s="35"/>
      <c r="AH2430" s="35"/>
      <c r="AI2430" s="35"/>
      <c r="AJ2430" s="35"/>
      <c r="AK2430" s="35"/>
      <c r="AL2430" s="35"/>
      <c r="AM2430" s="35"/>
    </row>
    <row r="2431" spans="1:39" s="707" customFormat="1">
      <c r="A2431"/>
      <c r="B2431" s="978" t="s">
        <v>13</v>
      </c>
      <c r="C2431" s="807" t="s">
        <v>1716</v>
      </c>
      <c r="D2431" s="807"/>
      <c r="E2431" s="875"/>
      <c r="F2431" s="1015"/>
      <c r="G2431" s="9"/>
      <c r="H2431" s="9"/>
      <c r="I2431" s="9"/>
      <c r="J2431" s="985"/>
      <c r="K2431" s="9"/>
      <c r="L2431" s="9"/>
      <c r="M2431" s="1024"/>
      <c r="N2431" s="1025"/>
      <c r="O2431" s="9"/>
      <c r="P2431" s="9"/>
      <c r="Q2431" s="9"/>
      <c r="R2431" s="9"/>
      <c r="S2431" s="9"/>
      <c r="T2431" s="9"/>
      <c r="U2431" s="9"/>
      <c r="V2431" s="9"/>
      <c r="W2431" s="1025"/>
      <c r="X2431" s="1025"/>
      <c r="Y2431" s="1025"/>
      <c r="Z2431" s="1025"/>
      <c r="AA2431" s="1016"/>
      <c r="AB2431" s="1016"/>
      <c r="AC2431" s="1016"/>
      <c r="AD2431" s="1016"/>
      <c r="AE2431" s="1016"/>
      <c r="AF2431" s="1016"/>
      <c r="AG2431" s="1016"/>
      <c r="AH2431" s="1016"/>
      <c r="AI2431" s="1016"/>
      <c r="AJ2431" s="1016"/>
      <c r="AK2431" s="1016"/>
      <c r="AL2431" s="1016"/>
      <c r="AM2431" s="1016"/>
    </row>
    <row r="2432" spans="1:39">
      <c r="B2432" s="1011">
        <v>3</v>
      </c>
      <c r="C2432" s="993" t="s">
        <v>5595</v>
      </c>
      <c r="D2432" s="3">
        <v>200101206</v>
      </c>
      <c r="E2432" s="12" t="s">
        <v>5707</v>
      </c>
      <c r="F2432" s="802">
        <v>1</v>
      </c>
      <c r="G2432" s="1019"/>
      <c r="H2432" s="8" t="s">
        <v>1726</v>
      </c>
      <c r="I2432" s="1019"/>
      <c r="J2432" s="786">
        <v>121.16</v>
      </c>
      <c r="K2432" s="1019"/>
      <c r="L2432" s="1019"/>
      <c r="M2432" s="813" t="s">
        <v>2125</v>
      </c>
      <c r="N2432" s="759">
        <v>44979</v>
      </c>
      <c r="O2432" s="8" t="s">
        <v>62</v>
      </c>
      <c r="P2432" s="1019"/>
      <c r="Q2432" s="882">
        <v>3.69</v>
      </c>
      <c r="R2432" s="1012"/>
      <c r="S2432" s="8"/>
      <c r="T2432" s="8"/>
      <c r="U2432" s="8"/>
      <c r="V2432" s="8"/>
      <c r="W2432" s="759"/>
      <c r="X2432" s="759"/>
      <c r="Y2432" s="759"/>
      <c r="Z2432" s="759"/>
      <c r="AA2432" s="35"/>
      <c r="AB2432" s="35"/>
      <c r="AC2432" s="35"/>
      <c r="AD2432" s="35"/>
      <c r="AE2432" s="35"/>
      <c r="AF2432" s="35"/>
      <c r="AG2432" s="35"/>
      <c r="AH2432" s="35"/>
      <c r="AI2432" s="35"/>
      <c r="AJ2432" s="35"/>
      <c r="AK2432" s="35"/>
      <c r="AL2432" s="35"/>
      <c r="AM2432" s="35"/>
    </row>
    <row r="2433" spans="1:39">
      <c r="B2433" s="1011">
        <v>3</v>
      </c>
      <c r="C2433" s="993" t="s">
        <v>5595</v>
      </c>
      <c r="D2433" s="3">
        <v>200101207</v>
      </c>
      <c r="E2433" s="12" t="s">
        <v>5708</v>
      </c>
      <c r="F2433" s="802">
        <v>2</v>
      </c>
      <c r="G2433" s="1019"/>
      <c r="H2433" s="8" t="s">
        <v>1726</v>
      </c>
      <c r="I2433" s="1019"/>
      <c r="J2433" s="786">
        <v>121.58</v>
      </c>
      <c r="K2433" s="1019"/>
      <c r="L2433" s="1019"/>
      <c r="M2433" s="813" t="s">
        <v>2125</v>
      </c>
      <c r="N2433" s="759">
        <v>44979</v>
      </c>
      <c r="O2433" s="8" t="s">
        <v>62</v>
      </c>
      <c r="P2433" s="1019"/>
      <c r="Q2433" s="882">
        <v>3.58</v>
      </c>
      <c r="R2433" s="1012"/>
      <c r="S2433" s="8"/>
      <c r="T2433" s="8"/>
      <c r="U2433" s="8"/>
      <c r="V2433" s="8"/>
      <c r="W2433" s="759"/>
      <c r="X2433" s="759"/>
      <c r="Y2433" s="759"/>
      <c r="Z2433" s="759"/>
      <c r="AA2433" s="35"/>
      <c r="AB2433" s="35"/>
      <c r="AC2433" s="35"/>
      <c r="AD2433" s="35"/>
      <c r="AE2433" s="35"/>
      <c r="AF2433" s="35"/>
      <c r="AG2433" s="35"/>
      <c r="AH2433" s="35"/>
      <c r="AI2433" s="35"/>
      <c r="AJ2433" s="35"/>
      <c r="AK2433" s="35"/>
      <c r="AL2433" s="35"/>
      <c r="AM2433" s="35"/>
    </row>
    <row r="2434" spans="1:39">
      <c r="B2434" s="1011">
        <v>3</v>
      </c>
      <c r="C2434" s="993" t="s">
        <v>5595</v>
      </c>
      <c r="D2434" s="3">
        <v>200101208</v>
      </c>
      <c r="E2434" s="12" t="s">
        <v>5709</v>
      </c>
      <c r="F2434" s="802">
        <v>3</v>
      </c>
      <c r="G2434" s="1019"/>
      <c r="H2434" s="8" t="s">
        <v>1726</v>
      </c>
      <c r="I2434" s="1019"/>
      <c r="J2434" s="786">
        <v>123.06</v>
      </c>
      <c r="K2434" s="1019"/>
      <c r="L2434" s="1019"/>
      <c r="M2434" s="813" t="s">
        <v>2125</v>
      </c>
      <c r="N2434" s="759">
        <v>44979</v>
      </c>
      <c r="O2434" s="8" t="s">
        <v>62</v>
      </c>
      <c r="P2434" s="1019"/>
      <c r="Q2434" s="882">
        <v>3.44</v>
      </c>
      <c r="R2434" s="1012"/>
      <c r="S2434" s="8"/>
      <c r="T2434" s="8"/>
      <c r="U2434" s="8"/>
      <c r="V2434" s="8"/>
      <c r="W2434" s="759"/>
      <c r="X2434" s="759"/>
      <c r="Y2434" s="759"/>
      <c r="Z2434" s="759"/>
      <c r="AA2434" s="35"/>
      <c r="AB2434" s="35"/>
      <c r="AC2434" s="35"/>
      <c r="AD2434" s="35"/>
      <c r="AE2434" s="35"/>
      <c r="AF2434" s="35"/>
      <c r="AG2434" s="35"/>
      <c r="AH2434" s="35"/>
      <c r="AI2434" s="35"/>
      <c r="AJ2434" s="35"/>
      <c r="AK2434" s="35"/>
      <c r="AL2434" s="35"/>
      <c r="AM2434" s="35"/>
    </row>
    <row r="2435" spans="1:39">
      <c r="B2435" s="1011">
        <v>3</v>
      </c>
      <c r="C2435" s="993" t="s">
        <v>5595</v>
      </c>
      <c r="D2435" s="3">
        <v>200101209</v>
      </c>
      <c r="E2435" s="12" t="s">
        <v>5710</v>
      </c>
      <c r="F2435" s="802">
        <v>4</v>
      </c>
      <c r="G2435" s="1019"/>
      <c r="H2435" s="8" t="s">
        <v>1726</v>
      </c>
      <c r="I2435" s="1019"/>
      <c r="J2435" s="786">
        <v>124.03</v>
      </c>
      <c r="K2435" s="1019"/>
      <c r="L2435" s="1019"/>
      <c r="M2435" s="813" t="s">
        <v>2125</v>
      </c>
      <c r="N2435" s="759">
        <v>44979</v>
      </c>
      <c r="O2435" s="8" t="s">
        <v>62</v>
      </c>
      <c r="P2435" s="1019"/>
      <c r="Q2435" s="882">
        <v>3.65</v>
      </c>
      <c r="R2435" s="1012"/>
      <c r="S2435" s="8"/>
      <c r="T2435" s="8"/>
      <c r="U2435" s="8"/>
      <c r="V2435" s="8"/>
      <c r="W2435" s="759"/>
      <c r="X2435" s="759"/>
      <c r="Y2435" s="759"/>
      <c r="Z2435" s="759"/>
      <c r="AA2435" s="35"/>
      <c r="AB2435" s="35"/>
      <c r="AC2435" s="35"/>
      <c r="AD2435" s="35"/>
      <c r="AE2435" s="35"/>
      <c r="AF2435" s="35"/>
      <c r="AG2435" s="35"/>
      <c r="AH2435" s="35"/>
      <c r="AI2435" s="35"/>
      <c r="AJ2435" s="35"/>
      <c r="AK2435" s="35"/>
      <c r="AL2435" s="35"/>
      <c r="AM2435" s="35"/>
    </row>
    <row r="2436" spans="1:39">
      <c r="B2436" s="1011">
        <v>3</v>
      </c>
      <c r="C2436" s="993" t="s">
        <v>5595</v>
      </c>
      <c r="D2436" s="3">
        <v>200101210</v>
      </c>
      <c r="E2436" s="12" t="s">
        <v>5711</v>
      </c>
      <c r="F2436" s="802">
        <v>5</v>
      </c>
      <c r="G2436" s="1019"/>
      <c r="H2436" s="8" t="s">
        <v>1726</v>
      </c>
      <c r="I2436" s="1019"/>
      <c r="J2436" s="786">
        <v>122.79</v>
      </c>
      <c r="K2436" s="1019"/>
      <c r="L2436" s="1019"/>
      <c r="M2436" s="813" t="s">
        <v>2125</v>
      </c>
      <c r="N2436" s="759">
        <v>44979</v>
      </c>
      <c r="O2436" s="8" t="s">
        <v>62</v>
      </c>
      <c r="P2436" s="1019"/>
      <c r="Q2436" s="882">
        <v>3.66</v>
      </c>
      <c r="R2436" s="1012"/>
      <c r="S2436" s="8"/>
      <c r="T2436" s="8"/>
      <c r="U2436" s="8"/>
      <c r="V2436" s="8"/>
      <c r="W2436" s="759"/>
      <c r="X2436" s="759"/>
      <c r="Y2436" s="759"/>
      <c r="Z2436" s="759"/>
      <c r="AA2436" s="35"/>
      <c r="AB2436" s="35"/>
      <c r="AC2436" s="35"/>
      <c r="AD2436" s="35"/>
      <c r="AE2436" s="35"/>
      <c r="AF2436" s="35"/>
      <c r="AG2436" s="35"/>
      <c r="AH2436" s="35"/>
      <c r="AI2436" s="35"/>
      <c r="AJ2436" s="35"/>
      <c r="AK2436" s="35"/>
      <c r="AL2436" s="35"/>
      <c r="AM2436" s="35"/>
    </row>
    <row r="2437" spans="1:39">
      <c r="B2437" s="1011">
        <v>3</v>
      </c>
      <c r="C2437" s="993" t="s">
        <v>5595</v>
      </c>
      <c r="D2437" s="3">
        <v>200101211</v>
      </c>
      <c r="E2437" s="12" t="s">
        <v>5712</v>
      </c>
      <c r="F2437" s="802">
        <v>6</v>
      </c>
      <c r="G2437" s="1019"/>
      <c r="H2437" s="8" t="s">
        <v>1726</v>
      </c>
      <c r="I2437" s="1019"/>
      <c r="J2437" s="786">
        <v>123.77</v>
      </c>
      <c r="K2437" s="1019"/>
      <c r="L2437" s="1019"/>
      <c r="M2437" s="813" t="s">
        <v>2125</v>
      </c>
      <c r="N2437" s="759">
        <v>44979</v>
      </c>
      <c r="O2437" s="8" t="s">
        <v>62</v>
      </c>
      <c r="P2437" s="1019"/>
      <c r="Q2437" s="882">
        <v>3.52</v>
      </c>
      <c r="R2437" s="1012"/>
      <c r="S2437" s="8"/>
      <c r="T2437" s="8"/>
      <c r="U2437" s="8"/>
      <c r="V2437" s="8"/>
      <c r="W2437" s="759"/>
      <c r="X2437" s="759"/>
      <c r="Y2437" s="759"/>
      <c r="Z2437" s="759"/>
      <c r="AA2437" s="35"/>
      <c r="AB2437" s="35"/>
      <c r="AC2437" s="35"/>
      <c r="AD2437" s="35"/>
      <c r="AE2437" s="35"/>
      <c r="AF2437" s="35"/>
      <c r="AG2437" s="35"/>
      <c r="AH2437" s="35"/>
      <c r="AI2437" s="35"/>
      <c r="AJ2437" s="35"/>
      <c r="AK2437" s="35"/>
      <c r="AL2437" s="35"/>
      <c r="AM2437" s="35"/>
    </row>
    <row r="2438" spans="1:39" s="707" customFormat="1">
      <c r="A2438"/>
      <c r="B2438" s="978" t="s">
        <v>13</v>
      </c>
      <c r="C2438" s="807" t="s">
        <v>2226</v>
      </c>
      <c r="D2438" s="807"/>
      <c r="E2438" s="875"/>
      <c r="F2438" s="1015"/>
      <c r="G2438" s="9"/>
      <c r="H2438" s="9"/>
      <c r="I2438" s="9"/>
      <c r="J2438" s="985"/>
      <c r="K2438" s="9"/>
      <c r="L2438" s="9"/>
      <c r="M2438" s="1024"/>
      <c r="N2438" s="1025"/>
      <c r="O2438" s="9"/>
      <c r="P2438" s="9"/>
      <c r="Q2438" s="9"/>
      <c r="R2438" s="9"/>
      <c r="S2438" s="9"/>
      <c r="T2438" s="9"/>
      <c r="U2438" s="9"/>
      <c r="V2438" s="9"/>
      <c r="W2438" s="1025"/>
      <c r="X2438" s="1025"/>
      <c r="Y2438" s="1025"/>
      <c r="Z2438" s="1025"/>
      <c r="AA2438" s="1016"/>
      <c r="AB2438" s="1016"/>
      <c r="AC2438" s="1016"/>
      <c r="AD2438" s="1016"/>
      <c r="AE2438" s="1016"/>
      <c r="AF2438" s="1016"/>
      <c r="AG2438" s="1016"/>
      <c r="AH2438" s="1016"/>
      <c r="AI2438" s="1016"/>
      <c r="AJ2438" s="1016"/>
      <c r="AK2438" s="1016"/>
      <c r="AL2438" s="1016"/>
      <c r="AM2438" s="1016"/>
    </row>
    <row r="2439" spans="1:39">
      <c r="B2439" s="1011">
        <v>4</v>
      </c>
      <c r="C2439" s="993" t="s">
        <v>5595</v>
      </c>
      <c r="D2439" s="3">
        <v>200101469</v>
      </c>
      <c r="E2439" s="1500" t="s">
        <v>5713</v>
      </c>
      <c r="F2439" s="802">
        <v>1</v>
      </c>
      <c r="G2439" s="1019"/>
      <c r="H2439" s="8" t="s">
        <v>1041</v>
      </c>
      <c r="I2439" s="1019"/>
      <c r="J2439" s="814">
        <v>122.45</v>
      </c>
      <c r="K2439" s="1019"/>
      <c r="L2439" s="1019"/>
      <c r="M2439" s="813" t="s">
        <v>2185</v>
      </c>
      <c r="N2439" s="759">
        <v>45009</v>
      </c>
      <c r="O2439" s="8" t="s">
        <v>62</v>
      </c>
      <c r="P2439" s="1019"/>
      <c r="Q2439" s="882">
        <v>3.8</v>
      </c>
      <c r="R2439" s="1012"/>
      <c r="S2439" s="8"/>
      <c r="T2439" s="8"/>
      <c r="U2439" s="8"/>
      <c r="V2439" s="8"/>
      <c r="W2439" s="759"/>
      <c r="X2439" s="759"/>
      <c r="Y2439" s="759"/>
      <c r="Z2439" s="759"/>
      <c r="AA2439" s="35"/>
      <c r="AB2439" s="35"/>
      <c r="AC2439" s="35"/>
      <c r="AD2439" s="35"/>
      <c r="AE2439" s="35"/>
      <c r="AF2439" s="35"/>
      <c r="AG2439" s="35"/>
      <c r="AH2439" s="35"/>
      <c r="AI2439" s="35"/>
      <c r="AJ2439" s="35"/>
      <c r="AK2439" s="35"/>
      <c r="AL2439" s="35"/>
      <c r="AM2439" s="35"/>
    </row>
    <row r="2440" spans="1:39">
      <c r="B2440" s="1011">
        <v>4</v>
      </c>
      <c r="C2440" s="993" t="s">
        <v>5595</v>
      </c>
      <c r="D2440" s="3">
        <v>200101470</v>
      </c>
      <c r="E2440" s="1500" t="s">
        <v>5714</v>
      </c>
      <c r="F2440" s="802">
        <v>2</v>
      </c>
      <c r="G2440" s="1019"/>
      <c r="H2440" s="8" t="s">
        <v>1041</v>
      </c>
      <c r="I2440" s="1019"/>
      <c r="J2440" s="814">
        <v>122.48</v>
      </c>
      <c r="K2440" s="1019"/>
      <c r="L2440" s="1019"/>
      <c r="M2440" s="813" t="s">
        <v>2185</v>
      </c>
      <c r="N2440" s="759">
        <v>45009</v>
      </c>
      <c r="O2440" s="8" t="s">
        <v>62</v>
      </c>
      <c r="P2440" s="1019"/>
      <c r="Q2440" s="882">
        <v>3.4</v>
      </c>
      <c r="R2440" s="1012"/>
      <c r="S2440" s="8"/>
      <c r="T2440" s="8"/>
      <c r="U2440" s="8"/>
      <c r="V2440" s="8"/>
      <c r="W2440" s="759"/>
      <c r="X2440" s="759"/>
      <c r="Y2440" s="759"/>
      <c r="Z2440" s="759"/>
      <c r="AA2440" s="35"/>
      <c r="AB2440" s="35"/>
      <c r="AC2440" s="35"/>
      <c r="AD2440" s="35"/>
      <c r="AE2440" s="35"/>
      <c r="AF2440" s="35"/>
      <c r="AG2440" s="35"/>
      <c r="AH2440" s="35"/>
      <c r="AI2440" s="35"/>
      <c r="AJ2440" s="35"/>
      <c r="AK2440" s="35"/>
      <c r="AL2440" s="35"/>
      <c r="AM2440" s="35"/>
    </row>
    <row r="2441" spans="1:39">
      <c r="B2441" s="1011">
        <v>4</v>
      </c>
      <c r="C2441" s="993" t="s">
        <v>5595</v>
      </c>
      <c r="D2441" s="3">
        <v>200101471</v>
      </c>
      <c r="E2441" s="1500" t="s">
        <v>5715</v>
      </c>
      <c r="F2441" s="802">
        <v>3</v>
      </c>
      <c r="G2441" s="1019"/>
      <c r="H2441" s="8" t="s">
        <v>1041</v>
      </c>
      <c r="I2441" s="1019"/>
      <c r="J2441" s="814">
        <v>123.05</v>
      </c>
      <c r="K2441" s="1019"/>
      <c r="L2441" s="1019"/>
      <c r="M2441" s="813" t="s">
        <v>2185</v>
      </c>
      <c r="N2441" s="759">
        <v>45009</v>
      </c>
      <c r="O2441" s="8" t="s">
        <v>62</v>
      </c>
      <c r="P2441" s="1019"/>
      <c r="Q2441" s="882">
        <v>3.67</v>
      </c>
      <c r="R2441" s="1012"/>
      <c r="S2441" s="8"/>
      <c r="T2441" s="8"/>
      <c r="U2441" s="8"/>
      <c r="V2441" s="8"/>
      <c r="W2441" s="759"/>
      <c r="X2441" s="759"/>
      <c r="Y2441" s="759"/>
      <c r="Z2441" s="759"/>
      <c r="AA2441" s="35"/>
      <c r="AB2441" s="35"/>
      <c r="AC2441" s="35"/>
      <c r="AD2441" s="35"/>
      <c r="AE2441" s="35"/>
      <c r="AF2441" s="35"/>
      <c r="AG2441" s="35"/>
      <c r="AH2441" s="35"/>
      <c r="AI2441" s="35"/>
      <c r="AJ2441" s="35"/>
      <c r="AK2441" s="35"/>
      <c r="AL2441" s="35"/>
      <c r="AM2441" s="35"/>
    </row>
    <row r="2442" spans="1:39">
      <c r="B2442" s="1011">
        <v>4</v>
      </c>
      <c r="C2442" s="993" t="s">
        <v>5595</v>
      </c>
      <c r="D2442" s="3">
        <v>200101472</v>
      </c>
      <c r="E2442" s="12" t="s">
        <v>5716</v>
      </c>
      <c r="F2442" s="802">
        <v>4</v>
      </c>
      <c r="G2442" s="1019"/>
      <c r="H2442" s="8" t="s">
        <v>1041</v>
      </c>
      <c r="I2442" s="1019"/>
      <c r="J2442" s="814">
        <v>125.48</v>
      </c>
      <c r="K2442" s="1019"/>
      <c r="L2442" s="1019"/>
      <c r="M2442" s="813" t="s">
        <v>2185</v>
      </c>
      <c r="N2442" s="759">
        <v>45009</v>
      </c>
      <c r="O2442" s="8" t="s">
        <v>62</v>
      </c>
      <c r="P2442" s="1019"/>
      <c r="Q2442" s="882">
        <v>3.42</v>
      </c>
      <c r="R2442" s="1012"/>
      <c r="S2442" s="8"/>
      <c r="T2442" s="8"/>
      <c r="U2442" s="8"/>
      <c r="V2442" s="8"/>
      <c r="W2442" s="759"/>
      <c r="X2442" s="759"/>
      <c r="Y2442" s="759"/>
      <c r="Z2442" s="759"/>
      <c r="AA2442" s="35"/>
      <c r="AB2442" s="35"/>
      <c r="AC2442" s="35"/>
      <c r="AD2442" s="35"/>
      <c r="AE2442" s="35"/>
      <c r="AF2442" s="35"/>
      <c r="AG2442" s="35"/>
      <c r="AH2442" s="35"/>
      <c r="AI2442" s="35"/>
      <c r="AJ2442" s="35"/>
      <c r="AK2442" s="35"/>
      <c r="AL2442" s="35"/>
      <c r="AM2442" s="35"/>
    </row>
    <row r="2443" spans="1:39">
      <c r="B2443" s="1011">
        <v>4</v>
      </c>
      <c r="C2443" s="993" t="s">
        <v>5595</v>
      </c>
      <c r="D2443" s="3">
        <v>200101526</v>
      </c>
      <c r="E2443" s="12" t="s">
        <v>5717</v>
      </c>
      <c r="F2443" s="802">
        <v>5</v>
      </c>
      <c r="G2443" s="1019"/>
      <c r="H2443" s="8" t="s">
        <v>1041</v>
      </c>
      <c r="I2443" s="1019"/>
      <c r="J2443" s="786">
        <v>121.82</v>
      </c>
      <c r="K2443" s="1019"/>
      <c r="L2443" s="1019"/>
      <c r="M2443" s="813" t="s">
        <v>2185</v>
      </c>
      <c r="N2443" s="759">
        <v>45012</v>
      </c>
      <c r="O2443" s="8" t="s">
        <v>62</v>
      </c>
      <c r="P2443" s="1019"/>
      <c r="Q2443" s="882">
        <v>3.84</v>
      </c>
      <c r="R2443" s="1012"/>
      <c r="S2443" s="8"/>
      <c r="T2443" s="8"/>
      <c r="U2443" s="8"/>
      <c r="V2443" s="8"/>
      <c r="W2443" s="759"/>
      <c r="X2443" s="759"/>
      <c r="Y2443" s="759"/>
      <c r="Z2443" s="759"/>
      <c r="AA2443" s="35"/>
      <c r="AB2443" s="35"/>
      <c r="AC2443" s="35"/>
      <c r="AD2443" s="35"/>
      <c r="AE2443" s="35"/>
      <c r="AF2443" s="35"/>
      <c r="AG2443" s="35"/>
      <c r="AH2443" s="35"/>
      <c r="AI2443" s="35"/>
      <c r="AJ2443" s="35"/>
      <c r="AK2443" s="35"/>
      <c r="AL2443" s="35"/>
      <c r="AM2443" s="35"/>
    </row>
    <row r="2444" spans="1:39">
      <c r="B2444" s="1011">
        <v>4</v>
      </c>
      <c r="C2444" s="993" t="s">
        <v>5595</v>
      </c>
      <c r="D2444" s="3">
        <v>200101527</v>
      </c>
      <c r="E2444" s="12" t="s">
        <v>5718</v>
      </c>
      <c r="F2444" s="802">
        <v>6</v>
      </c>
      <c r="G2444" s="1019"/>
      <c r="H2444" s="8" t="s">
        <v>1041</v>
      </c>
      <c r="I2444" s="1019"/>
      <c r="J2444" s="786">
        <v>124.47</v>
      </c>
      <c r="K2444" s="1019"/>
      <c r="L2444" s="1019"/>
      <c r="M2444" s="813" t="s">
        <v>2185</v>
      </c>
      <c r="N2444" s="759">
        <v>45012</v>
      </c>
      <c r="O2444" s="8" t="s">
        <v>62</v>
      </c>
      <c r="P2444" s="1019"/>
      <c r="Q2444" s="882">
        <v>3.62</v>
      </c>
      <c r="R2444" s="1012"/>
      <c r="S2444" s="8"/>
      <c r="T2444" s="8"/>
      <c r="U2444" s="8"/>
      <c r="V2444" s="8"/>
      <c r="W2444" s="759"/>
      <c r="X2444" s="759"/>
      <c r="Y2444" s="759"/>
      <c r="Z2444" s="759"/>
      <c r="AA2444" s="35"/>
      <c r="AB2444" s="35"/>
      <c r="AC2444" s="35"/>
      <c r="AD2444" s="35"/>
      <c r="AE2444" s="35"/>
      <c r="AF2444" s="35"/>
      <c r="AG2444" s="35"/>
      <c r="AH2444" s="35"/>
      <c r="AI2444" s="35"/>
      <c r="AJ2444" s="35"/>
      <c r="AK2444" s="35"/>
      <c r="AL2444" s="35"/>
      <c r="AM2444" s="35"/>
    </row>
    <row r="2445" spans="1:39">
      <c r="B2445" s="1011">
        <v>4</v>
      </c>
      <c r="C2445" s="993" t="s">
        <v>5595</v>
      </c>
      <c r="D2445" s="3">
        <v>200101528</v>
      </c>
      <c r="E2445" s="12" t="s">
        <v>5719</v>
      </c>
      <c r="F2445" s="802">
        <v>7</v>
      </c>
      <c r="G2445" s="1019"/>
      <c r="H2445" s="8" t="s">
        <v>1041</v>
      </c>
      <c r="I2445" s="1019"/>
      <c r="J2445" s="786">
        <v>122.4</v>
      </c>
      <c r="K2445" s="1019"/>
      <c r="L2445" s="1019"/>
      <c r="M2445" s="813" t="s">
        <v>2185</v>
      </c>
      <c r="N2445" s="759">
        <v>45012</v>
      </c>
      <c r="O2445" s="8" t="s">
        <v>62</v>
      </c>
      <c r="P2445" s="1019"/>
      <c r="Q2445" s="882">
        <f>3.72</f>
        <v>3.72</v>
      </c>
      <c r="R2445" s="1012"/>
      <c r="S2445" s="8"/>
      <c r="T2445" s="8"/>
      <c r="U2445" s="8"/>
      <c r="V2445" s="8"/>
      <c r="W2445" s="759"/>
      <c r="X2445" s="759"/>
      <c r="Y2445" s="759"/>
      <c r="Z2445" s="759"/>
      <c r="AA2445" s="35"/>
      <c r="AB2445" s="35"/>
      <c r="AC2445" s="35"/>
      <c r="AD2445" s="35"/>
      <c r="AE2445" s="35"/>
      <c r="AF2445" s="35"/>
      <c r="AG2445" s="35"/>
      <c r="AH2445" s="35"/>
      <c r="AI2445" s="35"/>
      <c r="AJ2445" s="35"/>
      <c r="AK2445" s="35"/>
      <c r="AL2445" s="35"/>
      <c r="AM2445" s="35"/>
    </row>
    <row r="2446" spans="1:39">
      <c r="B2446" s="1011">
        <v>4</v>
      </c>
      <c r="C2446" s="993" t="s">
        <v>5595</v>
      </c>
      <c r="D2446" s="3">
        <v>200101529</v>
      </c>
      <c r="E2446" s="12" t="s">
        <v>5720</v>
      </c>
      <c r="F2446" s="802">
        <v>8</v>
      </c>
      <c r="G2446" s="1019"/>
      <c r="H2446" s="8" t="s">
        <v>1041</v>
      </c>
      <c r="I2446" s="1019"/>
      <c r="J2446" s="786">
        <v>125.41</v>
      </c>
      <c r="K2446" s="1019"/>
      <c r="L2446" s="1019"/>
      <c r="M2446" s="813" t="s">
        <v>2185</v>
      </c>
      <c r="N2446" s="759">
        <v>45012</v>
      </c>
      <c r="O2446" s="8" t="s">
        <v>62</v>
      </c>
      <c r="P2446" s="1019"/>
      <c r="Q2446" s="882">
        <v>3.81</v>
      </c>
      <c r="R2446" s="1012"/>
      <c r="S2446" s="8"/>
      <c r="T2446" s="8"/>
      <c r="U2446" s="8"/>
      <c r="V2446" s="8"/>
      <c r="W2446" s="759"/>
      <c r="X2446" s="759"/>
      <c r="Y2446" s="759"/>
      <c r="Z2446" s="759"/>
      <c r="AA2446" s="35"/>
      <c r="AB2446" s="35"/>
      <c r="AC2446" s="35"/>
      <c r="AD2446" s="35"/>
      <c r="AE2446" s="35"/>
      <c r="AF2446" s="35"/>
      <c r="AG2446" s="35"/>
      <c r="AH2446" s="35"/>
      <c r="AI2446" s="35"/>
      <c r="AJ2446" s="35"/>
      <c r="AK2446" s="35"/>
      <c r="AL2446" s="35"/>
      <c r="AM2446" s="35"/>
    </row>
    <row r="2447" spans="1:39">
      <c r="B2447" s="1011">
        <v>4</v>
      </c>
      <c r="C2447" s="993" t="s">
        <v>5595</v>
      </c>
      <c r="D2447" s="3">
        <v>200101530</v>
      </c>
      <c r="E2447" s="12" t="s">
        <v>5721</v>
      </c>
      <c r="F2447" s="802">
        <v>9</v>
      </c>
      <c r="G2447" s="1019"/>
      <c r="H2447" s="8" t="s">
        <v>1041</v>
      </c>
      <c r="I2447" s="1019"/>
      <c r="J2447" s="786">
        <f>124.28</f>
        <v>124.28</v>
      </c>
      <c r="K2447" s="1019"/>
      <c r="L2447" s="1019"/>
      <c r="M2447" s="813" t="s">
        <v>2185</v>
      </c>
      <c r="N2447" s="759">
        <v>45012</v>
      </c>
      <c r="O2447" s="8" t="s">
        <v>62</v>
      </c>
      <c r="P2447" s="1019"/>
      <c r="Q2447" s="882">
        <v>3.71</v>
      </c>
      <c r="R2447" s="1012"/>
      <c r="S2447" s="8"/>
      <c r="T2447" s="8"/>
      <c r="U2447" s="8"/>
      <c r="V2447" s="8"/>
      <c r="W2447" s="759"/>
      <c r="X2447" s="759"/>
      <c r="Y2447" s="759"/>
      <c r="Z2447" s="759"/>
      <c r="AA2447" s="35"/>
      <c r="AB2447" s="35"/>
      <c r="AC2447" s="35"/>
      <c r="AD2447" s="35"/>
      <c r="AE2447" s="35"/>
      <c r="AF2447" s="35"/>
      <c r="AG2447" s="35"/>
      <c r="AH2447" s="35"/>
      <c r="AI2447" s="35"/>
      <c r="AJ2447" s="35"/>
      <c r="AK2447" s="35"/>
      <c r="AL2447" s="35"/>
      <c r="AM2447" s="35"/>
    </row>
    <row r="2448" spans="1:39">
      <c r="B2448" s="1011">
        <v>4</v>
      </c>
      <c r="C2448" s="993" t="s">
        <v>5595</v>
      </c>
      <c r="D2448" s="3">
        <v>200101531</v>
      </c>
      <c r="E2448" s="12" t="s">
        <v>5722</v>
      </c>
      <c r="F2448" s="802">
        <v>10</v>
      </c>
      <c r="G2448" s="1019"/>
      <c r="H2448" s="8" t="s">
        <v>1041</v>
      </c>
      <c r="I2448" s="1019"/>
      <c r="J2448" s="786">
        <v>120.15</v>
      </c>
      <c r="K2448" s="1019"/>
      <c r="L2448" s="1019"/>
      <c r="M2448" s="813" t="s">
        <v>2185</v>
      </c>
      <c r="N2448" s="759">
        <v>45013</v>
      </c>
      <c r="O2448" s="8" t="s">
        <v>62</v>
      </c>
      <c r="P2448" s="1019"/>
      <c r="Q2448" s="882">
        <v>3.41</v>
      </c>
      <c r="R2448" s="1012"/>
      <c r="S2448" s="8"/>
      <c r="T2448" s="8"/>
      <c r="U2448" s="8"/>
      <c r="V2448" s="8"/>
      <c r="W2448" s="759"/>
      <c r="X2448" s="759"/>
      <c r="Y2448" s="759"/>
      <c r="Z2448" s="759"/>
      <c r="AA2448" s="35"/>
      <c r="AB2448" s="35"/>
      <c r="AC2448" s="35"/>
      <c r="AD2448" s="35"/>
      <c r="AE2448" s="35"/>
      <c r="AF2448" s="35"/>
      <c r="AG2448" s="35"/>
      <c r="AH2448" s="35"/>
      <c r="AI2448" s="35"/>
      <c r="AJ2448" s="35"/>
      <c r="AK2448" s="35"/>
      <c r="AL2448" s="35"/>
      <c r="AM2448" s="35"/>
    </row>
    <row r="2449" spans="1:39">
      <c r="B2449" s="1011">
        <v>4</v>
      </c>
      <c r="C2449" s="993" t="s">
        <v>5595</v>
      </c>
      <c r="D2449" s="3">
        <v>200101532</v>
      </c>
      <c r="E2449" s="12" t="s">
        <v>5723</v>
      </c>
      <c r="F2449" s="802">
        <v>11</v>
      </c>
      <c r="G2449" s="1019"/>
      <c r="H2449" s="8" t="s">
        <v>1041</v>
      </c>
      <c r="I2449" s="1019"/>
      <c r="J2449" s="786">
        <f>124.33</f>
        <v>124.33</v>
      </c>
      <c r="K2449" s="1019"/>
      <c r="L2449" s="1019"/>
      <c r="M2449" s="813" t="s">
        <v>2185</v>
      </c>
      <c r="N2449" s="759">
        <v>45013</v>
      </c>
      <c r="O2449" s="8" t="s">
        <v>62</v>
      </c>
      <c r="P2449" s="1019"/>
      <c r="Q2449" s="882">
        <v>3.42</v>
      </c>
      <c r="R2449" s="1012"/>
      <c r="S2449" s="8"/>
      <c r="T2449" s="8"/>
      <c r="U2449" s="8"/>
      <c r="V2449" s="8"/>
      <c r="W2449" s="759"/>
      <c r="X2449" s="759"/>
      <c r="Y2449" s="759"/>
      <c r="Z2449" s="759"/>
      <c r="AA2449" s="35"/>
      <c r="AB2449" s="35"/>
      <c r="AC2449" s="35"/>
      <c r="AD2449" s="35"/>
      <c r="AE2449" s="35"/>
      <c r="AF2449" s="35"/>
      <c r="AG2449" s="35"/>
      <c r="AH2449" s="35"/>
      <c r="AI2449" s="35"/>
      <c r="AJ2449" s="35"/>
      <c r="AK2449" s="35"/>
      <c r="AL2449" s="35"/>
      <c r="AM2449" s="35"/>
    </row>
    <row r="2450" spans="1:39">
      <c r="B2450" s="1011">
        <v>4</v>
      </c>
      <c r="C2450" s="993" t="s">
        <v>5595</v>
      </c>
      <c r="D2450" s="3">
        <v>200101533</v>
      </c>
      <c r="E2450" s="12" t="s">
        <v>5724</v>
      </c>
      <c r="F2450" s="802">
        <v>12</v>
      </c>
      <c r="G2450" s="1019"/>
      <c r="H2450" s="8" t="s">
        <v>1041</v>
      </c>
      <c r="I2450" s="1019"/>
      <c r="J2450" s="786">
        <v>124.58</v>
      </c>
      <c r="K2450" s="1019"/>
      <c r="L2450" s="1019"/>
      <c r="M2450" s="813" t="s">
        <v>2185</v>
      </c>
      <c r="N2450" s="759">
        <v>45013</v>
      </c>
      <c r="O2450" s="8" t="s">
        <v>62</v>
      </c>
      <c r="P2450" s="1019"/>
      <c r="Q2450" s="882">
        <v>3.62</v>
      </c>
      <c r="R2450" s="1012"/>
      <c r="S2450" s="8"/>
      <c r="T2450" s="8"/>
      <c r="U2450" s="8"/>
      <c r="V2450" s="8"/>
      <c r="W2450" s="759"/>
      <c r="X2450" s="759"/>
      <c r="Y2450" s="759"/>
      <c r="Z2450" s="759"/>
      <c r="AA2450" s="35"/>
      <c r="AB2450" s="35"/>
      <c r="AC2450" s="35"/>
      <c r="AD2450" s="35"/>
      <c r="AE2450" s="35"/>
      <c r="AF2450" s="35"/>
      <c r="AG2450" s="35"/>
      <c r="AH2450" s="35"/>
      <c r="AI2450" s="35"/>
      <c r="AJ2450" s="35"/>
      <c r="AK2450" s="35"/>
      <c r="AL2450" s="35"/>
      <c r="AM2450" s="35"/>
    </row>
    <row r="2451" spans="1:39">
      <c r="B2451" s="1011">
        <v>4</v>
      </c>
      <c r="C2451" s="993" t="s">
        <v>5595</v>
      </c>
      <c r="D2451" s="3">
        <v>200101534</v>
      </c>
      <c r="E2451" s="12" t="s">
        <v>5725</v>
      </c>
      <c r="F2451" s="802">
        <v>13</v>
      </c>
      <c r="G2451" s="1019"/>
      <c r="H2451" s="8" t="s">
        <v>1041</v>
      </c>
      <c r="I2451" s="1019"/>
      <c r="J2451" s="786">
        <v>125.05</v>
      </c>
      <c r="K2451" s="1019"/>
      <c r="L2451" s="1019"/>
      <c r="M2451" s="813" t="s">
        <v>2185</v>
      </c>
      <c r="N2451" s="759">
        <v>45013</v>
      </c>
      <c r="O2451" s="8" t="s">
        <v>62</v>
      </c>
      <c r="P2451" s="1019"/>
      <c r="Q2451" s="882">
        <f>3.7</f>
        <v>3.7</v>
      </c>
      <c r="R2451" s="1012"/>
      <c r="S2451" s="8"/>
      <c r="T2451" s="8"/>
      <c r="U2451" s="8"/>
      <c r="V2451" s="8"/>
      <c r="W2451" s="759"/>
      <c r="X2451" s="759"/>
      <c r="Y2451" s="759"/>
      <c r="Z2451" s="759"/>
      <c r="AA2451" s="35"/>
      <c r="AB2451" s="35"/>
      <c r="AC2451" s="35"/>
      <c r="AD2451" s="35"/>
      <c r="AE2451" s="35"/>
      <c r="AF2451" s="35"/>
      <c r="AG2451" s="35"/>
      <c r="AH2451" s="35"/>
      <c r="AI2451" s="35"/>
      <c r="AJ2451" s="35"/>
      <c r="AK2451" s="35"/>
      <c r="AL2451" s="35"/>
      <c r="AM2451" s="35"/>
    </row>
    <row r="2452" spans="1:39">
      <c r="B2452" s="1011">
        <v>4</v>
      </c>
      <c r="C2452" s="993" t="s">
        <v>5595</v>
      </c>
      <c r="D2452" s="3">
        <v>200101535</v>
      </c>
      <c r="E2452" s="12" t="s">
        <v>5726</v>
      </c>
      <c r="F2452" s="802">
        <v>14</v>
      </c>
      <c r="G2452" s="1019"/>
      <c r="H2452" s="8" t="s">
        <v>60</v>
      </c>
      <c r="I2452" s="1019"/>
      <c r="J2452" s="786">
        <v>121.7</v>
      </c>
      <c r="K2452" s="1019"/>
      <c r="L2452" s="1019"/>
      <c r="M2452" s="813" t="s">
        <v>2185</v>
      </c>
      <c r="N2452" s="759">
        <v>45014</v>
      </c>
      <c r="O2452" s="8" t="s">
        <v>62</v>
      </c>
      <c r="P2452" s="1019"/>
      <c r="Q2452" s="882">
        <v>3.56</v>
      </c>
      <c r="R2452" s="1012"/>
      <c r="S2452" s="8"/>
      <c r="T2452" s="8"/>
      <c r="U2452" s="8"/>
      <c r="V2452" s="8"/>
      <c r="W2452" s="759"/>
      <c r="X2452" s="759"/>
      <c r="Y2452" s="759"/>
      <c r="Z2452" s="759"/>
      <c r="AA2452" s="35"/>
      <c r="AB2452" s="35"/>
      <c r="AC2452" s="35"/>
      <c r="AD2452" s="35"/>
      <c r="AE2452" s="35"/>
      <c r="AF2452" s="35"/>
      <c r="AG2452" s="35"/>
      <c r="AH2452" s="35"/>
      <c r="AI2452" s="35"/>
      <c r="AJ2452" s="35"/>
      <c r="AK2452" s="35"/>
      <c r="AL2452" s="35"/>
      <c r="AM2452" s="35"/>
    </row>
    <row r="2453" spans="1:39">
      <c r="B2453" s="1011">
        <v>4</v>
      </c>
      <c r="C2453" s="993" t="s">
        <v>5595</v>
      </c>
      <c r="D2453" s="3">
        <v>200101536</v>
      </c>
      <c r="E2453" s="12" t="s">
        <v>5727</v>
      </c>
      <c r="F2453" s="802">
        <v>15</v>
      </c>
      <c r="G2453" s="1019"/>
      <c r="H2453" s="8" t="s">
        <v>60</v>
      </c>
      <c r="I2453" s="1019"/>
      <c r="J2453" s="786">
        <v>121.33</v>
      </c>
      <c r="K2453" s="1019"/>
      <c r="L2453" s="1019"/>
      <c r="M2453" s="813" t="s">
        <v>2185</v>
      </c>
      <c r="N2453" s="759">
        <v>45015</v>
      </c>
      <c r="O2453" s="8" t="s">
        <v>62</v>
      </c>
      <c r="P2453" s="1019"/>
      <c r="Q2453" s="882">
        <v>3.48</v>
      </c>
      <c r="R2453" s="1012"/>
      <c r="S2453" s="8"/>
      <c r="T2453" s="8"/>
      <c r="U2453" s="8"/>
      <c r="V2453" s="8"/>
      <c r="W2453" s="759"/>
      <c r="X2453" s="759"/>
      <c r="Y2453" s="759"/>
      <c r="Z2453" s="759"/>
      <c r="AA2453" s="35"/>
      <c r="AB2453" s="35"/>
      <c r="AC2453" s="35"/>
      <c r="AD2453" s="35"/>
      <c r="AE2453" s="35"/>
      <c r="AF2453" s="35"/>
      <c r="AG2453" s="35"/>
      <c r="AH2453" s="35"/>
      <c r="AI2453" s="35"/>
      <c r="AJ2453" s="35"/>
      <c r="AK2453" s="35"/>
      <c r="AL2453" s="35"/>
      <c r="AM2453" s="35"/>
    </row>
    <row r="2454" spans="1:39">
      <c r="B2454" s="1011">
        <v>4</v>
      </c>
      <c r="C2454" s="993" t="s">
        <v>5595</v>
      </c>
      <c r="D2454" s="3">
        <v>200101537</v>
      </c>
      <c r="E2454" s="12" t="s">
        <v>5728</v>
      </c>
      <c r="F2454" s="802">
        <v>16</v>
      </c>
      <c r="G2454" s="1019"/>
      <c r="H2454" s="8" t="s">
        <v>60</v>
      </c>
      <c r="I2454" s="1019"/>
      <c r="J2454" s="786">
        <v>121.3</v>
      </c>
      <c r="K2454" s="1019"/>
      <c r="L2454" s="1019"/>
      <c r="M2454" s="813" t="s">
        <v>2185</v>
      </c>
      <c r="N2454" s="759">
        <v>45015</v>
      </c>
      <c r="O2454" s="8" t="s">
        <v>62</v>
      </c>
      <c r="P2454" s="1019"/>
      <c r="Q2454" s="882">
        <v>3.4</v>
      </c>
      <c r="R2454" s="1012"/>
      <c r="S2454" s="8"/>
      <c r="T2454" s="8"/>
      <c r="U2454" s="8"/>
      <c r="V2454" s="8"/>
      <c r="W2454" s="759"/>
      <c r="X2454" s="759"/>
      <c r="Y2454" s="759"/>
      <c r="Z2454" s="759"/>
      <c r="AA2454" s="35"/>
      <c r="AB2454" s="35"/>
      <c r="AC2454" s="35"/>
      <c r="AD2454" s="35"/>
      <c r="AE2454" s="35"/>
      <c r="AF2454" s="35"/>
      <c r="AG2454" s="35"/>
      <c r="AH2454" s="35"/>
      <c r="AI2454" s="35"/>
      <c r="AJ2454" s="35"/>
      <c r="AK2454" s="35"/>
      <c r="AL2454" s="35"/>
      <c r="AM2454" s="35"/>
    </row>
    <row r="2455" spans="1:39">
      <c r="B2455" s="1011">
        <v>4</v>
      </c>
      <c r="C2455" s="993" t="s">
        <v>5595</v>
      </c>
      <c r="D2455" s="3">
        <v>200101538</v>
      </c>
      <c r="E2455" s="12" t="s">
        <v>5729</v>
      </c>
      <c r="F2455" s="802">
        <v>17</v>
      </c>
      <c r="G2455" s="1019"/>
      <c r="H2455" s="8" t="s">
        <v>60</v>
      </c>
      <c r="I2455" s="1019"/>
      <c r="J2455" s="786">
        <v>124.68</v>
      </c>
      <c r="K2455" s="1019"/>
      <c r="L2455" s="1019"/>
      <c r="M2455" s="813" t="s">
        <v>2185</v>
      </c>
      <c r="N2455" s="759">
        <v>45015</v>
      </c>
      <c r="O2455" s="8" t="s">
        <v>62</v>
      </c>
      <c r="P2455" s="1019"/>
      <c r="Q2455" s="882">
        <v>3.69</v>
      </c>
      <c r="R2455" s="1012"/>
      <c r="S2455" s="8"/>
      <c r="T2455" s="8"/>
      <c r="U2455" s="8"/>
      <c r="V2455" s="8"/>
      <c r="W2455" s="759"/>
      <c r="X2455" s="759"/>
      <c r="Y2455" s="759"/>
      <c r="Z2455" s="759"/>
      <c r="AA2455" s="35"/>
      <c r="AB2455" s="35"/>
      <c r="AC2455" s="35"/>
      <c r="AD2455" s="35"/>
      <c r="AE2455" s="35"/>
      <c r="AF2455" s="35"/>
      <c r="AG2455" s="35"/>
      <c r="AH2455" s="35"/>
      <c r="AI2455" s="35"/>
      <c r="AJ2455" s="35"/>
      <c r="AK2455" s="35"/>
      <c r="AL2455" s="35"/>
      <c r="AM2455" s="35"/>
    </row>
    <row r="2456" spans="1:39">
      <c r="B2456" s="1011">
        <v>4</v>
      </c>
      <c r="C2456" s="993" t="s">
        <v>5595</v>
      </c>
      <c r="D2456" s="3">
        <v>200101539</v>
      </c>
      <c r="E2456" s="12" t="s">
        <v>5730</v>
      </c>
      <c r="F2456" s="802">
        <v>18</v>
      </c>
      <c r="G2456" s="1019"/>
      <c r="H2456" s="8" t="s">
        <v>60</v>
      </c>
      <c r="I2456" s="1019"/>
      <c r="J2456" s="786">
        <v>123.83</v>
      </c>
      <c r="K2456" s="1019"/>
      <c r="L2456" s="1019"/>
      <c r="M2456" s="813" t="s">
        <v>2185</v>
      </c>
      <c r="N2456" s="759">
        <v>45015</v>
      </c>
      <c r="O2456" s="8" t="s">
        <v>62</v>
      </c>
      <c r="P2456" s="1019"/>
      <c r="Q2456" s="882">
        <v>3.4</v>
      </c>
      <c r="R2456" s="1012"/>
      <c r="S2456" s="8"/>
      <c r="T2456" s="8"/>
      <c r="U2456" s="8"/>
      <c r="V2456" s="8"/>
      <c r="W2456" s="759"/>
      <c r="X2456" s="759"/>
      <c r="Y2456" s="759"/>
      <c r="Z2456" s="759"/>
      <c r="AA2456" s="35"/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5"/>
      <c r="AM2456" s="35"/>
    </row>
    <row r="2457" spans="1:39" s="707" customFormat="1">
      <c r="A2457"/>
      <c r="B2457" s="978" t="s">
        <v>13</v>
      </c>
      <c r="C2457" s="807" t="s">
        <v>1764</v>
      </c>
      <c r="D2457" s="807"/>
      <c r="E2457" s="875"/>
      <c r="F2457" s="1015"/>
      <c r="G2457" s="9"/>
      <c r="H2457" s="9"/>
      <c r="I2457" s="9"/>
      <c r="J2457" s="985"/>
      <c r="K2457" s="9"/>
      <c r="L2457" s="9"/>
      <c r="M2457" s="1024"/>
      <c r="N2457" s="1025"/>
      <c r="O2457" s="9"/>
      <c r="P2457" s="9"/>
      <c r="Q2457" s="9"/>
      <c r="R2457" s="9"/>
      <c r="S2457" s="9"/>
      <c r="T2457" s="9"/>
      <c r="U2457" s="9"/>
      <c r="V2457" s="9"/>
      <c r="W2457" s="1025"/>
      <c r="X2457" s="1025"/>
      <c r="Y2457" s="1025"/>
      <c r="Z2457" s="1025"/>
      <c r="AA2457" s="1016"/>
      <c r="AB2457" s="1016"/>
      <c r="AC2457" s="1016"/>
      <c r="AD2457" s="1016"/>
      <c r="AE2457" s="1016"/>
      <c r="AF2457" s="1016"/>
      <c r="AG2457" s="1016"/>
      <c r="AH2457" s="1016"/>
      <c r="AI2457" s="1016"/>
      <c r="AJ2457" s="1016"/>
      <c r="AK2457" s="1016"/>
      <c r="AL2457" s="1016"/>
      <c r="AM2457" s="1016"/>
    </row>
    <row r="2458" spans="1:39">
      <c r="B2458" s="1011">
        <v>7</v>
      </c>
      <c r="C2458" s="993" t="s">
        <v>5595</v>
      </c>
      <c r="D2458" s="3">
        <v>200102402</v>
      </c>
      <c r="E2458" s="12" t="s">
        <v>5731</v>
      </c>
      <c r="F2458" s="802">
        <v>1</v>
      </c>
      <c r="G2458" s="1019"/>
      <c r="H2458" s="8" t="s">
        <v>60</v>
      </c>
      <c r="I2458" s="1019"/>
      <c r="J2458" s="786">
        <v>121.2</v>
      </c>
      <c r="K2458" s="1019"/>
      <c r="L2458" s="1019"/>
      <c r="M2458" s="813" t="s">
        <v>2512</v>
      </c>
      <c r="N2458" s="759">
        <v>45117</v>
      </c>
      <c r="O2458" s="8" t="s">
        <v>62</v>
      </c>
      <c r="P2458" s="1026"/>
      <c r="Q2458" s="882">
        <v>3.56</v>
      </c>
      <c r="R2458" s="1012"/>
      <c r="S2458" s="8"/>
      <c r="T2458" s="8"/>
      <c r="U2458" s="8"/>
      <c r="V2458" s="8"/>
      <c r="W2458" s="759"/>
      <c r="X2458" s="759"/>
      <c r="Y2458" s="759"/>
      <c r="Z2458" s="759"/>
      <c r="AA2458" s="35"/>
      <c r="AB2458" s="35"/>
      <c r="AC2458" s="35"/>
      <c r="AD2458" s="35"/>
      <c r="AE2458" s="35"/>
      <c r="AF2458" s="35"/>
      <c r="AG2458" s="35"/>
      <c r="AH2458" s="35"/>
      <c r="AI2458" s="35"/>
      <c r="AJ2458" s="35"/>
      <c r="AK2458" s="35"/>
      <c r="AL2458" s="35"/>
      <c r="AM2458" s="35"/>
    </row>
    <row r="2459" spans="1:39">
      <c r="B2459" s="1011">
        <v>7</v>
      </c>
      <c r="C2459" s="993" t="s">
        <v>5595</v>
      </c>
      <c r="D2459" s="3">
        <v>200102403</v>
      </c>
      <c r="E2459" s="12" t="s">
        <v>5732</v>
      </c>
      <c r="F2459" s="802">
        <v>2</v>
      </c>
      <c r="G2459" s="1019"/>
      <c r="H2459" s="8" t="s">
        <v>60</v>
      </c>
      <c r="I2459" s="1019"/>
      <c r="J2459" s="786">
        <v>123.38</v>
      </c>
      <c r="K2459" s="1019"/>
      <c r="L2459" s="1019"/>
      <c r="M2459" s="813" t="s">
        <v>2512</v>
      </c>
      <c r="N2459" s="759">
        <v>45117</v>
      </c>
      <c r="O2459" s="8" t="s">
        <v>62</v>
      </c>
      <c r="P2459" s="1026"/>
      <c r="Q2459" s="882">
        <v>3.58</v>
      </c>
      <c r="R2459" s="1012"/>
      <c r="S2459" s="8"/>
      <c r="T2459" s="8"/>
      <c r="U2459" s="8"/>
      <c r="V2459" s="8"/>
      <c r="W2459" s="759"/>
      <c r="X2459" s="759"/>
      <c r="Y2459" s="759"/>
      <c r="Z2459" s="759"/>
      <c r="AA2459" s="35"/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5"/>
      <c r="AM2459" s="35"/>
    </row>
    <row r="2460" spans="1:39">
      <c r="B2460" s="1011">
        <v>7</v>
      </c>
      <c r="C2460" s="993" t="s">
        <v>5595</v>
      </c>
      <c r="D2460" s="3">
        <v>200102404</v>
      </c>
      <c r="E2460" s="12" t="s">
        <v>5733</v>
      </c>
      <c r="F2460" s="802">
        <v>3</v>
      </c>
      <c r="G2460" s="1019"/>
      <c r="H2460" s="8" t="s">
        <v>60</v>
      </c>
      <c r="I2460" s="1019"/>
      <c r="J2460" s="786">
        <v>124.01</v>
      </c>
      <c r="K2460" s="1019"/>
      <c r="L2460" s="1019"/>
      <c r="M2460" s="813" t="s">
        <v>2512</v>
      </c>
      <c r="N2460" s="759">
        <v>45117</v>
      </c>
      <c r="O2460" s="8" t="s">
        <v>62</v>
      </c>
      <c r="P2460" s="1026"/>
      <c r="Q2460" s="882">
        <v>3.56</v>
      </c>
      <c r="R2460" s="1012"/>
      <c r="S2460" s="8"/>
      <c r="T2460" s="8"/>
      <c r="U2460" s="8"/>
      <c r="V2460" s="8"/>
      <c r="W2460" s="759"/>
      <c r="X2460" s="759"/>
      <c r="Y2460" s="759"/>
      <c r="Z2460" s="759"/>
      <c r="AA2460" s="35"/>
      <c r="AB2460" s="35"/>
      <c r="AC2460" s="35"/>
      <c r="AD2460" s="35"/>
      <c r="AE2460" s="35"/>
      <c r="AF2460" s="35"/>
      <c r="AG2460" s="35"/>
      <c r="AH2460" s="35"/>
      <c r="AI2460" s="35"/>
      <c r="AJ2460" s="35"/>
      <c r="AK2460" s="35"/>
      <c r="AL2460" s="35"/>
      <c r="AM2460" s="35"/>
    </row>
    <row r="2461" spans="1:39">
      <c r="B2461" s="1011">
        <v>7</v>
      </c>
      <c r="C2461" s="993" t="s">
        <v>5595</v>
      </c>
      <c r="D2461" s="3">
        <v>200102405</v>
      </c>
      <c r="E2461" s="12" t="s">
        <v>5734</v>
      </c>
      <c r="F2461" s="802">
        <v>4</v>
      </c>
      <c r="G2461" s="1019"/>
      <c r="H2461" s="8" t="s">
        <v>60</v>
      </c>
      <c r="I2461" s="1019"/>
      <c r="J2461" s="786">
        <v>122.38</v>
      </c>
      <c r="K2461" s="1019"/>
      <c r="L2461" s="1019"/>
      <c r="M2461" s="813" t="s">
        <v>2512</v>
      </c>
      <c r="N2461" s="759">
        <v>45118</v>
      </c>
      <c r="O2461" s="8" t="s">
        <v>62</v>
      </c>
      <c r="P2461" s="1026"/>
      <c r="Q2461" s="882">
        <v>3.43</v>
      </c>
      <c r="R2461" s="1012"/>
      <c r="S2461" s="8"/>
      <c r="T2461" s="8"/>
      <c r="U2461" s="8"/>
      <c r="V2461" s="8"/>
      <c r="W2461" s="759"/>
      <c r="X2461" s="759"/>
      <c r="Y2461" s="759"/>
      <c r="Z2461" s="759"/>
      <c r="AA2461" s="35"/>
      <c r="AB2461" s="35"/>
      <c r="AC2461" s="35"/>
      <c r="AD2461" s="35"/>
      <c r="AE2461" s="35"/>
      <c r="AF2461" s="35"/>
      <c r="AG2461" s="35"/>
      <c r="AH2461" s="35"/>
      <c r="AI2461" s="35"/>
      <c r="AJ2461" s="35"/>
      <c r="AK2461" s="35"/>
      <c r="AL2461" s="35"/>
      <c r="AM2461" s="35"/>
    </row>
    <row r="2462" spans="1:39">
      <c r="B2462" s="1011">
        <v>7</v>
      </c>
      <c r="C2462" s="993" t="s">
        <v>5595</v>
      </c>
      <c r="D2462" s="3">
        <v>200102406</v>
      </c>
      <c r="E2462" s="12" t="s">
        <v>5735</v>
      </c>
      <c r="F2462" s="802">
        <v>5</v>
      </c>
      <c r="G2462" s="1019"/>
      <c r="H2462" s="8" t="s">
        <v>60</v>
      </c>
      <c r="I2462" s="1019"/>
      <c r="J2462" s="786">
        <v>122.42</v>
      </c>
      <c r="K2462" s="1019"/>
      <c r="L2462" s="1019"/>
      <c r="M2462" s="813" t="s">
        <v>2512</v>
      </c>
      <c r="N2462" s="759">
        <v>45118</v>
      </c>
      <c r="O2462" s="8" t="s">
        <v>62</v>
      </c>
      <c r="P2462" s="1026"/>
      <c r="Q2462" s="882">
        <v>3.72</v>
      </c>
      <c r="R2462" s="1012"/>
      <c r="S2462" s="8"/>
      <c r="T2462" s="8"/>
      <c r="U2462" s="8"/>
      <c r="V2462" s="8"/>
      <c r="W2462" s="759"/>
      <c r="X2462" s="759"/>
      <c r="Y2462" s="759"/>
      <c r="Z2462" s="759"/>
      <c r="AA2462" s="35"/>
      <c r="AB2462" s="35"/>
      <c r="AC2462" s="35"/>
      <c r="AD2462" s="35"/>
      <c r="AE2462" s="35"/>
      <c r="AF2462" s="35"/>
      <c r="AG2462" s="35"/>
      <c r="AH2462" s="35"/>
      <c r="AI2462" s="35"/>
      <c r="AJ2462" s="35"/>
      <c r="AK2462" s="35"/>
      <c r="AL2462" s="35"/>
      <c r="AM2462" s="35"/>
    </row>
    <row r="2463" spans="1:39">
      <c r="B2463" s="1011">
        <v>7</v>
      </c>
      <c r="C2463" s="993" t="s">
        <v>5595</v>
      </c>
      <c r="D2463" s="3">
        <v>200102407</v>
      </c>
      <c r="E2463" s="12" t="s">
        <v>5736</v>
      </c>
      <c r="F2463" s="802">
        <v>6</v>
      </c>
      <c r="G2463" s="1019"/>
      <c r="H2463" s="8" t="s">
        <v>60</v>
      </c>
      <c r="I2463" s="1019"/>
      <c r="J2463" s="786">
        <v>122.26</v>
      </c>
      <c r="K2463" s="1019"/>
      <c r="L2463" s="1019"/>
      <c r="M2463" s="813" t="s">
        <v>2512</v>
      </c>
      <c r="N2463" s="759">
        <v>45118</v>
      </c>
      <c r="O2463" s="8" t="s">
        <v>62</v>
      </c>
      <c r="P2463" s="1026"/>
      <c r="Q2463" s="882">
        <v>3.44</v>
      </c>
      <c r="R2463" s="1012"/>
      <c r="S2463" s="8"/>
      <c r="T2463" s="8"/>
      <c r="U2463" s="8"/>
      <c r="V2463" s="8"/>
      <c r="W2463" s="759"/>
      <c r="X2463" s="759"/>
      <c r="Y2463" s="759"/>
      <c r="Z2463" s="759"/>
      <c r="AA2463" s="35"/>
      <c r="AB2463" s="35"/>
      <c r="AC2463" s="35"/>
      <c r="AD2463" s="35"/>
      <c r="AE2463" s="35"/>
      <c r="AF2463" s="35"/>
      <c r="AG2463" s="35"/>
      <c r="AH2463" s="35"/>
      <c r="AI2463" s="35"/>
      <c r="AJ2463" s="35"/>
      <c r="AK2463" s="35"/>
      <c r="AL2463" s="35"/>
      <c r="AM2463" s="35"/>
    </row>
    <row r="2464" spans="1:39">
      <c r="B2464" s="1011">
        <v>7</v>
      </c>
      <c r="C2464" s="993" t="s">
        <v>5595</v>
      </c>
      <c r="D2464" s="3">
        <v>200102408</v>
      </c>
      <c r="E2464" s="12" t="s">
        <v>5737</v>
      </c>
      <c r="F2464" s="802">
        <v>7</v>
      </c>
      <c r="G2464" s="1019"/>
      <c r="H2464" s="8" t="s">
        <v>60</v>
      </c>
      <c r="I2464" s="1019"/>
      <c r="J2464" s="786">
        <v>124.77</v>
      </c>
      <c r="K2464" s="1019"/>
      <c r="L2464" s="1019"/>
      <c r="M2464" s="813" t="s">
        <v>2512</v>
      </c>
      <c r="N2464" s="759">
        <v>45118</v>
      </c>
      <c r="O2464" s="8" t="s">
        <v>62</v>
      </c>
      <c r="P2464" s="1026"/>
      <c r="Q2464" s="882">
        <v>3.81</v>
      </c>
      <c r="R2464" s="1012"/>
      <c r="S2464" s="8"/>
      <c r="T2464" s="8"/>
      <c r="U2464" s="8"/>
      <c r="V2464" s="8"/>
      <c r="W2464" s="759"/>
      <c r="X2464" s="759"/>
      <c r="Y2464" s="759"/>
      <c r="Z2464" s="759"/>
      <c r="AA2464" s="35"/>
      <c r="AB2464" s="35"/>
      <c r="AC2464" s="35"/>
      <c r="AD2464" s="35"/>
      <c r="AE2464" s="35"/>
      <c r="AF2464" s="35"/>
      <c r="AG2464" s="35"/>
      <c r="AH2464" s="35"/>
      <c r="AI2464" s="35"/>
      <c r="AJ2464" s="35"/>
      <c r="AK2464" s="35"/>
      <c r="AL2464" s="35"/>
      <c r="AM2464" s="35"/>
    </row>
    <row r="2465" spans="1:39">
      <c r="B2465" s="1011">
        <v>7</v>
      </c>
      <c r="C2465" s="993" t="s">
        <v>5595</v>
      </c>
      <c r="D2465" s="3">
        <v>200102409</v>
      </c>
      <c r="E2465" s="12" t="s">
        <v>5738</v>
      </c>
      <c r="F2465" s="802">
        <v>8</v>
      </c>
      <c r="G2465" s="1019"/>
      <c r="H2465" s="8" t="s">
        <v>60</v>
      </c>
      <c r="I2465" s="1019"/>
      <c r="J2465" s="786">
        <v>124.18</v>
      </c>
      <c r="K2465" s="1019"/>
      <c r="L2465" s="1019"/>
      <c r="M2465" s="813" t="s">
        <v>2512</v>
      </c>
      <c r="N2465" s="759">
        <v>45119</v>
      </c>
      <c r="O2465" s="8" t="s">
        <v>62</v>
      </c>
      <c r="P2465" s="1026"/>
      <c r="Q2465" s="882">
        <v>3.71</v>
      </c>
      <c r="R2465" s="1012"/>
      <c r="S2465" s="8"/>
      <c r="T2465" s="8"/>
      <c r="U2465" s="8"/>
      <c r="V2465" s="8"/>
      <c r="W2465" s="759"/>
      <c r="X2465" s="759"/>
      <c r="Y2465" s="759"/>
      <c r="Z2465" s="759"/>
      <c r="AA2465" s="35"/>
      <c r="AB2465" s="35"/>
      <c r="AC2465" s="35"/>
      <c r="AD2465" s="35"/>
      <c r="AE2465" s="35"/>
      <c r="AF2465" s="35"/>
      <c r="AG2465" s="35"/>
      <c r="AH2465" s="35"/>
      <c r="AI2465" s="35"/>
      <c r="AJ2465" s="35"/>
      <c r="AK2465" s="35"/>
      <c r="AL2465" s="35"/>
      <c r="AM2465" s="35"/>
    </row>
    <row r="2466" spans="1:39">
      <c r="B2466" s="1011">
        <v>7</v>
      </c>
      <c r="C2466" s="993" t="s">
        <v>5595</v>
      </c>
      <c r="D2466" s="3">
        <v>200102410</v>
      </c>
      <c r="E2466" s="12" t="s">
        <v>5739</v>
      </c>
      <c r="F2466" s="802">
        <v>9</v>
      </c>
      <c r="G2466" s="1019"/>
      <c r="H2466" s="8" t="s">
        <v>60</v>
      </c>
      <c r="I2466" s="1019"/>
      <c r="J2466" s="786">
        <v>121.46</v>
      </c>
      <c r="K2466" s="1019"/>
      <c r="L2466" s="1019"/>
      <c r="M2466" s="813" t="s">
        <v>2512</v>
      </c>
      <c r="N2466" s="759">
        <v>45119</v>
      </c>
      <c r="O2466" s="8" t="s">
        <v>62</v>
      </c>
      <c r="P2466" s="1026"/>
      <c r="Q2466" s="882">
        <v>3.44</v>
      </c>
      <c r="R2466" s="1012"/>
      <c r="S2466" s="8"/>
      <c r="T2466" s="8"/>
      <c r="U2466" s="8"/>
      <c r="V2466" s="8"/>
      <c r="W2466" s="759"/>
      <c r="X2466" s="759"/>
      <c r="Y2466" s="759"/>
      <c r="Z2466" s="759"/>
      <c r="AA2466" s="35"/>
      <c r="AB2466" s="35"/>
      <c r="AC2466" s="35"/>
      <c r="AD2466" s="35"/>
      <c r="AE2466" s="35"/>
      <c r="AF2466" s="35"/>
      <c r="AG2466" s="35"/>
      <c r="AH2466" s="35"/>
      <c r="AI2466" s="35"/>
      <c r="AJ2466" s="35"/>
      <c r="AK2466" s="35"/>
      <c r="AL2466" s="35"/>
      <c r="AM2466" s="35"/>
    </row>
    <row r="2467" spans="1:39">
      <c r="B2467" s="1011">
        <v>7</v>
      </c>
      <c r="C2467" s="993" t="s">
        <v>5595</v>
      </c>
      <c r="D2467" s="3">
        <v>200102411</v>
      </c>
      <c r="E2467" s="12" t="s">
        <v>5740</v>
      </c>
      <c r="F2467" s="802">
        <v>10</v>
      </c>
      <c r="G2467" s="1019"/>
      <c r="H2467" s="8" t="s">
        <v>60</v>
      </c>
      <c r="I2467" s="1019"/>
      <c r="J2467" s="786">
        <v>124.11</v>
      </c>
      <c r="K2467" s="1019"/>
      <c r="L2467" s="1019"/>
      <c r="M2467" s="813" t="s">
        <v>2512</v>
      </c>
      <c r="N2467" s="759">
        <v>45119</v>
      </c>
      <c r="O2467" s="8" t="s">
        <v>62</v>
      </c>
      <c r="P2467" s="1026"/>
      <c r="Q2467" s="882">
        <v>3.78</v>
      </c>
      <c r="R2467" s="1012"/>
      <c r="S2467" s="8"/>
      <c r="T2467" s="8"/>
      <c r="U2467" s="8"/>
      <c r="V2467" s="8"/>
      <c r="W2467" s="759"/>
      <c r="X2467" s="759"/>
      <c r="Y2467" s="759"/>
      <c r="Z2467" s="759"/>
      <c r="AA2467" s="35"/>
      <c r="AB2467" s="35"/>
      <c r="AC2467" s="35"/>
      <c r="AD2467" s="35"/>
      <c r="AE2467" s="35"/>
      <c r="AF2467" s="35"/>
      <c r="AG2467" s="35"/>
      <c r="AH2467" s="35"/>
      <c r="AI2467" s="35"/>
      <c r="AJ2467" s="35"/>
      <c r="AK2467" s="35"/>
      <c r="AL2467" s="35"/>
      <c r="AM2467" s="35"/>
    </row>
    <row r="2468" spans="1:39">
      <c r="B2468" s="1011">
        <v>7</v>
      </c>
      <c r="C2468" s="993" t="s">
        <v>5595</v>
      </c>
      <c r="D2468" s="3">
        <v>200102412</v>
      </c>
      <c r="E2468" s="12" t="s">
        <v>5741</v>
      </c>
      <c r="F2468" s="802">
        <v>11</v>
      </c>
      <c r="G2468" s="1019"/>
      <c r="H2468" s="8" t="s">
        <v>60</v>
      </c>
      <c r="I2468" s="1019"/>
      <c r="J2468" s="786">
        <v>123.38</v>
      </c>
      <c r="K2468" s="1019"/>
      <c r="L2468" s="1019"/>
      <c r="M2468" s="813" t="s">
        <v>2512</v>
      </c>
      <c r="N2468" s="759">
        <v>45119</v>
      </c>
      <c r="O2468" s="8" t="s">
        <v>62</v>
      </c>
      <c r="P2468" s="1026"/>
      <c r="Q2468" s="882">
        <v>3.41</v>
      </c>
      <c r="R2468" s="1012"/>
      <c r="S2468" s="8"/>
      <c r="T2468" s="8"/>
      <c r="U2468" s="8"/>
      <c r="V2468" s="8"/>
      <c r="W2468" s="759"/>
      <c r="X2468" s="759"/>
      <c r="Y2468" s="759"/>
      <c r="Z2468" s="759"/>
      <c r="AA2468" s="35"/>
      <c r="AB2468" s="35"/>
      <c r="AC2468" s="35"/>
      <c r="AD2468" s="35"/>
      <c r="AE2468" s="35"/>
      <c r="AF2468" s="35"/>
      <c r="AG2468" s="35"/>
      <c r="AH2468" s="35"/>
      <c r="AI2468" s="35"/>
      <c r="AJ2468" s="35"/>
      <c r="AK2468" s="35"/>
      <c r="AL2468" s="35"/>
      <c r="AM2468" s="35"/>
    </row>
    <row r="2469" spans="1:39">
      <c r="B2469" s="1011">
        <v>7</v>
      </c>
      <c r="C2469" s="993" t="s">
        <v>5595</v>
      </c>
      <c r="D2469" s="3">
        <v>200102413</v>
      </c>
      <c r="E2469" s="12" t="s">
        <v>5742</v>
      </c>
      <c r="F2469" s="802">
        <v>12</v>
      </c>
      <c r="G2469" s="1019"/>
      <c r="H2469" s="8" t="s">
        <v>60</v>
      </c>
      <c r="I2469" s="1019"/>
      <c r="J2469" s="786">
        <v>122.96</v>
      </c>
      <c r="K2469" s="1019"/>
      <c r="L2469" s="1019"/>
      <c r="M2469" s="813" t="s">
        <v>2512</v>
      </c>
      <c r="N2469" s="759">
        <v>45120</v>
      </c>
      <c r="O2469" s="8" t="s">
        <v>62</v>
      </c>
      <c r="P2469" s="1026"/>
      <c r="Q2469" s="882">
        <v>3.73</v>
      </c>
      <c r="R2469" s="1012"/>
      <c r="S2469" s="8"/>
      <c r="T2469" s="8"/>
      <c r="U2469" s="8"/>
      <c r="V2469" s="8"/>
      <c r="W2469" s="759"/>
      <c r="X2469" s="759"/>
      <c r="Y2469" s="759"/>
      <c r="Z2469" s="759"/>
      <c r="AA2469" s="35"/>
      <c r="AB2469" s="35"/>
      <c r="AC2469" s="35"/>
      <c r="AD2469" s="35"/>
      <c r="AE2469" s="35"/>
      <c r="AF2469" s="35"/>
      <c r="AG2469" s="35"/>
      <c r="AH2469" s="35"/>
      <c r="AI2469" s="35"/>
      <c r="AJ2469" s="35"/>
      <c r="AK2469" s="35"/>
      <c r="AL2469" s="35"/>
      <c r="AM2469" s="35"/>
    </row>
    <row r="2470" spans="1:39">
      <c r="B2470" s="1011">
        <v>7</v>
      </c>
      <c r="C2470" s="993" t="s">
        <v>5595</v>
      </c>
      <c r="D2470" s="3">
        <v>200102414</v>
      </c>
      <c r="E2470" s="12" t="s">
        <v>5743</v>
      </c>
      <c r="F2470" s="802">
        <v>13</v>
      </c>
      <c r="G2470" s="1019"/>
      <c r="H2470" s="8" t="s">
        <v>60</v>
      </c>
      <c r="I2470" s="1019"/>
      <c r="J2470" s="786">
        <v>123.04</v>
      </c>
      <c r="K2470" s="1019"/>
      <c r="L2470" s="1019"/>
      <c r="M2470" s="813" t="s">
        <v>2512</v>
      </c>
      <c r="N2470" s="759">
        <v>45120</v>
      </c>
      <c r="O2470" s="8" t="s">
        <v>62</v>
      </c>
      <c r="P2470" s="1026"/>
      <c r="Q2470" s="882">
        <v>3.81</v>
      </c>
      <c r="R2470" s="1012"/>
      <c r="S2470" s="8"/>
      <c r="T2470" s="8"/>
      <c r="U2470" s="8"/>
      <c r="V2470" s="8"/>
      <c r="W2470" s="759"/>
      <c r="X2470" s="759"/>
      <c r="Y2470" s="759"/>
      <c r="Z2470" s="759"/>
      <c r="AA2470" s="35"/>
      <c r="AB2470" s="35"/>
      <c r="AC2470" s="35"/>
      <c r="AD2470" s="35"/>
      <c r="AE2470" s="35"/>
      <c r="AF2470" s="35"/>
      <c r="AG2470" s="35"/>
      <c r="AH2470" s="35"/>
      <c r="AI2470" s="35"/>
      <c r="AJ2470" s="35"/>
      <c r="AK2470" s="35"/>
      <c r="AL2470" s="35"/>
      <c r="AM2470" s="35"/>
    </row>
    <row r="2471" spans="1:39">
      <c r="B2471" s="1011">
        <v>7</v>
      </c>
      <c r="C2471" s="993" t="s">
        <v>5595</v>
      </c>
      <c r="D2471" s="3">
        <v>200102415</v>
      </c>
      <c r="E2471" s="12" t="s">
        <v>5744</v>
      </c>
      <c r="F2471" s="802">
        <v>14</v>
      </c>
      <c r="G2471" s="1019"/>
      <c r="H2471" s="8" t="s">
        <v>60</v>
      </c>
      <c r="I2471" s="1019"/>
      <c r="J2471" s="786">
        <v>123.09</v>
      </c>
      <c r="K2471" s="1019"/>
      <c r="L2471" s="1019"/>
      <c r="M2471" s="813" t="s">
        <v>2512</v>
      </c>
      <c r="N2471" s="759">
        <v>45120</v>
      </c>
      <c r="O2471" s="8" t="s">
        <v>62</v>
      </c>
      <c r="P2471" s="1026"/>
      <c r="Q2471" s="882">
        <v>3.42</v>
      </c>
      <c r="R2471" s="1012"/>
      <c r="S2471" s="8"/>
      <c r="T2471" s="8"/>
      <c r="U2471" s="8"/>
      <c r="V2471" s="8"/>
      <c r="W2471" s="759"/>
      <c r="X2471" s="759"/>
      <c r="Y2471" s="759"/>
      <c r="Z2471" s="759"/>
      <c r="AA2471" s="35"/>
      <c r="AB2471" s="35"/>
      <c r="AC2471" s="35"/>
      <c r="AD2471" s="35"/>
      <c r="AE2471" s="35"/>
      <c r="AF2471" s="35"/>
      <c r="AG2471" s="35"/>
      <c r="AH2471" s="35"/>
      <c r="AI2471" s="35"/>
      <c r="AJ2471" s="35"/>
      <c r="AK2471" s="35"/>
      <c r="AL2471" s="35"/>
      <c r="AM2471" s="35"/>
    </row>
    <row r="2472" spans="1:39">
      <c r="B2472" s="1011">
        <v>7</v>
      </c>
      <c r="C2472" s="993" t="s">
        <v>5595</v>
      </c>
      <c r="D2472" s="3">
        <v>200102416</v>
      </c>
      <c r="E2472" s="12" t="s">
        <v>5745</v>
      </c>
      <c r="F2472" s="802">
        <v>15</v>
      </c>
      <c r="G2472" s="1019"/>
      <c r="H2472" s="8" t="s">
        <v>60</v>
      </c>
      <c r="I2472" s="1019"/>
      <c r="J2472" s="786">
        <v>124.51</v>
      </c>
      <c r="K2472" s="1019"/>
      <c r="L2472" s="1019"/>
      <c r="M2472" s="813" t="s">
        <v>2512</v>
      </c>
      <c r="N2472" s="759">
        <v>45120</v>
      </c>
      <c r="O2472" s="8" t="s">
        <v>62</v>
      </c>
      <c r="P2472" s="1026"/>
      <c r="Q2472" s="882">
        <v>3.6</v>
      </c>
      <c r="R2472" s="1012"/>
      <c r="S2472" s="8"/>
      <c r="T2472" s="8"/>
      <c r="U2472" s="8"/>
      <c r="V2472" s="8"/>
      <c r="W2472" s="759"/>
      <c r="X2472" s="759"/>
      <c r="Y2472" s="759"/>
      <c r="Z2472" s="759"/>
      <c r="AA2472" s="35"/>
      <c r="AB2472" s="35"/>
      <c r="AC2472" s="35"/>
      <c r="AD2472" s="35"/>
      <c r="AE2472" s="35"/>
      <c r="AF2472" s="35"/>
      <c r="AG2472" s="35"/>
      <c r="AH2472" s="35"/>
      <c r="AI2472" s="35"/>
      <c r="AJ2472" s="35"/>
      <c r="AK2472" s="35"/>
      <c r="AL2472" s="35"/>
      <c r="AM2472" s="35"/>
    </row>
    <row r="2473" spans="1:39">
      <c r="B2473" s="1011">
        <v>7</v>
      </c>
      <c r="C2473" s="993" t="s">
        <v>5595</v>
      </c>
      <c r="D2473" s="3">
        <v>200102417</v>
      </c>
      <c r="E2473" s="12" t="s">
        <v>5746</v>
      </c>
      <c r="F2473" s="802">
        <v>16</v>
      </c>
      <c r="G2473" s="1019"/>
      <c r="H2473" s="8" t="s">
        <v>60</v>
      </c>
      <c r="I2473" s="1019"/>
      <c r="J2473" s="786">
        <v>126.04</v>
      </c>
      <c r="K2473" s="1019"/>
      <c r="L2473" s="1019"/>
      <c r="M2473" s="813" t="s">
        <v>2512</v>
      </c>
      <c r="N2473" s="759">
        <v>45120</v>
      </c>
      <c r="O2473" s="8" t="s">
        <v>62</v>
      </c>
      <c r="P2473" s="1026"/>
      <c r="Q2473" s="882">
        <v>3.52</v>
      </c>
      <c r="R2473" s="1012"/>
      <c r="S2473" s="8"/>
      <c r="T2473" s="8"/>
      <c r="U2473" s="8"/>
      <c r="V2473" s="8"/>
      <c r="W2473" s="759"/>
      <c r="X2473" s="759"/>
      <c r="Y2473" s="759"/>
      <c r="Z2473" s="759"/>
      <c r="AA2473" s="35"/>
      <c r="AB2473" s="35"/>
      <c r="AC2473" s="35"/>
      <c r="AD2473" s="35"/>
      <c r="AE2473" s="35"/>
      <c r="AF2473" s="35"/>
      <c r="AG2473" s="35"/>
      <c r="AH2473" s="35"/>
      <c r="AI2473" s="35"/>
      <c r="AJ2473" s="35"/>
      <c r="AK2473" s="35"/>
      <c r="AL2473" s="35"/>
      <c r="AM2473" s="35"/>
    </row>
    <row r="2474" spans="1:39">
      <c r="B2474" s="1011">
        <v>7</v>
      </c>
      <c r="C2474" s="993" t="s">
        <v>5595</v>
      </c>
      <c r="D2474" s="3">
        <v>200102418</v>
      </c>
      <c r="E2474" s="12" t="s">
        <v>5747</v>
      </c>
      <c r="F2474" s="802">
        <v>17</v>
      </c>
      <c r="G2474" s="1019"/>
      <c r="H2474" s="8" t="s">
        <v>60</v>
      </c>
      <c r="I2474" s="1019"/>
      <c r="J2474" s="786">
        <v>122.79</v>
      </c>
      <c r="K2474" s="1019"/>
      <c r="L2474" s="1019"/>
      <c r="M2474" s="813" t="s">
        <v>2512</v>
      </c>
      <c r="N2474" s="759">
        <v>45121</v>
      </c>
      <c r="O2474" s="8" t="s">
        <v>62</v>
      </c>
      <c r="P2474" s="1026"/>
      <c r="Q2474" s="882">
        <v>3.71</v>
      </c>
      <c r="R2474" s="1012"/>
      <c r="S2474" s="8"/>
      <c r="T2474" s="8"/>
      <c r="U2474" s="8"/>
      <c r="V2474" s="8"/>
      <c r="W2474" s="759"/>
      <c r="X2474" s="759"/>
      <c r="Y2474" s="759"/>
      <c r="Z2474" s="759"/>
      <c r="AA2474" s="35"/>
      <c r="AB2474" s="35"/>
      <c r="AC2474" s="35"/>
      <c r="AD2474" s="35"/>
      <c r="AE2474" s="35"/>
      <c r="AF2474" s="35"/>
      <c r="AG2474" s="35"/>
      <c r="AH2474" s="35"/>
      <c r="AI2474" s="35"/>
      <c r="AJ2474" s="35"/>
      <c r="AK2474" s="35"/>
      <c r="AL2474" s="35"/>
      <c r="AM2474" s="35"/>
    </row>
    <row r="2475" spans="1:39">
      <c r="B2475" s="1011">
        <v>7</v>
      </c>
      <c r="C2475" s="993" t="s">
        <v>5595</v>
      </c>
      <c r="D2475" s="3">
        <v>200102419</v>
      </c>
      <c r="E2475" s="12" t="s">
        <v>5748</v>
      </c>
      <c r="F2475" s="802">
        <v>18</v>
      </c>
      <c r="G2475" s="1019"/>
      <c r="H2475" s="8" t="s">
        <v>60</v>
      </c>
      <c r="I2475" s="1019"/>
      <c r="J2475" s="786">
        <v>122.88</v>
      </c>
      <c r="K2475" s="1019"/>
      <c r="L2475" s="1019"/>
      <c r="M2475" s="813" t="s">
        <v>2512</v>
      </c>
      <c r="N2475" s="759">
        <v>45121</v>
      </c>
      <c r="O2475" s="8" t="s">
        <v>62</v>
      </c>
      <c r="P2475" s="1026"/>
      <c r="Q2475" s="882">
        <v>3.66</v>
      </c>
      <c r="R2475" s="1012"/>
      <c r="S2475" s="8"/>
      <c r="T2475" s="8"/>
      <c r="U2475" s="8"/>
      <c r="V2475" s="8"/>
      <c r="W2475" s="759"/>
      <c r="X2475" s="759"/>
      <c r="Y2475" s="759"/>
      <c r="Z2475" s="759"/>
      <c r="AA2475" s="35"/>
      <c r="AB2475" s="35"/>
      <c r="AC2475" s="35"/>
      <c r="AD2475" s="35"/>
      <c r="AE2475" s="35"/>
      <c r="AF2475" s="35"/>
      <c r="AG2475" s="35"/>
      <c r="AH2475" s="35"/>
      <c r="AI2475" s="35"/>
      <c r="AJ2475" s="35"/>
      <c r="AK2475" s="35"/>
      <c r="AL2475" s="35"/>
      <c r="AM2475" s="35"/>
    </row>
    <row r="2476" spans="1:39">
      <c r="B2476" s="1011">
        <v>7</v>
      </c>
      <c r="C2476" s="993" t="s">
        <v>5595</v>
      </c>
      <c r="D2476" s="3">
        <v>200102520</v>
      </c>
      <c r="E2476" s="12" t="s">
        <v>5749</v>
      </c>
      <c r="F2476" s="802">
        <v>19</v>
      </c>
      <c r="G2476" s="1019"/>
      <c r="H2476" s="8" t="s">
        <v>60</v>
      </c>
      <c r="I2476" s="1019"/>
      <c r="J2476" s="786">
        <v>123.15</v>
      </c>
      <c r="K2476" s="1019"/>
      <c r="L2476" s="1019"/>
      <c r="M2476" s="813" t="s">
        <v>2512</v>
      </c>
      <c r="N2476" s="759">
        <v>45121</v>
      </c>
      <c r="O2476" s="8" t="s">
        <v>62</v>
      </c>
      <c r="P2476" s="1026"/>
      <c r="Q2476" s="882">
        <v>3.51</v>
      </c>
      <c r="R2476" s="1012"/>
      <c r="S2476" s="8"/>
      <c r="T2476" s="8"/>
      <c r="U2476" s="8"/>
      <c r="V2476" s="8"/>
      <c r="W2476" s="759"/>
      <c r="X2476" s="759"/>
      <c r="Y2476" s="759"/>
      <c r="Z2476" s="759"/>
      <c r="AA2476" s="35"/>
      <c r="AB2476" s="35"/>
      <c r="AC2476" s="35"/>
      <c r="AD2476" s="35"/>
      <c r="AE2476" s="35"/>
      <c r="AF2476" s="35"/>
      <c r="AG2476" s="35"/>
      <c r="AH2476" s="35"/>
      <c r="AI2476" s="35"/>
      <c r="AJ2476" s="35"/>
      <c r="AK2476" s="35"/>
      <c r="AL2476" s="35"/>
      <c r="AM2476" s="35"/>
    </row>
    <row r="2477" spans="1:39">
      <c r="B2477" s="1011">
        <v>7</v>
      </c>
      <c r="C2477" s="993" t="s">
        <v>5595</v>
      </c>
      <c r="D2477" s="3">
        <v>200102521</v>
      </c>
      <c r="E2477" s="12" t="s">
        <v>5750</v>
      </c>
      <c r="F2477" s="802">
        <v>20</v>
      </c>
      <c r="G2477" s="1019"/>
      <c r="H2477" s="8" t="s">
        <v>60</v>
      </c>
      <c r="I2477" s="1019"/>
      <c r="J2477" s="786">
        <v>125.28</v>
      </c>
      <c r="K2477" s="1019"/>
      <c r="L2477" s="1019"/>
      <c r="M2477" s="813" t="s">
        <v>2512</v>
      </c>
      <c r="N2477" s="759">
        <v>45121</v>
      </c>
      <c r="O2477" s="8" t="s">
        <v>62</v>
      </c>
      <c r="P2477" s="1026"/>
      <c r="Q2477" s="882">
        <v>3.48</v>
      </c>
      <c r="R2477" s="1012"/>
      <c r="S2477" s="8"/>
      <c r="T2477" s="8"/>
      <c r="U2477" s="8"/>
      <c r="V2477" s="8"/>
      <c r="W2477" s="759"/>
      <c r="X2477" s="759"/>
      <c r="Y2477" s="759"/>
      <c r="Z2477" s="759"/>
      <c r="AA2477" s="35"/>
      <c r="AB2477" s="35"/>
      <c r="AC2477" s="35"/>
      <c r="AD2477" s="35"/>
      <c r="AE2477" s="35"/>
      <c r="AF2477" s="35"/>
      <c r="AG2477" s="35"/>
      <c r="AH2477" s="35"/>
      <c r="AI2477" s="35"/>
      <c r="AJ2477" s="35"/>
      <c r="AK2477" s="35"/>
      <c r="AL2477" s="35"/>
      <c r="AM2477" s="35"/>
    </row>
    <row r="2478" spans="1:39">
      <c r="B2478" s="1011">
        <v>7</v>
      </c>
      <c r="C2478" s="993" t="s">
        <v>5595</v>
      </c>
      <c r="D2478" s="3">
        <v>200102522</v>
      </c>
      <c r="E2478" s="12" t="s">
        <v>5751</v>
      </c>
      <c r="F2478" s="802">
        <v>21</v>
      </c>
      <c r="G2478" s="1019"/>
      <c r="H2478" s="8" t="s">
        <v>60</v>
      </c>
      <c r="I2478" s="1019"/>
      <c r="J2478" s="786">
        <v>123.88</v>
      </c>
      <c r="K2478" s="1019"/>
      <c r="L2478" s="1019"/>
      <c r="M2478" s="813" t="s">
        <v>2512</v>
      </c>
      <c r="N2478" s="759">
        <v>45121</v>
      </c>
      <c r="O2478" s="8" t="s">
        <v>62</v>
      </c>
      <c r="P2478" s="1026"/>
      <c r="Q2478" s="882">
        <v>3.71</v>
      </c>
      <c r="R2478" s="1012"/>
      <c r="S2478" s="8"/>
      <c r="T2478" s="8"/>
      <c r="U2478" s="8"/>
      <c r="V2478" s="8"/>
      <c r="W2478" s="759"/>
      <c r="X2478" s="759"/>
      <c r="Y2478" s="759"/>
      <c r="Z2478" s="759"/>
      <c r="AA2478" s="35"/>
      <c r="AB2478" s="35"/>
      <c r="AC2478" s="35"/>
      <c r="AD2478" s="35"/>
      <c r="AE2478" s="35"/>
      <c r="AF2478" s="35"/>
      <c r="AG2478" s="35"/>
      <c r="AH2478" s="35"/>
      <c r="AI2478" s="35"/>
      <c r="AJ2478" s="35"/>
      <c r="AK2478" s="35"/>
      <c r="AL2478" s="35"/>
      <c r="AM2478" s="35"/>
    </row>
    <row r="2479" spans="1:39" s="707" customFormat="1">
      <c r="A2479"/>
      <c r="B2479" s="978" t="s">
        <v>13</v>
      </c>
      <c r="C2479" s="807" t="s">
        <v>1761</v>
      </c>
      <c r="D2479" s="807"/>
      <c r="E2479" s="875"/>
      <c r="F2479" s="1015"/>
      <c r="G2479" s="9"/>
      <c r="H2479" s="9"/>
      <c r="I2479" s="9"/>
      <c r="J2479" s="985"/>
      <c r="K2479" s="9"/>
      <c r="L2479" s="9"/>
      <c r="M2479" s="1024"/>
      <c r="N2479" s="1025"/>
      <c r="O2479" s="9"/>
      <c r="P2479" s="9"/>
      <c r="Q2479" s="9"/>
      <c r="R2479" s="9"/>
      <c r="S2479" s="9"/>
      <c r="T2479" s="9"/>
      <c r="U2479" s="9"/>
      <c r="V2479" s="9"/>
      <c r="W2479" s="1025"/>
      <c r="X2479" s="1025"/>
      <c r="Y2479" s="1025"/>
      <c r="Z2479" s="1025"/>
      <c r="AA2479" s="1016"/>
      <c r="AB2479" s="1016"/>
      <c r="AC2479" s="1016"/>
      <c r="AD2479" s="1016"/>
      <c r="AE2479" s="1016"/>
      <c r="AF2479" s="1016"/>
      <c r="AG2479" s="1016"/>
      <c r="AH2479" s="1016"/>
      <c r="AI2479" s="1016"/>
      <c r="AJ2479" s="1016"/>
      <c r="AK2479" s="1016"/>
      <c r="AL2479" s="1016"/>
      <c r="AM2479" s="1016"/>
    </row>
    <row r="2480" spans="1:39">
      <c r="B2480" s="1011">
        <v>8</v>
      </c>
      <c r="C2480" s="993" t="s">
        <v>5595</v>
      </c>
      <c r="D2480" s="3">
        <v>200102604</v>
      </c>
      <c r="E2480" s="12" t="s">
        <v>5752</v>
      </c>
      <c r="F2480" s="802">
        <v>1</v>
      </c>
      <c r="G2480" s="1019"/>
      <c r="H2480" s="8" t="s">
        <v>60</v>
      </c>
      <c r="I2480" s="1019"/>
      <c r="J2480" s="786">
        <v>121.59</v>
      </c>
      <c r="K2480" s="1019"/>
      <c r="L2480" s="1019"/>
      <c r="M2480" s="813" t="s">
        <v>2512</v>
      </c>
      <c r="N2480" s="759">
        <v>45124</v>
      </c>
      <c r="O2480" s="8" t="s">
        <v>62</v>
      </c>
      <c r="P2480" s="1027"/>
      <c r="Q2480" s="882">
        <v>3.48</v>
      </c>
      <c r="R2480" s="1012"/>
      <c r="S2480" s="8"/>
      <c r="T2480" s="8"/>
      <c r="U2480" s="8"/>
      <c r="V2480" s="8"/>
      <c r="W2480" s="759"/>
      <c r="X2480" s="759"/>
      <c r="Y2480" s="759"/>
      <c r="Z2480" s="759"/>
      <c r="AA2480" s="35"/>
      <c r="AB2480" s="35"/>
      <c r="AC2480" s="35"/>
      <c r="AD2480" s="35"/>
      <c r="AE2480" s="35"/>
      <c r="AF2480" s="35"/>
      <c r="AG2480" s="35"/>
      <c r="AH2480" s="35"/>
      <c r="AI2480" s="35"/>
      <c r="AJ2480" s="35"/>
      <c r="AK2480" s="35"/>
      <c r="AL2480" s="35"/>
      <c r="AM2480" s="35"/>
    </row>
    <row r="2481" spans="2:39" ht="16.95" customHeight="1">
      <c r="B2481" s="1011">
        <v>8</v>
      </c>
      <c r="C2481" s="993" t="s">
        <v>5595</v>
      </c>
      <c r="D2481" s="3">
        <v>200102605</v>
      </c>
      <c r="E2481" s="12" t="s">
        <v>5753</v>
      </c>
      <c r="F2481" s="802">
        <v>2</v>
      </c>
      <c r="G2481" s="1019"/>
      <c r="H2481" s="8" t="s">
        <v>60</v>
      </c>
      <c r="I2481" s="1019"/>
      <c r="J2481" s="786">
        <v>121.09</v>
      </c>
      <c r="K2481" s="1019"/>
      <c r="L2481" s="1019"/>
      <c r="M2481" s="813" t="s">
        <v>2512</v>
      </c>
      <c r="N2481" s="759">
        <v>45124</v>
      </c>
      <c r="O2481" s="8" t="s">
        <v>62</v>
      </c>
      <c r="P2481" s="1027"/>
      <c r="Q2481" s="882">
        <v>3.59</v>
      </c>
      <c r="R2481" s="1012"/>
      <c r="S2481" s="8"/>
      <c r="T2481" s="8"/>
      <c r="U2481" s="8"/>
      <c r="V2481" s="8"/>
      <c r="W2481" s="759"/>
      <c r="X2481" s="759"/>
      <c r="Y2481" s="759"/>
      <c r="Z2481" s="759"/>
      <c r="AA2481" s="35"/>
      <c r="AB2481" s="35"/>
      <c r="AC2481" s="35"/>
      <c r="AD2481" s="35"/>
      <c r="AE2481" s="35"/>
      <c r="AF2481" s="35"/>
      <c r="AG2481" s="35"/>
      <c r="AH2481" s="35"/>
      <c r="AI2481" s="35"/>
      <c r="AJ2481" s="35"/>
      <c r="AK2481" s="35"/>
      <c r="AL2481" s="35"/>
      <c r="AM2481" s="35"/>
    </row>
    <row r="2482" spans="2:39">
      <c r="B2482" s="1011">
        <v>8</v>
      </c>
      <c r="C2482" s="993" t="s">
        <v>5595</v>
      </c>
      <c r="D2482" s="3">
        <v>200102606</v>
      </c>
      <c r="E2482" s="12" t="s">
        <v>5754</v>
      </c>
      <c r="F2482" s="802">
        <v>3</v>
      </c>
      <c r="G2482" s="1019"/>
      <c r="H2482" s="8" t="s">
        <v>60</v>
      </c>
      <c r="I2482" s="1019"/>
      <c r="J2482" s="762">
        <v>121.91</v>
      </c>
      <c r="K2482" s="1019"/>
      <c r="L2482" s="1019"/>
      <c r="M2482" s="813" t="s">
        <v>2512</v>
      </c>
      <c r="N2482" s="759">
        <v>45124</v>
      </c>
      <c r="O2482" s="8" t="s">
        <v>62</v>
      </c>
      <c r="P2482" s="1027"/>
      <c r="Q2482" s="3">
        <v>3.52</v>
      </c>
      <c r="R2482" s="1012"/>
      <c r="S2482" s="8"/>
      <c r="T2482" s="8"/>
      <c r="U2482" s="8"/>
      <c r="V2482" s="8"/>
      <c r="W2482" s="759"/>
      <c r="X2482" s="759"/>
      <c r="Y2482" s="759"/>
      <c r="Z2482" s="759"/>
      <c r="AA2482" s="35"/>
      <c r="AB2482" s="35"/>
      <c r="AC2482" s="35"/>
      <c r="AD2482" s="35"/>
      <c r="AE2482" s="35"/>
      <c r="AF2482" s="35"/>
      <c r="AG2482" s="35"/>
      <c r="AH2482" s="35"/>
      <c r="AI2482" s="35"/>
      <c r="AJ2482" s="35"/>
      <c r="AK2482" s="35"/>
      <c r="AL2482" s="35"/>
      <c r="AM2482" s="35"/>
    </row>
    <row r="2483" spans="2:39">
      <c r="B2483" s="1011">
        <v>8</v>
      </c>
      <c r="C2483" s="993" t="s">
        <v>5595</v>
      </c>
      <c r="D2483" s="3">
        <v>200102607</v>
      </c>
      <c r="E2483" s="12" t="s">
        <v>5755</v>
      </c>
      <c r="F2483" s="802">
        <v>4</v>
      </c>
      <c r="G2483" s="1019"/>
      <c r="H2483" s="8" t="s">
        <v>60</v>
      </c>
      <c r="I2483" s="1019"/>
      <c r="J2483" s="786">
        <v>122.92</v>
      </c>
      <c r="K2483" s="1019"/>
      <c r="L2483" s="1019"/>
      <c r="M2483" s="813" t="s">
        <v>2512</v>
      </c>
      <c r="N2483" s="759">
        <v>45124</v>
      </c>
      <c r="O2483" s="8" t="s">
        <v>62</v>
      </c>
      <c r="P2483" s="1027"/>
      <c r="Q2483" s="882">
        <v>3.41</v>
      </c>
      <c r="R2483" s="1012"/>
      <c r="S2483" s="8"/>
      <c r="T2483" s="8"/>
      <c r="U2483" s="8"/>
      <c r="V2483" s="8"/>
      <c r="W2483" s="759"/>
      <c r="X2483" s="759"/>
      <c r="Y2483" s="759"/>
      <c r="Z2483" s="759"/>
      <c r="AA2483" s="35"/>
      <c r="AB2483" s="35"/>
      <c r="AC2483" s="35"/>
      <c r="AD2483" s="35"/>
      <c r="AE2483" s="35"/>
      <c r="AF2483" s="35"/>
      <c r="AG2483" s="35"/>
      <c r="AH2483" s="35"/>
      <c r="AI2483" s="35"/>
      <c r="AJ2483" s="35"/>
      <c r="AK2483" s="35"/>
      <c r="AL2483" s="35"/>
      <c r="AM2483" s="35"/>
    </row>
    <row r="2484" spans="2:39">
      <c r="B2484" s="1011">
        <v>8</v>
      </c>
      <c r="C2484" s="993" t="s">
        <v>5595</v>
      </c>
      <c r="D2484" s="3">
        <v>200102608</v>
      </c>
      <c r="E2484" s="12" t="s">
        <v>5756</v>
      </c>
      <c r="F2484" s="802">
        <v>5</v>
      </c>
      <c r="G2484" s="1019"/>
      <c r="H2484" s="8" t="s">
        <v>60</v>
      </c>
      <c r="I2484" s="1019"/>
      <c r="J2484" s="786">
        <v>126.3</v>
      </c>
      <c r="K2484" s="1019"/>
      <c r="L2484" s="1019"/>
      <c r="M2484" s="813" t="s">
        <v>2512</v>
      </c>
      <c r="N2484" s="759">
        <v>45125</v>
      </c>
      <c r="O2484" s="8" t="s">
        <v>62</v>
      </c>
      <c r="P2484" s="1027"/>
      <c r="Q2484" s="882">
        <v>3.75</v>
      </c>
      <c r="R2484" s="1012"/>
      <c r="S2484" s="8"/>
      <c r="T2484" s="8"/>
      <c r="U2484" s="8"/>
      <c r="V2484" s="8"/>
      <c r="W2484" s="759"/>
      <c r="X2484" s="759"/>
      <c r="Y2484" s="759"/>
      <c r="Z2484" s="759"/>
      <c r="AA2484" s="35"/>
      <c r="AB2484" s="35"/>
      <c r="AC2484" s="35"/>
      <c r="AD2484" s="35"/>
      <c r="AE2484" s="35"/>
      <c r="AF2484" s="35"/>
      <c r="AG2484" s="35"/>
      <c r="AH2484" s="35"/>
      <c r="AI2484" s="35"/>
      <c r="AJ2484" s="35"/>
      <c r="AK2484" s="35"/>
      <c r="AL2484" s="35"/>
      <c r="AM2484" s="35"/>
    </row>
    <row r="2485" spans="2:39">
      <c r="B2485" s="1011">
        <v>8</v>
      </c>
      <c r="C2485" s="993" t="s">
        <v>5595</v>
      </c>
      <c r="D2485" s="3">
        <v>200102609</v>
      </c>
      <c r="E2485" s="12" t="s">
        <v>5757</v>
      </c>
      <c r="F2485" s="802">
        <v>6</v>
      </c>
      <c r="G2485" s="1019"/>
      <c r="H2485" s="8" t="s">
        <v>60</v>
      </c>
      <c r="I2485" s="1019"/>
      <c r="J2485" s="786">
        <v>121.51</v>
      </c>
      <c r="K2485" s="1019"/>
      <c r="L2485" s="1019"/>
      <c r="M2485" s="813" t="s">
        <v>2512</v>
      </c>
      <c r="N2485" s="759">
        <v>45127</v>
      </c>
      <c r="O2485" s="8" t="s">
        <v>62</v>
      </c>
      <c r="P2485" s="1027"/>
      <c r="Q2485" s="882">
        <v>3.75</v>
      </c>
      <c r="R2485" s="1012"/>
      <c r="S2485" s="8"/>
      <c r="T2485" s="8"/>
      <c r="U2485" s="8"/>
      <c r="V2485" s="8"/>
      <c r="W2485" s="759"/>
      <c r="X2485" s="759"/>
      <c r="Y2485" s="759"/>
      <c r="Z2485" s="759"/>
      <c r="AA2485" s="35"/>
      <c r="AB2485" s="35"/>
      <c r="AC2485" s="35"/>
      <c r="AD2485" s="35"/>
      <c r="AE2485" s="35"/>
      <c r="AF2485" s="35"/>
      <c r="AG2485" s="35"/>
      <c r="AH2485" s="35"/>
      <c r="AI2485" s="35"/>
      <c r="AJ2485" s="35"/>
      <c r="AK2485" s="35"/>
      <c r="AL2485" s="35"/>
      <c r="AM2485" s="35"/>
    </row>
    <row r="2486" spans="2:39">
      <c r="B2486" s="1011">
        <v>8</v>
      </c>
      <c r="C2486" s="993" t="s">
        <v>5595</v>
      </c>
      <c r="D2486" s="3">
        <v>200102610</v>
      </c>
      <c r="E2486" s="12" t="s">
        <v>5758</v>
      </c>
      <c r="F2486" s="802">
        <v>7</v>
      </c>
      <c r="G2486" s="1019"/>
      <c r="H2486" s="8" t="s">
        <v>60</v>
      </c>
      <c r="I2486" s="1019"/>
      <c r="J2486" s="786">
        <v>124.07</v>
      </c>
      <c r="K2486" s="1019"/>
      <c r="L2486" s="1019"/>
      <c r="M2486" s="813" t="s">
        <v>2512</v>
      </c>
      <c r="N2486" s="759">
        <v>45127</v>
      </c>
      <c r="O2486" s="8" t="s">
        <v>62</v>
      </c>
      <c r="P2486" s="1027"/>
      <c r="Q2486" s="882">
        <v>3.41</v>
      </c>
      <c r="R2486" s="1012"/>
      <c r="S2486" s="8"/>
      <c r="T2486" s="8"/>
      <c r="U2486" s="8"/>
      <c r="V2486" s="8"/>
      <c r="W2486" s="759"/>
      <c r="X2486" s="759"/>
      <c r="Y2486" s="759"/>
      <c r="Z2486" s="759"/>
      <c r="AA2486" s="35"/>
      <c r="AB2486" s="35"/>
      <c r="AC2486" s="35"/>
      <c r="AD2486" s="35"/>
      <c r="AE2486" s="35"/>
      <c r="AF2486" s="35"/>
      <c r="AG2486" s="35"/>
      <c r="AH2486" s="35"/>
      <c r="AI2486" s="35"/>
      <c r="AJ2486" s="35"/>
      <c r="AK2486" s="35"/>
      <c r="AL2486" s="35"/>
      <c r="AM2486" s="35"/>
    </row>
    <row r="2487" spans="2:39">
      <c r="B2487" s="1011">
        <v>8</v>
      </c>
      <c r="C2487" s="993" t="s">
        <v>5595</v>
      </c>
      <c r="D2487" s="3">
        <v>200102611</v>
      </c>
      <c r="E2487" s="12" t="s">
        <v>5759</v>
      </c>
      <c r="F2487" s="802">
        <v>8</v>
      </c>
      <c r="G2487" s="1019"/>
      <c r="H2487" s="8" t="s">
        <v>60</v>
      </c>
      <c r="I2487" s="1019"/>
      <c r="J2487" s="786">
        <v>124.02</v>
      </c>
      <c r="K2487" s="1019"/>
      <c r="L2487" s="1019"/>
      <c r="M2487" s="813" t="s">
        <v>2512</v>
      </c>
      <c r="N2487" s="759">
        <v>45127</v>
      </c>
      <c r="O2487" s="8" t="s">
        <v>62</v>
      </c>
      <c r="P2487" s="1027"/>
      <c r="Q2487" s="882">
        <v>3.77</v>
      </c>
      <c r="R2487" s="1012"/>
      <c r="S2487" s="8"/>
      <c r="T2487" s="8"/>
      <c r="U2487" s="8"/>
      <c r="V2487" s="8"/>
      <c r="W2487" s="759"/>
      <c r="X2487" s="759"/>
      <c r="Y2487" s="759"/>
      <c r="Z2487" s="759"/>
      <c r="AA2487" s="35"/>
      <c r="AB2487" s="35"/>
      <c r="AC2487" s="35"/>
      <c r="AD2487" s="35"/>
      <c r="AE2487" s="35"/>
      <c r="AF2487" s="35"/>
      <c r="AG2487" s="35"/>
      <c r="AH2487" s="35"/>
      <c r="AI2487" s="35"/>
      <c r="AJ2487" s="35"/>
      <c r="AK2487" s="35"/>
      <c r="AL2487" s="35"/>
      <c r="AM2487" s="35"/>
    </row>
    <row r="2488" spans="2:39">
      <c r="B2488" s="1011">
        <v>8</v>
      </c>
      <c r="C2488" s="993" t="s">
        <v>5595</v>
      </c>
      <c r="D2488" s="3">
        <v>200102612</v>
      </c>
      <c r="E2488" s="12" t="s">
        <v>5760</v>
      </c>
      <c r="F2488" s="802">
        <v>9</v>
      </c>
      <c r="G2488" s="1019"/>
      <c r="H2488" s="8" t="s">
        <v>60</v>
      </c>
      <c r="I2488" s="1019"/>
      <c r="J2488" s="786">
        <v>124.25</v>
      </c>
      <c r="K2488" s="1019"/>
      <c r="L2488" s="1019"/>
      <c r="M2488" s="813" t="s">
        <v>2512</v>
      </c>
      <c r="N2488" s="759">
        <v>45127</v>
      </c>
      <c r="O2488" s="8" t="s">
        <v>62</v>
      </c>
      <c r="P2488" s="1027"/>
      <c r="Q2488" s="882">
        <v>3.42</v>
      </c>
      <c r="R2488" s="1012"/>
      <c r="S2488" s="8"/>
      <c r="T2488" s="8"/>
      <c r="U2488" s="8"/>
      <c r="V2488" s="8"/>
      <c r="W2488" s="759"/>
      <c r="X2488" s="759"/>
      <c r="Y2488" s="759"/>
      <c r="Z2488" s="759"/>
      <c r="AA2488" s="35"/>
      <c r="AB2488" s="35"/>
      <c r="AC2488" s="35"/>
      <c r="AD2488" s="35"/>
      <c r="AE2488" s="35"/>
      <c r="AF2488" s="35"/>
      <c r="AG2488" s="35"/>
      <c r="AH2488" s="35"/>
      <c r="AI2488" s="35"/>
      <c r="AJ2488" s="35"/>
      <c r="AK2488" s="35"/>
      <c r="AL2488" s="35"/>
      <c r="AM2488" s="35"/>
    </row>
    <row r="2489" spans="2:39">
      <c r="B2489" s="1011">
        <v>8</v>
      </c>
      <c r="C2489" s="993" t="s">
        <v>5595</v>
      </c>
      <c r="D2489" s="3">
        <v>200102613</v>
      </c>
      <c r="E2489" s="12" t="s">
        <v>5761</v>
      </c>
      <c r="F2489" s="802">
        <v>10</v>
      </c>
      <c r="G2489" s="1019"/>
      <c r="H2489" s="8" t="s">
        <v>60</v>
      </c>
      <c r="I2489" s="1019"/>
      <c r="J2489" s="786">
        <v>124.28</v>
      </c>
      <c r="K2489" s="1019"/>
      <c r="L2489" s="1019"/>
      <c r="M2489" s="813" t="s">
        <v>2512</v>
      </c>
      <c r="N2489" s="759">
        <v>45127</v>
      </c>
      <c r="O2489" s="8" t="s">
        <v>62</v>
      </c>
      <c r="P2489" s="1027"/>
      <c r="Q2489" s="882">
        <v>3.72</v>
      </c>
      <c r="R2489" s="1012"/>
      <c r="S2489" s="8"/>
      <c r="T2489" s="8"/>
      <c r="U2489" s="8"/>
      <c r="V2489" s="8"/>
      <c r="W2489" s="759"/>
      <c r="X2489" s="759"/>
      <c r="Y2489" s="759"/>
      <c r="Z2489" s="759"/>
      <c r="AA2489" s="35"/>
      <c r="AB2489" s="35"/>
      <c r="AC2489" s="35"/>
      <c r="AD2489" s="35"/>
      <c r="AE2489" s="35"/>
      <c r="AF2489" s="35"/>
      <c r="AG2489" s="35"/>
      <c r="AH2489" s="35"/>
      <c r="AI2489" s="35"/>
      <c r="AJ2489" s="35"/>
      <c r="AK2489" s="35"/>
      <c r="AL2489" s="35"/>
      <c r="AM2489" s="35"/>
    </row>
    <row r="2490" spans="2:39">
      <c r="B2490" s="1011">
        <v>8</v>
      </c>
      <c r="C2490" s="993" t="s">
        <v>5595</v>
      </c>
      <c r="D2490" s="3">
        <v>200102614</v>
      </c>
      <c r="E2490" s="12" t="s">
        <v>5762</v>
      </c>
      <c r="F2490" s="802">
        <v>11</v>
      </c>
      <c r="G2490" s="1019"/>
      <c r="H2490" s="8" t="s">
        <v>60</v>
      </c>
      <c r="I2490" s="1019"/>
      <c r="J2490" s="786">
        <f>124.97</f>
        <v>124.97</v>
      </c>
      <c r="K2490" s="1019"/>
      <c r="L2490" s="1019"/>
      <c r="M2490" s="813" t="s">
        <v>2512</v>
      </c>
      <c r="N2490" s="759">
        <v>45127</v>
      </c>
      <c r="O2490" s="8" t="s">
        <v>62</v>
      </c>
      <c r="P2490" s="1027"/>
      <c r="Q2490" s="3">
        <v>3.77</v>
      </c>
      <c r="R2490" s="1012"/>
      <c r="S2490" s="8"/>
      <c r="T2490" s="8"/>
      <c r="U2490" s="8"/>
      <c r="V2490" s="8"/>
      <c r="W2490" s="759"/>
      <c r="X2490" s="759"/>
      <c r="Y2490" s="759"/>
      <c r="Z2490" s="759"/>
      <c r="AA2490" s="35"/>
      <c r="AB2490" s="35"/>
      <c r="AC2490" s="35"/>
      <c r="AD2490" s="35"/>
      <c r="AE2490" s="35"/>
      <c r="AF2490" s="35"/>
      <c r="AG2490" s="35"/>
      <c r="AH2490" s="35"/>
      <c r="AI2490" s="35"/>
      <c r="AJ2490" s="35"/>
      <c r="AK2490" s="35"/>
      <c r="AL2490" s="35"/>
      <c r="AM2490" s="35"/>
    </row>
    <row r="2491" spans="2:39">
      <c r="B2491" s="1011">
        <v>8</v>
      </c>
      <c r="C2491" s="993" t="s">
        <v>5595</v>
      </c>
      <c r="D2491" s="3">
        <v>200102615</v>
      </c>
      <c r="E2491" s="12" t="s">
        <v>5763</v>
      </c>
      <c r="F2491" s="802">
        <v>12</v>
      </c>
      <c r="G2491" s="1019"/>
      <c r="H2491" s="8" t="s">
        <v>60</v>
      </c>
      <c r="I2491" s="1019"/>
      <c r="J2491" s="762">
        <f>124.42</f>
        <v>124.42</v>
      </c>
      <c r="K2491" s="1019"/>
      <c r="L2491" s="1019"/>
      <c r="M2491" s="813" t="s">
        <v>2512</v>
      </c>
      <c r="N2491" s="759">
        <v>45127</v>
      </c>
      <c r="O2491" s="8" t="s">
        <v>62</v>
      </c>
      <c r="P2491" s="1027"/>
      <c r="Q2491" s="882">
        <v>3.71</v>
      </c>
      <c r="R2491" s="1012"/>
      <c r="S2491" s="8"/>
      <c r="T2491" s="8"/>
      <c r="U2491" s="8"/>
      <c r="V2491" s="8"/>
      <c r="W2491" s="759"/>
      <c r="X2491" s="759"/>
      <c r="Y2491" s="759"/>
      <c r="Z2491" s="759"/>
      <c r="AA2491" s="35"/>
      <c r="AB2491" s="35"/>
      <c r="AC2491" s="35"/>
      <c r="AD2491" s="35"/>
      <c r="AE2491" s="35"/>
      <c r="AF2491" s="35"/>
      <c r="AG2491" s="35"/>
      <c r="AH2491" s="35"/>
      <c r="AI2491" s="35"/>
      <c r="AJ2491" s="35"/>
      <c r="AK2491" s="35"/>
      <c r="AL2491" s="35"/>
      <c r="AM2491" s="35"/>
    </row>
    <row r="2492" spans="2:39">
      <c r="B2492" s="1011">
        <v>8</v>
      </c>
      <c r="C2492" s="993" t="s">
        <v>5595</v>
      </c>
      <c r="D2492" s="3">
        <v>200102616</v>
      </c>
      <c r="E2492" s="12" t="s">
        <v>5764</v>
      </c>
      <c r="F2492" s="802">
        <v>13</v>
      </c>
      <c r="G2492" s="1019"/>
      <c r="H2492" s="8" t="s">
        <v>60</v>
      </c>
      <c r="I2492" s="1019"/>
      <c r="J2492" s="786">
        <v>122.59</v>
      </c>
      <c r="K2492" s="1019"/>
      <c r="L2492" s="1019"/>
      <c r="M2492" s="813" t="s">
        <v>2512</v>
      </c>
      <c r="N2492" s="759">
        <v>45127</v>
      </c>
      <c r="O2492" s="8" t="s">
        <v>62</v>
      </c>
      <c r="P2492" s="1027"/>
      <c r="Q2492" s="3">
        <v>3.59</v>
      </c>
      <c r="R2492" s="1012"/>
      <c r="S2492" s="8"/>
      <c r="T2492" s="8"/>
      <c r="U2492" s="8"/>
      <c r="V2492" s="8"/>
      <c r="W2492" s="759"/>
      <c r="X2492" s="759"/>
      <c r="Y2492" s="759"/>
      <c r="Z2492" s="759"/>
      <c r="AA2492" s="35"/>
      <c r="AB2492" s="35"/>
      <c r="AC2492" s="35"/>
      <c r="AD2492" s="35"/>
      <c r="AE2492" s="35"/>
      <c r="AF2492" s="35"/>
      <c r="AG2492" s="35"/>
      <c r="AH2492" s="35"/>
      <c r="AI2492" s="35"/>
      <c r="AJ2492" s="35"/>
      <c r="AK2492" s="35"/>
      <c r="AL2492" s="35"/>
      <c r="AM2492" s="35"/>
    </row>
    <row r="2493" spans="2:39">
      <c r="B2493" s="1011">
        <v>8</v>
      </c>
      <c r="C2493" s="993" t="s">
        <v>5595</v>
      </c>
      <c r="D2493" s="3">
        <v>200102617</v>
      </c>
      <c r="E2493" s="12" t="s">
        <v>5765</v>
      </c>
      <c r="F2493" s="802">
        <v>14</v>
      </c>
      <c r="G2493" s="1019"/>
      <c r="H2493" s="8" t="s">
        <v>60</v>
      </c>
      <c r="I2493" s="1019"/>
      <c r="J2493" s="762">
        <v>122.75</v>
      </c>
      <c r="K2493" s="1019"/>
      <c r="L2493" s="1019"/>
      <c r="M2493" s="813" t="s">
        <v>2512</v>
      </c>
      <c r="N2493" s="759">
        <v>45127</v>
      </c>
      <c r="O2493" s="8" t="s">
        <v>62</v>
      </c>
      <c r="P2493" s="1027"/>
      <c r="Q2493" s="3">
        <v>3.63</v>
      </c>
      <c r="R2493" s="1012"/>
      <c r="S2493" s="8"/>
      <c r="T2493" s="8"/>
      <c r="U2493" s="8"/>
      <c r="V2493" s="8"/>
      <c r="W2493" s="759"/>
      <c r="X2493" s="759"/>
      <c r="Y2493" s="759"/>
      <c r="Z2493" s="759"/>
      <c r="AA2493" s="35"/>
      <c r="AB2493" s="35"/>
      <c r="AC2493" s="35"/>
      <c r="AD2493" s="35"/>
      <c r="AE2493" s="35"/>
      <c r="AF2493" s="35"/>
      <c r="AG2493" s="35"/>
      <c r="AH2493" s="35"/>
      <c r="AI2493" s="35"/>
      <c r="AJ2493" s="35"/>
      <c r="AK2493" s="35"/>
      <c r="AL2493" s="35"/>
      <c r="AM2493" s="35"/>
    </row>
    <row r="2494" spans="2:39">
      <c r="B2494" s="1011">
        <v>8</v>
      </c>
      <c r="C2494" s="993" t="s">
        <v>5595</v>
      </c>
      <c r="D2494" s="3">
        <v>200102618</v>
      </c>
      <c r="E2494" s="12" t="s">
        <v>5766</v>
      </c>
      <c r="F2494" s="802">
        <v>15</v>
      </c>
      <c r="G2494" s="1019"/>
      <c r="H2494" s="8" t="s">
        <v>60</v>
      </c>
      <c r="I2494" s="1019"/>
      <c r="J2494" s="762">
        <v>125.97</v>
      </c>
      <c r="K2494" s="1019"/>
      <c r="L2494" s="1019"/>
      <c r="M2494" s="813" t="s">
        <v>2512</v>
      </c>
      <c r="N2494" s="759">
        <v>45127</v>
      </c>
      <c r="O2494" s="8" t="s">
        <v>62</v>
      </c>
      <c r="P2494" s="1027"/>
      <c r="Q2494" s="3">
        <v>3.63</v>
      </c>
      <c r="R2494" s="1012"/>
      <c r="S2494" s="8"/>
      <c r="T2494" s="8"/>
      <c r="U2494" s="8"/>
      <c r="V2494" s="8"/>
      <c r="W2494" s="759"/>
      <c r="X2494" s="759"/>
      <c r="Y2494" s="759"/>
      <c r="Z2494" s="759"/>
      <c r="AA2494" s="35"/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5"/>
      <c r="AM2494" s="35"/>
    </row>
    <row r="2495" spans="2:39">
      <c r="B2495" s="1011">
        <v>8</v>
      </c>
      <c r="C2495" s="993" t="s">
        <v>5595</v>
      </c>
      <c r="D2495" s="3">
        <v>200102714</v>
      </c>
      <c r="E2495" s="12" t="s">
        <v>5767</v>
      </c>
      <c r="F2495" s="802">
        <v>16</v>
      </c>
      <c r="G2495" s="1019"/>
      <c r="H2495" s="8" t="s">
        <v>60</v>
      </c>
      <c r="I2495" s="1019"/>
      <c r="J2495" s="786">
        <v>121.64</v>
      </c>
      <c r="K2495" s="1019"/>
      <c r="L2495" s="1019"/>
      <c r="M2495" s="813" t="s">
        <v>2512</v>
      </c>
      <c r="N2495" s="759">
        <v>45131</v>
      </c>
      <c r="O2495" s="8" t="s">
        <v>62</v>
      </c>
      <c r="P2495" s="1027"/>
      <c r="Q2495" s="882">
        <v>3.84</v>
      </c>
      <c r="R2495" s="1012"/>
      <c r="S2495" s="8"/>
      <c r="T2495" s="8"/>
      <c r="U2495" s="8"/>
      <c r="V2495" s="8"/>
      <c r="W2495" s="759"/>
      <c r="X2495" s="759"/>
      <c r="Y2495" s="759"/>
      <c r="Z2495" s="759"/>
      <c r="AA2495" s="35"/>
      <c r="AB2495" s="35"/>
      <c r="AC2495" s="35"/>
      <c r="AD2495" s="35"/>
      <c r="AE2495" s="35"/>
      <c r="AF2495" s="35"/>
      <c r="AG2495" s="35"/>
      <c r="AH2495" s="35"/>
      <c r="AI2495" s="35"/>
      <c r="AJ2495" s="35"/>
      <c r="AK2495" s="35"/>
      <c r="AL2495" s="35"/>
      <c r="AM2495" s="35"/>
    </row>
    <row r="2496" spans="2:39">
      <c r="B2496" s="1011">
        <v>8</v>
      </c>
      <c r="C2496" s="993" t="s">
        <v>5595</v>
      </c>
      <c r="D2496" s="3">
        <v>200102715</v>
      </c>
      <c r="E2496" s="12" t="s">
        <v>5768</v>
      </c>
      <c r="F2496" s="802">
        <v>17</v>
      </c>
      <c r="G2496" s="1019"/>
      <c r="H2496" s="8" t="s">
        <v>60</v>
      </c>
      <c r="I2496" s="1019"/>
      <c r="J2496" s="786">
        <v>121.64</v>
      </c>
      <c r="K2496" s="1019"/>
      <c r="L2496" s="1019"/>
      <c r="M2496" s="813" t="s">
        <v>2512</v>
      </c>
      <c r="N2496" s="759">
        <v>45131</v>
      </c>
      <c r="O2496" s="8" t="s">
        <v>62</v>
      </c>
      <c r="P2496" s="1027"/>
      <c r="Q2496" s="882">
        <v>3.45</v>
      </c>
      <c r="R2496" s="1012"/>
      <c r="S2496" s="8"/>
      <c r="T2496" s="8"/>
      <c r="U2496" s="8"/>
      <c r="V2496" s="8"/>
      <c r="W2496" s="759"/>
      <c r="X2496" s="759"/>
      <c r="Y2496" s="759"/>
      <c r="Z2496" s="759"/>
      <c r="AA2496" s="35"/>
      <c r="AB2496" s="35"/>
      <c r="AC2496" s="35"/>
      <c r="AD2496" s="35"/>
      <c r="AE2496" s="35"/>
      <c r="AF2496" s="35"/>
      <c r="AG2496" s="35"/>
      <c r="AH2496" s="35"/>
      <c r="AI2496" s="35"/>
      <c r="AJ2496" s="35"/>
      <c r="AK2496" s="35"/>
      <c r="AL2496" s="35"/>
      <c r="AM2496" s="35"/>
    </row>
    <row r="2497" spans="2:39">
      <c r="B2497" s="1011">
        <v>8</v>
      </c>
      <c r="C2497" s="993" t="s">
        <v>5595</v>
      </c>
      <c r="D2497" s="3">
        <v>200102716</v>
      </c>
      <c r="E2497" s="12" t="s">
        <v>5769</v>
      </c>
      <c r="F2497" s="802">
        <v>18</v>
      </c>
      <c r="G2497" s="1019"/>
      <c r="H2497" s="8" t="s">
        <v>60</v>
      </c>
      <c r="I2497" s="1019"/>
      <c r="J2497" s="786">
        <v>125.15</v>
      </c>
      <c r="K2497" s="1019"/>
      <c r="L2497" s="1019"/>
      <c r="M2497" s="813" t="s">
        <v>2512</v>
      </c>
      <c r="N2497" s="759">
        <v>45131</v>
      </c>
      <c r="O2497" s="8" t="s">
        <v>62</v>
      </c>
      <c r="P2497" s="1027"/>
      <c r="Q2497" s="882">
        <v>3.72</v>
      </c>
      <c r="R2497" s="1012"/>
      <c r="S2497" s="8"/>
      <c r="T2497" s="8"/>
      <c r="U2497" s="8"/>
      <c r="V2497" s="8"/>
      <c r="W2497" s="759"/>
      <c r="X2497" s="759"/>
      <c r="Y2497" s="759"/>
      <c r="Z2497" s="759"/>
      <c r="AA2497" s="35"/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5"/>
      <c r="AM2497" s="35"/>
    </row>
    <row r="2498" spans="2:39">
      <c r="B2498" s="1011">
        <v>8</v>
      </c>
      <c r="C2498" s="993" t="s">
        <v>5595</v>
      </c>
      <c r="D2498" s="3">
        <v>200102717</v>
      </c>
      <c r="E2498" s="12" t="s">
        <v>5770</v>
      </c>
      <c r="F2498" s="802">
        <v>19</v>
      </c>
      <c r="G2498" s="1019"/>
      <c r="H2498" s="8" t="s">
        <v>60</v>
      </c>
      <c r="I2498" s="1019"/>
      <c r="J2498" s="786">
        <v>123.69</v>
      </c>
      <c r="K2498" s="1019"/>
      <c r="L2498" s="1019"/>
      <c r="M2498" s="813" t="s">
        <v>2512</v>
      </c>
      <c r="N2498" s="759">
        <v>45131</v>
      </c>
      <c r="O2498" s="8" t="s">
        <v>62</v>
      </c>
      <c r="P2498" s="1027"/>
      <c r="Q2498" s="882">
        <v>3.8</v>
      </c>
      <c r="R2498" s="1012"/>
      <c r="S2498" s="8"/>
      <c r="T2498" s="8"/>
      <c r="U2498" s="8"/>
      <c r="V2498" s="8"/>
      <c r="W2498" s="759"/>
      <c r="X2498" s="759"/>
      <c r="Y2498" s="759"/>
      <c r="Z2498" s="759"/>
      <c r="AA2498" s="35"/>
      <c r="AB2498" s="35"/>
      <c r="AC2498" s="35"/>
      <c r="AD2498" s="35"/>
      <c r="AE2498" s="35"/>
      <c r="AF2498" s="35"/>
      <c r="AG2498" s="35"/>
      <c r="AH2498" s="35"/>
      <c r="AI2498" s="35"/>
      <c r="AJ2498" s="35"/>
      <c r="AK2498" s="35"/>
      <c r="AL2498" s="35"/>
      <c r="AM2498" s="35"/>
    </row>
    <row r="2499" spans="2:39">
      <c r="B2499" s="1011">
        <v>8</v>
      </c>
      <c r="C2499" s="993" t="s">
        <v>5595</v>
      </c>
      <c r="D2499" s="3">
        <v>200102718</v>
      </c>
      <c r="E2499" s="12" t="s">
        <v>5771</v>
      </c>
      <c r="F2499" s="802">
        <v>20</v>
      </c>
      <c r="G2499" s="1019"/>
      <c r="H2499" s="8" t="s">
        <v>60</v>
      </c>
      <c r="I2499" s="1019"/>
      <c r="J2499" s="786">
        <v>125.65</v>
      </c>
      <c r="K2499" s="1019"/>
      <c r="L2499" s="1019"/>
      <c r="M2499" s="813" t="s">
        <v>2512</v>
      </c>
      <c r="N2499" s="759">
        <v>45131</v>
      </c>
      <c r="O2499" s="8" t="s">
        <v>62</v>
      </c>
      <c r="P2499" s="1027"/>
      <c r="Q2499" s="882">
        <v>3.6</v>
      </c>
      <c r="R2499" s="1012"/>
      <c r="S2499" s="8"/>
      <c r="T2499" s="8"/>
      <c r="U2499" s="8"/>
      <c r="V2499" s="8"/>
      <c r="W2499" s="759"/>
      <c r="X2499" s="759"/>
      <c r="Y2499" s="759"/>
      <c r="Z2499" s="759"/>
      <c r="AA2499" s="35"/>
      <c r="AB2499" s="35"/>
      <c r="AC2499" s="35"/>
      <c r="AD2499" s="35"/>
      <c r="AE2499" s="35"/>
      <c r="AF2499" s="35"/>
      <c r="AG2499" s="35"/>
      <c r="AH2499" s="35"/>
      <c r="AI2499" s="35"/>
      <c r="AJ2499" s="35"/>
      <c r="AK2499" s="35"/>
      <c r="AL2499" s="35"/>
      <c r="AM2499" s="35"/>
    </row>
    <row r="2500" spans="2:39">
      <c r="B2500" s="1011">
        <v>8</v>
      </c>
      <c r="C2500" s="993" t="s">
        <v>5595</v>
      </c>
      <c r="D2500" s="3">
        <v>200102719</v>
      </c>
      <c r="E2500" s="12" t="s">
        <v>5772</v>
      </c>
      <c r="F2500" s="802">
        <v>21</v>
      </c>
      <c r="G2500" s="1019"/>
      <c r="H2500" s="8" t="s">
        <v>128</v>
      </c>
      <c r="I2500" s="1019"/>
      <c r="J2500" s="786">
        <v>123</v>
      </c>
      <c r="K2500" s="1019"/>
      <c r="L2500" s="1019"/>
      <c r="M2500" s="813" t="s">
        <v>2512</v>
      </c>
      <c r="N2500" s="759">
        <v>45132</v>
      </c>
      <c r="O2500" s="8" t="s">
        <v>62</v>
      </c>
      <c r="P2500" s="1027"/>
      <c r="Q2500" s="882">
        <v>3.77</v>
      </c>
      <c r="R2500" s="1012"/>
      <c r="S2500" s="8"/>
      <c r="T2500" s="8"/>
      <c r="U2500" s="8"/>
      <c r="V2500" s="8"/>
      <c r="W2500" s="759"/>
      <c r="X2500" s="759"/>
      <c r="Y2500" s="759"/>
      <c r="Z2500" s="759"/>
      <c r="AA2500" s="35"/>
      <c r="AB2500" s="35"/>
      <c r="AC2500" s="35"/>
      <c r="AD2500" s="35"/>
      <c r="AE2500" s="35"/>
      <c r="AF2500" s="35"/>
      <c r="AG2500" s="35"/>
      <c r="AH2500" s="35"/>
      <c r="AI2500" s="35"/>
      <c r="AJ2500" s="35"/>
      <c r="AK2500" s="35"/>
      <c r="AL2500" s="35"/>
      <c r="AM2500" s="35"/>
    </row>
    <row r="2501" spans="2:39">
      <c r="B2501" s="1011">
        <v>8</v>
      </c>
      <c r="C2501" s="993" t="s">
        <v>5595</v>
      </c>
      <c r="D2501" s="3">
        <v>200102720</v>
      </c>
      <c r="E2501" s="12" t="s">
        <v>5773</v>
      </c>
      <c r="F2501" s="802">
        <v>22</v>
      </c>
      <c r="G2501" s="1019"/>
      <c r="H2501" s="8" t="s">
        <v>128</v>
      </c>
      <c r="I2501" s="1019"/>
      <c r="J2501" s="786">
        <v>123.27</v>
      </c>
      <c r="K2501" s="1019"/>
      <c r="L2501" s="1019"/>
      <c r="M2501" s="813" t="s">
        <v>2512</v>
      </c>
      <c r="N2501" s="759">
        <v>45132</v>
      </c>
      <c r="O2501" s="8" t="s">
        <v>62</v>
      </c>
      <c r="P2501" s="1027"/>
      <c r="Q2501" s="882">
        <v>3.53</v>
      </c>
      <c r="R2501" s="1012"/>
      <c r="S2501" s="8"/>
      <c r="T2501" s="8"/>
      <c r="U2501" s="8"/>
      <c r="V2501" s="8"/>
      <c r="W2501" s="759"/>
      <c r="X2501" s="759"/>
      <c r="Y2501" s="759"/>
      <c r="Z2501" s="759"/>
      <c r="AA2501" s="35"/>
      <c r="AB2501" s="35"/>
      <c r="AC2501" s="35"/>
      <c r="AD2501" s="35"/>
      <c r="AE2501" s="35"/>
      <c r="AF2501" s="35"/>
      <c r="AG2501" s="35"/>
      <c r="AH2501" s="35"/>
      <c r="AI2501" s="35"/>
      <c r="AJ2501" s="35"/>
      <c r="AK2501" s="35"/>
      <c r="AL2501" s="35"/>
      <c r="AM2501" s="35"/>
    </row>
    <row r="2502" spans="2:39">
      <c r="B2502" s="1011">
        <v>8</v>
      </c>
      <c r="C2502" s="993" t="s">
        <v>5595</v>
      </c>
      <c r="D2502" s="3">
        <v>200102721</v>
      </c>
      <c r="E2502" s="12" t="s">
        <v>5774</v>
      </c>
      <c r="F2502" s="802">
        <v>23</v>
      </c>
      <c r="G2502" s="1019"/>
      <c r="H2502" s="8" t="s">
        <v>128</v>
      </c>
      <c r="I2502" s="1019"/>
      <c r="J2502" s="786">
        <v>121.04</v>
      </c>
      <c r="K2502" s="1019"/>
      <c r="L2502" s="1019"/>
      <c r="M2502" s="813" t="s">
        <v>2512</v>
      </c>
      <c r="N2502" s="759">
        <v>45132</v>
      </c>
      <c r="O2502" s="8" t="s">
        <v>62</v>
      </c>
      <c r="P2502" s="1027"/>
      <c r="Q2502" s="882">
        <v>3.57</v>
      </c>
      <c r="R2502" s="1012"/>
      <c r="S2502" s="8"/>
      <c r="T2502" s="8"/>
      <c r="U2502" s="8"/>
      <c r="V2502" s="8"/>
      <c r="W2502" s="759"/>
      <c r="X2502" s="759"/>
      <c r="Y2502" s="759"/>
      <c r="Z2502" s="759"/>
      <c r="AA2502" s="35"/>
      <c r="AB2502" s="35"/>
      <c r="AC2502" s="35"/>
      <c r="AD2502" s="35"/>
      <c r="AE2502" s="35"/>
      <c r="AF2502" s="35"/>
      <c r="AG2502" s="35"/>
      <c r="AH2502" s="35"/>
      <c r="AI2502" s="35"/>
      <c r="AJ2502" s="35"/>
      <c r="AK2502" s="35"/>
      <c r="AL2502" s="35"/>
      <c r="AM2502" s="35"/>
    </row>
    <row r="2503" spans="2:39">
      <c r="B2503" s="1011">
        <v>8</v>
      </c>
      <c r="C2503" s="993" t="s">
        <v>5595</v>
      </c>
      <c r="D2503" s="3">
        <v>200102722</v>
      </c>
      <c r="E2503" s="12" t="s">
        <v>5775</v>
      </c>
      <c r="F2503" s="802">
        <v>24</v>
      </c>
      <c r="G2503" s="1019"/>
      <c r="H2503" s="8" t="s">
        <v>128</v>
      </c>
      <c r="I2503" s="1019"/>
      <c r="J2503" s="786">
        <v>123.15</v>
      </c>
      <c r="K2503" s="1019"/>
      <c r="L2503" s="1019"/>
      <c r="M2503" s="813" t="s">
        <v>2512</v>
      </c>
      <c r="N2503" s="759">
        <v>45132</v>
      </c>
      <c r="O2503" s="8" t="s">
        <v>62</v>
      </c>
      <c r="P2503" s="1027"/>
      <c r="Q2503" s="882">
        <v>3.49</v>
      </c>
      <c r="R2503" s="1012"/>
      <c r="S2503" s="8"/>
      <c r="T2503" s="8"/>
      <c r="U2503" s="8"/>
      <c r="V2503" s="8"/>
      <c r="W2503" s="759"/>
      <c r="X2503" s="759"/>
      <c r="Y2503" s="759"/>
      <c r="Z2503" s="759"/>
      <c r="AA2503" s="35"/>
      <c r="AB2503" s="35"/>
      <c r="AC2503" s="35"/>
      <c r="AD2503" s="35"/>
      <c r="AE2503" s="35"/>
      <c r="AF2503" s="35"/>
      <c r="AG2503" s="35"/>
      <c r="AH2503" s="35"/>
      <c r="AI2503" s="35"/>
      <c r="AJ2503" s="35"/>
      <c r="AK2503" s="35"/>
      <c r="AL2503" s="35"/>
      <c r="AM2503" s="35"/>
    </row>
    <row r="2504" spans="2:39">
      <c r="B2504" s="1011">
        <v>8</v>
      </c>
      <c r="C2504" s="993" t="s">
        <v>5595</v>
      </c>
      <c r="D2504" s="3">
        <v>200102723</v>
      </c>
      <c r="E2504" s="12" t="s">
        <v>5776</v>
      </c>
      <c r="F2504" s="802">
        <v>25</v>
      </c>
      <c r="G2504" s="1019"/>
      <c r="H2504" s="8" t="s">
        <v>128</v>
      </c>
      <c r="I2504" s="1019"/>
      <c r="J2504" s="786">
        <v>125.75</v>
      </c>
      <c r="K2504" s="1019"/>
      <c r="L2504" s="1019"/>
      <c r="M2504" s="813" t="s">
        <v>2512</v>
      </c>
      <c r="N2504" s="759">
        <v>45132</v>
      </c>
      <c r="O2504" s="8" t="s">
        <v>62</v>
      </c>
      <c r="P2504" s="1027"/>
      <c r="Q2504" s="882">
        <v>3.57</v>
      </c>
      <c r="R2504" s="1012"/>
      <c r="S2504" s="8"/>
      <c r="T2504" s="8"/>
      <c r="U2504" s="8"/>
      <c r="V2504" s="8"/>
      <c r="W2504" s="759"/>
      <c r="X2504" s="759"/>
      <c r="Y2504" s="759"/>
      <c r="Z2504" s="759"/>
      <c r="AA2504" s="35"/>
      <c r="AB2504" s="35"/>
      <c r="AC2504" s="35"/>
      <c r="AD2504" s="35"/>
      <c r="AE2504" s="35"/>
      <c r="AF2504" s="35"/>
      <c r="AG2504" s="35"/>
      <c r="AH2504" s="35"/>
      <c r="AI2504" s="35"/>
      <c r="AJ2504" s="35"/>
      <c r="AK2504" s="35"/>
      <c r="AL2504" s="35"/>
      <c r="AM2504" s="35"/>
    </row>
    <row r="2505" spans="2:39">
      <c r="B2505" s="1011">
        <v>8</v>
      </c>
      <c r="C2505" s="993" t="s">
        <v>5595</v>
      </c>
      <c r="D2505" s="3">
        <v>200102724</v>
      </c>
      <c r="E2505" s="12" t="s">
        <v>5777</v>
      </c>
      <c r="F2505" s="802">
        <v>26</v>
      </c>
      <c r="G2505" s="1019"/>
      <c r="H2505" s="8" t="s">
        <v>60</v>
      </c>
      <c r="I2505" s="1019"/>
      <c r="J2505" s="786">
        <v>121.68</v>
      </c>
      <c r="K2505" s="1019"/>
      <c r="L2505" s="1019"/>
      <c r="M2505" s="813" t="s">
        <v>2512</v>
      </c>
      <c r="N2505" s="759">
        <v>45132</v>
      </c>
      <c r="O2505" s="8" t="s">
        <v>62</v>
      </c>
      <c r="P2505" s="1027"/>
      <c r="Q2505" s="882">
        <v>3.42</v>
      </c>
      <c r="R2505" s="1012"/>
      <c r="S2505" s="8"/>
      <c r="T2505" s="8"/>
      <c r="U2505" s="8"/>
      <c r="V2505" s="8"/>
      <c r="W2505" s="759"/>
      <c r="X2505" s="759"/>
      <c r="Y2505" s="759"/>
      <c r="Z2505" s="759"/>
      <c r="AA2505" s="35"/>
      <c r="AB2505" s="35"/>
      <c r="AC2505" s="35"/>
      <c r="AD2505" s="35"/>
      <c r="AE2505" s="35"/>
      <c r="AF2505" s="35"/>
      <c r="AG2505" s="35"/>
      <c r="AH2505" s="35"/>
      <c r="AI2505" s="35"/>
      <c r="AJ2505" s="35"/>
      <c r="AK2505" s="35"/>
      <c r="AL2505" s="35"/>
      <c r="AM2505" s="35"/>
    </row>
    <row r="2506" spans="2:39">
      <c r="B2506" s="1011">
        <v>8</v>
      </c>
      <c r="C2506" s="993" t="s">
        <v>5595</v>
      </c>
      <c r="D2506" s="3">
        <v>200102725</v>
      </c>
      <c r="E2506" s="12" t="s">
        <v>5778</v>
      </c>
      <c r="F2506" s="802">
        <v>27</v>
      </c>
      <c r="G2506" s="1019"/>
      <c r="H2506" s="8" t="s">
        <v>60</v>
      </c>
      <c r="I2506" s="1019"/>
      <c r="J2506" s="786">
        <v>122.6</v>
      </c>
      <c r="K2506" s="1019"/>
      <c r="L2506" s="1019"/>
      <c r="M2506" s="813" t="s">
        <v>2512</v>
      </c>
      <c r="N2506" s="759">
        <v>45132</v>
      </c>
      <c r="O2506" s="8" t="s">
        <v>62</v>
      </c>
      <c r="P2506" s="1027"/>
      <c r="Q2506" s="882">
        <v>3.42</v>
      </c>
      <c r="R2506" s="1012"/>
      <c r="S2506" s="8"/>
      <c r="T2506" s="8"/>
      <c r="U2506" s="8"/>
      <c r="V2506" s="8"/>
      <c r="W2506" s="759"/>
      <c r="X2506" s="759"/>
      <c r="Y2506" s="759"/>
      <c r="Z2506" s="759"/>
      <c r="AA2506" s="35"/>
      <c r="AB2506" s="35"/>
      <c r="AC2506" s="35"/>
      <c r="AD2506" s="35"/>
      <c r="AE2506" s="35"/>
      <c r="AF2506" s="35"/>
      <c r="AG2506" s="35"/>
      <c r="AH2506" s="35"/>
      <c r="AI2506" s="35"/>
      <c r="AJ2506" s="35"/>
      <c r="AK2506" s="35"/>
      <c r="AL2506" s="35"/>
      <c r="AM2506" s="35"/>
    </row>
    <row r="2507" spans="2:39">
      <c r="B2507" s="1011">
        <v>8</v>
      </c>
      <c r="C2507" s="993" t="s">
        <v>5595</v>
      </c>
      <c r="D2507" s="3">
        <v>200102726</v>
      </c>
      <c r="E2507" s="12" t="s">
        <v>5779</v>
      </c>
      <c r="F2507" s="802">
        <v>28</v>
      </c>
      <c r="G2507" s="1019"/>
      <c r="H2507" s="8" t="s">
        <v>60</v>
      </c>
      <c r="I2507" s="1019"/>
      <c r="J2507" s="786">
        <v>124.56</v>
      </c>
      <c r="K2507" s="1019"/>
      <c r="L2507" s="1019"/>
      <c r="M2507" s="813" t="s">
        <v>2512</v>
      </c>
      <c r="N2507" s="759">
        <v>45132</v>
      </c>
      <c r="O2507" s="8" t="s">
        <v>62</v>
      </c>
      <c r="P2507" s="1027"/>
      <c r="Q2507" s="882">
        <v>3.63</v>
      </c>
      <c r="R2507" s="1012"/>
      <c r="S2507" s="8"/>
      <c r="T2507" s="8"/>
      <c r="U2507" s="8"/>
      <c r="V2507" s="8"/>
      <c r="W2507" s="759"/>
      <c r="X2507" s="759"/>
      <c r="Y2507" s="759"/>
      <c r="Z2507" s="759"/>
      <c r="AA2507" s="35"/>
      <c r="AB2507" s="35"/>
      <c r="AC2507" s="35"/>
      <c r="AD2507" s="35"/>
      <c r="AE2507" s="35"/>
      <c r="AF2507" s="35"/>
      <c r="AG2507" s="35"/>
      <c r="AH2507" s="35"/>
      <c r="AI2507" s="35"/>
      <c r="AJ2507" s="35"/>
      <c r="AK2507" s="35"/>
      <c r="AL2507" s="35"/>
      <c r="AM2507" s="35"/>
    </row>
    <row r="2508" spans="2:39">
      <c r="B2508" s="1011">
        <v>8</v>
      </c>
      <c r="C2508" s="993" t="s">
        <v>5595</v>
      </c>
      <c r="D2508" s="3">
        <v>200102727</v>
      </c>
      <c r="E2508" s="12" t="s">
        <v>5780</v>
      </c>
      <c r="F2508" s="802">
        <v>29</v>
      </c>
      <c r="G2508" s="1019"/>
      <c r="H2508" s="8" t="s">
        <v>60</v>
      </c>
      <c r="I2508" s="1019"/>
      <c r="J2508" s="786">
        <v>125.02</v>
      </c>
      <c r="K2508" s="1019"/>
      <c r="L2508" s="1019"/>
      <c r="M2508" s="813" t="s">
        <v>2512</v>
      </c>
      <c r="N2508" s="759">
        <v>45132</v>
      </c>
      <c r="O2508" s="8" t="s">
        <v>62</v>
      </c>
      <c r="P2508" s="1027"/>
      <c r="Q2508" s="882">
        <v>3.55</v>
      </c>
      <c r="R2508" s="1012"/>
      <c r="S2508" s="8"/>
      <c r="T2508" s="8"/>
      <c r="U2508" s="8"/>
      <c r="V2508" s="8"/>
      <c r="W2508" s="759"/>
      <c r="X2508" s="759"/>
      <c r="Y2508" s="759"/>
      <c r="Z2508" s="759"/>
      <c r="AA2508" s="35"/>
      <c r="AB2508" s="35"/>
      <c r="AC2508" s="35"/>
      <c r="AD2508" s="35"/>
      <c r="AE2508" s="35"/>
      <c r="AF2508" s="35"/>
      <c r="AG2508" s="35"/>
      <c r="AH2508" s="35"/>
      <c r="AI2508" s="35"/>
      <c r="AJ2508" s="35"/>
      <c r="AK2508" s="35"/>
      <c r="AL2508" s="35"/>
      <c r="AM2508" s="35"/>
    </row>
    <row r="2509" spans="2:39">
      <c r="B2509" s="1011">
        <v>8</v>
      </c>
      <c r="C2509" s="993" t="s">
        <v>5595</v>
      </c>
      <c r="D2509" s="3">
        <v>200102728</v>
      </c>
      <c r="E2509" s="1469" t="s">
        <v>5781</v>
      </c>
      <c r="F2509" s="802">
        <v>30</v>
      </c>
      <c r="G2509" s="1019"/>
      <c r="H2509" s="8" t="s">
        <v>60</v>
      </c>
      <c r="I2509" s="1019"/>
      <c r="J2509" s="762">
        <v>124.07</v>
      </c>
      <c r="K2509" s="1019"/>
      <c r="L2509" s="1019"/>
      <c r="M2509" s="813" t="s">
        <v>2512</v>
      </c>
      <c r="N2509" s="759">
        <v>45132</v>
      </c>
      <c r="O2509" s="8" t="s">
        <v>62</v>
      </c>
      <c r="P2509" s="1027"/>
      <c r="Q2509" s="3">
        <v>3.8</v>
      </c>
      <c r="R2509" s="1012"/>
      <c r="S2509" s="8"/>
      <c r="T2509" s="8"/>
      <c r="U2509" s="8"/>
      <c r="V2509" s="8"/>
      <c r="W2509" s="759"/>
      <c r="X2509" s="759"/>
      <c r="Y2509" s="759"/>
      <c r="Z2509" s="759"/>
      <c r="AA2509" s="35"/>
      <c r="AB2509" s="35"/>
      <c r="AC2509" s="35"/>
      <c r="AD2509" s="35"/>
      <c r="AE2509" s="35"/>
      <c r="AF2509" s="35"/>
      <c r="AG2509" s="35"/>
      <c r="AH2509" s="35"/>
      <c r="AI2509" s="35"/>
      <c r="AJ2509" s="35"/>
      <c r="AK2509" s="35"/>
      <c r="AL2509" s="35"/>
      <c r="AM2509" s="35"/>
    </row>
    <row r="2510" spans="2:39">
      <c r="B2510" s="1011">
        <v>8</v>
      </c>
      <c r="C2510" s="993" t="s">
        <v>5595</v>
      </c>
      <c r="D2510" s="3">
        <v>200102536</v>
      </c>
      <c r="E2510" s="1469" t="s">
        <v>5782</v>
      </c>
      <c r="F2510" s="802">
        <v>31</v>
      </c>
      <c r="G2510" s="1019"/>
      <c r="H2510" s="8" t="s">
        <v>60</v>
      </c>
      <c r="I2510" s="1019"/>
      <c r="J2510" s="786">
        <v>121.55</v>
      </c>
      <c r="K2510" s="1019"/>
      <c r="L2510" s="1019"/>
      <c r="M2510" s="813" t="s">
        <v>2512</v>
      </c>
      <c r="N2510" s="759">
        <v>45134</v>
      </c>
      <c r="O2510" s="8" t="s">
        <v>62</v>
      </c>
      <c r="P2510" s="1027"/>
      <c r="Q2510" s="882">
        <v>3.52</v>
      </c>
      <c r="R2510" s="1012"/>
      <c r="S2510" s="8"/>
      <c r="T2510" s="8"/>
      <c r="U2510" s="8"/>
      <c r="V2510" s="8"/>
      <c r="W2510" s="759"/>
      <c r="X2510" s="759"/>
      <c r="Y2510" s="759"/>
      <c r="Z2510" s="759"/>
      <c r="AA2510" s="35"/>
      <c r="AB2510" s="35"/>
      <c r="AC2510" s="35"/>
      <c r="AD2510" s="35"/>
      <c r="AE2510" s="35"/>
      <c r="AF2510" s="35"/>
      <c r="AG2510" s="35"/>
      <c r="AH2510" s="35"/>
      <c r="AI2510" s="35"/>
      <c r="AJ2510" s="35"/>
      <c r="AK2510" s="35"/>
      <c r="AL2510" s="35"/>
      <c r="AM2510" s="35"/>
    </row>
    <row r="2511" spans="2:39">
      <c r="B2511" s="1011">
        <v>8</v>
      </c>
      <c r="C2511" s="993" t="s">
        <v>5595</v>
      </c>
      <c r="D2511" s="3">
        <v>200102537</v>
      </c>
      <c r="E2511" s="1469" t="s">
        <v>5783</v>
      </c>
      <c r="F2511" s="802">
        <v>32</v>
      </c>
      <c r="G2511" s="1019"/>
      <c r="H2511" s="8" t="s">
        <v>60</v>
      </c>
      <c r="I2511" s="1019"/>
      <c r="J2511" s="786">
        <v>122.34</v>
      </c>
      <c r="K2511" s="1019"/>
      <c r="L2511" s="1019"/>
      <c r="M2511" s="813" t="s">
        <v>2512</v>
      </c>
      <c r="N2511" s="759">
        <v>45134</v>
      </c>
      <c r="O2511" s="8" t="s">
        <v>62</v>
      </c>
      <c r="P2511" s="1027"/>
      <c r="Q2511" s="882">
        <v>3.45</v>
      </c>
      <c r="R2511" s="1012"/>
      <c r="S2511" s="8"/>
      <c r="T2511" s="8"/>
      <c r="U2511" s="8"/>
      <c r="V2511" s="8"/>
      <c r="W2511" s="759"/>
      <c r="X2511" s="759"/>
      <c r="Y2511" s="759"/>
      <c r="Z2511" s="759"/>
      <c r="AA2511" s="35"/>
      <c r="AB2511" s="35"/>
      <c r="AC2511" s="35"/>
      <c r="AD2511" s="35"/>
      <c r="AE2511" s="35"/>
      <c r="AF2511" s="35"/>
      <c r="AG2511" s="35"/>
      <c r="AH2511" s="35"/>
      <c r="AI2511" s="35"/>
      <c r="AJ2511" s="35"/>
      <c r="AK2511" s="35"/>
      <c r="AL2511" s="35"/>
      <c r="AM2511" s="35"/>
    </row>
    <row r="2512" spans="2:39">
      <c r="B2512" s="1011">
        <v>8</v>
      </c>
      <c r="C2512" s="993" t="s">
        <v>5595</v>
      </c>
      <c r="D2512" s="3">
        <v>200102538</v>
      </c>
      <c r="E2512" s="1469" t="s">
        <v>5784</v>
      </c>
      <c r="F2512" s="802">
        <v>33</v>
      </c>
      <c r="G2512" s="1019"/>
      <c r="H2512" s="8" t="s">
        <v>60</v>
      </c>
      <c r="I2512" s="1019"/>
      <c r="J2512" s="786">
        <v>123.8</v>
      </c>
      <c r="K2512" s="1019"/>
      <c r="L2512" s="1019"/>
      <c r="M2512" s="813" t="s">
        <v>2512</v>
      </c>
      <c r="N2512" s="759">
        <v>45134</v>
      </c>
      <c r="O2512" s="8" t="s">
        <v>62</v>
      </c>
      <c r="P2512" s="1027"/>
      <c r="Q2512" s="882">
        <v>3.46</v>
      </c>
      <c r="R2512" s="1012"/>
      <c r="S2512" s="8"/>
      <c r="T2512" s="8"/>
      <c r="U2512" s="8"/>
      <c r="V2512" s="8"/>
      <c r="W2512" s="759"/>
      <c r="X2512" s="759"/>
      <c r="Y2512" s="759"/>
      <c r="Z2512" s="759"/>
      <c r="AA2512" s="35"/>
      <c r="AB2512" s="35"/>
      <c r="AC2512" s="35"/>
      <c r="AD2512" s="35"/>
      <c r="AE2512" s="35"/>
      <c r="AF2512" s="35"/>
      <c r="AG2512" s="35"/>
      <c r="AH2512" s="35"/>
      <c r="AI2512" s="35"/>
      <c r="AJ2512" s="35"/>
      <c r="AK2512" s="35"/>
      <c r="AL2512" s="35"/>
      <c r="AM2512" s="35"/>
    </row>
    <row r="2513" spans="2:39">
      <c r="B2513" s="1011">
        <v>8</v>
      </c>
      <c r="C2513" s="993" t="s">
        <v>5595</v>
      </c>
      <c r="D2513" s="3">
        <v>200102539</v>
      </c>
      <c r="E2513" s="1469" t="s">
        <v>5785</v>
      </c>
      <c r="F2513" s="802">
        <v>34</v>
      </c>
      <c r="G2513" s="1019"/>
      <c r="H2513" s="8" t="s">
        <v>60</v>
      </c>
      <c r="I2513" s="1019"/>
      <c r="J2513" s="786">
        <v>124.09</v>
      </c>
      <c r="K2513" s="1019"/>
      <c r="L2513" s="1019"/>
      <c r="M2513" s="813" t="s">
        <v>2512</v>
      </c>
      <c r="N2513" s="759">
        <v>45134</v>
      </c>
      <c r="O2513" s="8" t="s">
        <v>62</v>
      </c>
      <c r="P2513" s="1027"/>
      <c r="Q2513" s="882">
        <v>3.75</v>
      </c>
      <c r="R2513" s="1012"/>
      <c r="S2513" s="8"/>
      <c r="T2513" s="8"/>
      <c r="U2513" s="8"/>
      <c r="V2513" s="8"/>
      <c r="W2513" s="759"/>
      <c r="X2513" s="759"/>
      <c r="Y2513" s="759"/>
      <c r="Z2513" s="759"/>
      <c r="AA2513" s="35"/>
      <c r="AB2513" s="35"/>
      <c r="AC2513" s="35"/>
      <c r="AD2513" s="35"/>
      <c r="AE2513" s="35"/>
      <c r="AF2513" s="35"/>
      <c r="AG2513" s="35"/>
      <c r="AH2513" s="35"/>
      <c r="AI2513" s="35"/>
      <c r="AJ2513" s="35"/>
      <c r="AK2513" s="35"/>
      <c r="AL2513" s="35"/>
      <c r="AM2513" s="35"/>
    </row>
    <row r="2514" spans="2:39">
      <c r="B2514" s="1011">
        <v>8</v>
      </c>
      <c r="C2514" s="993" t="s">
        <v>5595</v>
      </c>
      <c r="D2514" s="3">
        <v>200102800</v>
      </c>
      <c r="E2514" s="1469" t="s">
        <v>5786</v>
      </c>
      <c r="F2514" s="802">
        <v>35</v>
      </c>
      <c r="G2514" s="1019"/>
      <c r="H2514" s="8" t="s">
        <v>60</v>
      </c>
      <c r="I2514" s="1019"/>
      <c r="J2514" s="786">
        <v>124.65</v>
      </c>
      <c r="K2514" s="1019"/>
      <c r="L2514" s="1019"/>
      <c r="M2514" s="813" t="s">
        <v>2512</v>
      </c>
      <c r="N2514" s="759">
        <v>45134</v>
      </c>
      <c r="O2514" s="8" t="s">
        <v>62</v>
      </c>
      <c r="P2514" s="1027"/>
      <c r="Q2514" s="882">
        <v>3.74</v>
      </c>
      <c r="R2514" s="1012"/>
      <c r="S2514" s="8"/>
      <c r="T2514" s="8"/>
      <c r="U2514" s="8"/>
      <c r="V2514" s="8"/>
      <c r="W2514" s="759"/>
      <c r="X2514" s="759"/>
      <c r="Y2514" s="759"/>
      <c r="Z2514" s="759"/>
      <c r="AA2514" s="35"/>
      <c r="AB2514" s="35"/>
      <c r="AC2514" s="35"/>
      <c r="AD2514" s="35"/>
      <c r="AE2514" s="35"/>
      <c r="AF2514" s="35"/>
      <c r="AG2514" s="35"/>
      <c r="AH2514" s="35"/>
      <c r="AI2514" s="35"/>
      <c r="AJ2514" s="35"/>
      <c r="AK2514" s="35"/>
      <c r="AL2514" s="35"/>
      <c r="AM2514" s="35"/>
    </row>
    <row r="2515" spans="2:39">
      <c r="B2515" s="1011">
        <v>8</v>
      </c>
      <c r="C2515" s="993" t="s">
        <v>5595</v>
      </c>
      <c r="D2515" s="3">
        <v>200102801</v>
      </c>
      <c r="E2515" s="1469" t="s">
        <v>5787</v>
      </c>
      <c r="F2515" s="1028">
        <v>36</v>
      </c>
      <c r="G2515" s="1029"/>
      <c r="H2515" s="1029"/>
      <c r="I2515" s="1029"/>
      <c r="J2515" s="1030"/>
      <c r="K2515" s="1029"/>
      <c r="L2515" s="1029"/>
      <c r="M2515" s="831"/>
      <c r="N2515" s="832"/>
      <c r="O2515" s="1029"/>
      <c r="P2515" s="1031"/>
      <c r="Q2515" s="849"/>
      <c r="R2515" s="1029"/>
      <c r="S2515" s="1029"/>
      <c r="T2515" s="1029"/>
      <c r="U2515" s="1029"/>
      <c r="V2515" s="1029"/>
      <c r="W2515" s="832"/>
      <c r="X2515" s="832"/>
      <c r="Y2515" s="832"/>
      <c r="Z2515" s="832"/>
      <c r="AA2515" s="1034"/>
      <c r="AB2515" s="1034"/>
      <c r="AC2515" s="1034"/>
      <c r="AD2515" s="1034"/>
      <c r="AE2515" s="1034"/>
      <c r="AF2515" s="1034"/>
      <c r="AG2515" s="1034"/>
      <c r="AH2515" s="1034"/>
      <c r="AI2515" s="1034"/>
      <c r="AJ2515" s="1034"/>
      <c r="AK2515" s="1034"/>
      <c r="AL2515" s="1034"/>
      <c r="AM2515" s="1034"/>
    </row>
    <row r="2516" spans="2:39">
      <c r="B2516" s="1011">
        <v>8</v>
      </c>
      <c r="C2516" s="993" t="s">
        <v>5595</v>
      </c>
      <c r="D2516" s="3">
        <v>200102802</v>
      </c>
      <c r="E2516" s="1469" t="s">
        <v>5788</v>
      </c>
      <c r="F2516" s="1028">
        <v>37</v>
      </c>
      <c r="G2516" s="1029"/>
      <c r="H2516" s="1029"/>
      <c r="I2516" s="1029"/>
      <c r="J2516" s="1030"/>
      <c r="K2516" s="1029"/>
      <c r="L2516" s="1029"/>
      <c r="M2516" s="831"/>
      <c r="N2516" s="832"/>
      <c r="O2516" s="1029"/>
      <c r="P2516" s="1031"/>
      <c r="Q2516" s="833"/>
      <c r="R2516" s="1029"/>
      <c r="S2516" s="1029"/>
      <c r="T2516" s="1029"/>
      <c r="U2516" s="1029"/>
      <c r="V2516" s="1029"/>
      <c r="W2516" s="832"/>
      <c r="X2516" s="832"/>
      <c r="Y2516" s="832"/>
      <c r="Z2516" s="832"/>
      <c r="AA2516" s="1034"/>
      <c r="AB2516" s="1034"/>
      <c r="AC2516" s="1034"/>
      <c r="AD2516" s="1034"/>
      <c r="AE2516" s="1034"/>
      <c r="AF2516" s="1034"/>
      <c r="AG2516" s="1034"/>
      <c r="AH2516" s="1034"/>
      <c r="AI2516" s="1034"/>
      <c r="AJ2516" s="1034"/>
      <c r="AK2516" s="1034"/>
      <c r="AL2516" s="1034"/>
      <c r="AM2516" s="1034"/>
    </row>
    <row r="2517" spans="2:39">
      <c r="B2517" s="1011">
        <v>8</v>
      </c>
      <c r="C2517" s="993" t="s">
        <v>5595</v>
      </c>
      <c r="D2517" s="3">
        <v>200102803</v>
      </c>
      <c r="E2517" s="1469" t="s">
        <v>5789</v>
      </c>
      <c r="F2517" s="1028">
        <v>38</v>
      </c>
      <c r="G2517" s="1029"/>
      <c r="H2517" s="1029"/>
      <c r="I2517" s="1029"/>
      <c r="J2517" s="1030"/>
      <c r="K2517" s="1029"/>
      <c r="L2517" s="1029"/>
      <c r="M2517" s="831"/>
      <c r="N2517" s="832"/>
      <c r="O2517" s="1029"/>
      <c r="P2517" s="1031"/>
      <c r="Q2517" s="833"/>
      <c r="R2517" s="1029"/>
      <c r="S2517" s="1029"/>
      <c r="T2517" s="1029"/>
      <c r="U2517" s="1029"/>
      <c r="V2517" s="1029"/>
      <c r="W2517" s="832"/>
      <c r="X2517" s="832"/>
      <c r="Y2517" s="832"/>
      <c r="Z2517" s="832"/>
      <c r="AA2517" s="1034"/>
      <c r="AB2517" s="1034"/>
      <c r="AC2517" s="1034"/>
      <c r="AD2517" s="1034"/>
      <c r="AE2517" s="1034"/>
      <c r="AF2517" s="1034"/>
      <c r="AG2517" s="1034"/>
      <c r="AH2517" s="1034"/>
      <c r="AI2517" s="1034"/>
      <c r="AJ2517" s="1034"/>
      <c r="AK2517" s="1034"/>
      <c r="AL2517" s="1034"/>
      <c r="AM2517" s="1034"/>
    </row>
    <row r="2518" spans="2:39">
      <c r="B2518" s="1011">
        <v>8</v>
      </c>
      <c r="C2518" s="993" t="s">
        <v>5595</v>
      </c>
      <c r="D2518" s="3">
        <v>200102804</v>
      </c>
      <c r="E2518" s="1469" t="s">
        <v>5790</v>
      </c>
      <c r="F2518" s="1028">
        <v>39</v>
      </c>
      <c r="G2518" s="1029"/>
      <c r="H2518" s="1029"/>
      <c r="I2518" s="1029"/>
      <c r="J2518" s="1030"/>
      <c r="K2518" s="1029"/>
      <c r="L2518" s="1029"/>
      <c r="M2518" s="831"/>
      <c r="N2518" s="832"/>
      <c r="O2518" s="1029"/>
      <c r="P2518" s="1031"/>
      <c r="Q2518" s="1029"/>
      <c r="R2518" s="1029"/>
      <c r="S2518" s="1029"/>
      <c r="T2518" s="1029"/>
      <c r="U2518" s="1029"/>
      <c r="V2518" s="1029"/>
      <c r="W2518" s="832"/>
      <c r="X2518" s="832"/>
      <c r="Y2518" s="832"/>
      <c r="Z2518" s="832"/>
      <c r="AA2518" s="1034"/>
      <c r="AB2518" s="1034"/>
      <c r="AC2518" s="1034"/>
      <c r="AD2518" s="1034"/>
      <c r="AE2518" s="1034"/>
      <c r="AF2518" s="1034"/>
      <c r="AG2518" s="1034"/>
      <c r="AH2518" s="1034"/>
      <c r="AI2518" s="1034"/>
      <c r="AJ2518" s="1034"/>
      <c r="AK2518" s="1034"/>
      <c r="AL2518" s="1034"/>
      <c r="AM2518" s="1034"/>
    </row>
    <row r="2519" spans="2:39">
      <c r="B2519" s="1011">
        <v>8</v>
      </c>
      <c r="C2519" s="993" t="s">
        <v>5595</v>
      </c>
      <c r="D2519" s="3">
        <v>200102805</v>
      </c>
      <c r="E2519" s="1469" t="s">
        <v>5791</v>
      </c>
      <c r="F2519" s="1028">
        <v>40</v>
      </c>
      <c r="G2519" s="1029"/>
      <c r="H2519" s="1029"/>
      <c r="I2519" s="1029"/>
      <c r="J2519" s="1030"/>
      <c r="K2519" s="1029"/>
      <c r="L2519" s="1029"/>
      <c r="M2519" s="831"/>
      <c r="N2519" s="832"/>
      <c r="O2519" s="1029"/>
      <c r="P2519" s="1031"/>
      <c r="Q2519" s="1029"/>
      <c r="R2519" s="1029"/>
      <c r="S2519" s="1029"/>
      <c r="T2519" s="1029"/>
      <c r="U2519" s="1029"/>
      <c r="V2519" s="1029"/>
      <c r="W2519" s="832"/>
      <c r="X2519" s="832"/>
      <c r="Y2519" s="832"/>
      <c r="Z2519" s="832"/>
      <c r="AA2519" s="1034"/>
      <c r="AB2519" s="1034"/>
      <c r="AC2519" s="1034"/>
      <c r="AD2519" s="1034"/>
      <c r="AE2519" s="1034"/>
      <c r="AF2519" s="1034"/>
      <c r="AG2519" s="1034"/>
      <c r="AH2519" s="1034"/>
      <c r="AI2519" s="1034"/>
      <c r="AJ2519" s="1034"/>
      <c r="AK2519" s="1034"/>
      <c r="AL2519" s="1034"/>
      <c r="AM2519" s="1034"/>
    </row>
    <row r="2520" spans="2:39">
      <c r="B2520" s="1011">
        <v>8</v>
      </c>
      <c r="C2520" s="993" t="s">
        <v>5595</v>
      </c>
      <c r="D2520" s="3">
        <v>200102806</v>
      </c>
      <c r="E2520" s="1469" t="s">
        <v>5792</v>
      </c>
      <c r="F2520" s="1028">
        <v>41</v>
      </c>
      <c r="G2520" s="1029"/>
      <c r="H2520" s="1029"/>
      <c r="I2520" s="1029"/>
      <c r="J2520" s="1030"/>
      <c r="K2520" s="1029"/>
      <c r="L2520" s="1029"/>
      <c r="M2520" s="831"/>
      <c r="N2520" s="832"/>
      <c r="O2520" s="1029"/>
      <c r="P2520" s="1031"/>
      <c r="Q2520" s="1029"/>
      <c r="R2520" s="1029"/>
      <c r="S2520" s="1029"/>
      <c r="T2520" s="1029"/>
      <c r="U2520" s="1029"/>
      <c r="V2520" s="1029"/>
      <c r="W2520" s="832"/>
      <c r="X2520" s="832"/>
      <c r="Y2520" s="832"/>
      <c r="Z2520" s="832"/>
      <c r="AA2520" s="1034"/>
      <c r="AB2520" s="1034"/>
      <c r="AC2520" s="1034"/>
      <c r="AD2520" s="1034"/>
      <c r="AE2520" s="1034"/>
      <c r="AF2520" s="1034"/>
      <c r="AG2520" s="1034"/>
      <c r="AH2520" s="1034"/>
      <c r="AI2520" s="1034"/>
      <c r="AJ2520" s="1034"/>
      <c r="AK2520" s="1034"/>
      <c r="AL2520" s="1034"/>
      <c r="AM2520" s="1034"/>
    </row>
    <row r="2521" spans="2:39">
      <c r="B2521" s="1011">
        <v>8</v>
      </c>
      <c r="C2521" s="993" t="s">
        <v>5595</v>
      </c>
      <c r="D2521" s="3">
        <v>200102807</v>
      </c>
      <c r="E2521" s="1469" t="s">
        <v>5793</v>
      </c>
      <c r="F2521" s="1028">
        <v>42</v>
      </c>
      <c r="G2521" s="1029"/>
      <c r="H2521" s="1029"/>
      <c r="I2521" s="1029"/>
      <c r="J2521" s="1030"/>
      <c r="K2521" s="1029"/>
      <c r="L2521" s="1029"/>
      <c r="M2521" s="831"/>
      <c r="N2521" s="832"/>
      <c r="O2521" s="1029"/>
      <c r="P2521" s="1031"/>
      <c r="Q2521" s="1029"/>
      <c r="R2521" s="1029"/>
      <c r="S2521" s="1029"/>
      <c r="T2521" s="1029"/>
      <c r="U2521" s="1029"/>
      <c r="V2521" s="1029"/>
      <c r="W2521" s="832"/>
      <c r="X2521" s="832"/>
      <c r="Y2521" s="832"/>
      <c r="Z2521" s="832"/>
      <c r="AA2521" s="1034"/>
      <c r="AB2521" s="1034"/>
      <c r="AC2521" s="1034"/>
      <c r="AD2521" s="1034"/>
      <c r="AE2521" s="1034"/>
      <c r="AF2521" s="1034"/>
      <c r="AG2521" s="1034"/>
      <c r="AH2521" s="1034"/>
      <c r="AI2521" s="1034"/>
      <c r="AJ2521" s="1034"/>
      <c r="AK2521" s="1034"/>
      <c r="AL2521" s="1034"/>
      <c r="AM2521" s="1034"/>
    </row>
    <row r="2522" spans="2:39">
      <c r="B2522" s="1011">
        <v>8</v>
      </c>
      <c r="C2522" s="993" t="s">
        <v>5595</v>
      </c>
      <c r="D2522" s="3">
        <v>200102808</v>
      </c>
      <c r="E2522" s="1469" t="s">
        <v>5794</v>
      </c>
      <c r="F2522" s="1028">
        <v>43</v>
      </c>
      <c r="G2522" s="1029"/>
      <c r="H2522" s="1029"/>
      <c r="I2522" s="1029"/>
      <c r="J2522" s="1030"/>
      <c r="K2522" s="1029"/>
      <c r="L2522" s="1029"/>
      <c r="M2522" s="831"/>
      <c r="N2522" s="832"/>
      <c r="O2522" s="1029"/>
      <c r="P2522" s="1031"/>
      <c r="Q2522" s="1029"/>
      <c r="R2522" s="1029"/>
      <c r="S2522" s="1029"/>
      <c r="T2522" s="1029"/>
      <c r="U2522" s="1029"/>
      <c r="V2522" s="1029"/>
      <c r="W2522" s="832"/>
      <c r="X2522" s="832"/>
      <c r="Y2522" s="832"/>
      <c r="Z2522" s="832"/>
      <c r="AA2522" s="1034"/>
      <c r="AB2522" s="1034"/>
      <c r="AC2522" s="1034"/>
      <c r="AD2522" s="1034"/>
      <c r="AE2522" s="1034"/>
      <c r="AF2522" s="1034"/>
      <c r="AG2522" s="1034"/>
      <c r="AH2522" s="1034"/>
      <c r="AI2522" s="1034"/>
      <c r="AJ2522" s="1034"/>
      <c r="AK2522" s="1034"/>
      <c r="AL2522" s="1034"/>
      <c r="AM2522" s="1034"/>
    </row>
    <row r="2523" spans="2:39">
      <c r="B2523" s="1011">
        <v>8</v>
      </c>
      <c r="C2523" s="993" t="s">
        <v>5595</v>
      </c>
      <c r="D2523" s="3">
        <v>200102809</v>
      </c>
      <c r="E2523" s="1469" t="s">
        <v>5795</v>
      </c>
      <c r="F2523" s="1028">
        <v>44</v>
      </c>
      <c r="G2523" s="1029"/>
      <c r="H2523" s="1029"/>
      <c r="I2523" s="1029"/>
      <c r="J2523" s="1030"/>
      <c r="K2523" s="1029"/>
      <c r="L2523" s="1029"/>
      <c r="M2523" s="831"/>
      <c r="N2523" s="832"/>
      <c r="O2523" s="1029"/>
      <c r="P2523" s="1031"/>
      <c r="Q2523" s="1029"/>
      <c r="R2523" s="1029"/>
      <c r="S2523" s="1029"/>
      <c r="T2523" s="1029"/>
      <c r="U2523" s="1029"/>
      <c r="V2523" s="1029"/>
      <c r="W2523" s="832"/>
      <c r="X2523" s="832"/>
      <c r="Y2523" s="832"/>
      <c r="Z2523" s="832"/>
      <c r="AA2523" s="1034"/>
      <c r="AB2523" s="1034"/>
      <c r="AC2523" s="1034"/>
      <c r="AD2523" s="1034"/>
      <c r="AE2523" s="1034"/>
      <c r="AF2523" s="1034"/>
      <c r="AG2523" s="1034"/>
      <c r="AH2523" s="1034"/>
      <c r="AI2523" s="1034"/>
      <c r="AJ2523" s="1034"/>
      <c r="AK2523" s="1034"/>
      <c r="AL2523" s="1034"/>
      <c r="AM2523" s="1034"/>
    </row>
    <row r="2524" spans="2:39">
      <c r="B2524" s="1011">
        <v>8</v>
      </c>
      <c r="C2524" s="993" t="s">
        <v>5595</v>
      </c>
      <c r="D2524" s="3">
        <v>200102810</v>
      </c>
      <c r="E2524" s="1469" t="s">
        <v>5796</v>
      </c>
      <c r="F2524" s="1028">
        <v>45</v>
      </c>
      <c r="G2524" s="1029"/>
      <c r="H2524" s="1029"/>
      <c r="I2524" s="1029"/>
      <c r="J2524" s="1030"/>
      <c r="K2524" s="1029"/>
      <c r="L2524" s="1029"/>
      <c r="M2524" s="831"/>
      <c r="N2524" s="832"/>
      <c r="O2524" s="1029"/>
      <c r="P2524" s="1031"/>
      <c r="Q2524" s="1029"/>
      <c r="R2524" s="1029"/>
      <c r="S2524" s="1029"/>
      <c r="T2524" s="1029"/>
      <c r="U2524" s="1029"/>
      <c r="V2524" s="1029"/>
      <c r="W2524" s="832"/>
      <c r="X2524" s="832"/>
      <c r="Y2524" s="832"/>
      <c r="Z2524" s="832"/>
      <c r="AA2524" s="1034"/>
      <c r="AB2524" s="1034"/>
      <c r="AC2524" s="1034"/>
      <c r="AD2524" s="1034"/>
      <c r="AE2524" s="1034"/>
      <c r="AF2524" s="1034"/>
      <c r="AG2524" s="1034"/>
      <c r="AH2524" s="1034"/>
      <c r="AI2524" s="1034"/>
      <c r="AJ2524" s="1034"/>
      <c r="AK2524" s="1034"/>
      <c r="AL2524" s="1034"/>
      <c r="AM2524" s="1034"/>
    </row>
    <row r="2525" spans="2:39">
      <c r="B2525" s="1011">
        <v>8</v>
      </c>
      <c r="C2525" s="993" t="s">
        <v>5595</v>
      </c>
      <c r="D2525" s="3">
        <v>200102811</v>
      </c>
      <c r="E2525" s="1469" t="s">
        <v>5797</v>
      </c>
      <c r="F2525" s="1028">
        <v>46</v>
      </c>
      <c r="G2525" s="1029"/>
      <c r="H2525" s="1029"/>
      <c r="I2525" s="1029"/>
      <c r="J2525" s="1030"/>
      <c r="K2525" s="1029"/>
      <c r="L2525" s="1029"/>
      <c r="M2525" s="831"/>
      <c r="N2525" s="832"/>
      <c r="O2525" s="1029"/>
      <c r="P2525" s="1031"/>
      <c r="Q2525" s="1029"/>
      <c r="R2525" s="1029"/>
      <c r="S2525" s="1029"/>
      <c r="T2525" s="1029"/>
      <c r="U2525" s="1029"/>
      <c r="V2525" s="1029"/>
      <c r="W2525" s="832"/>
      <c r="X2525" s="832"/>
      <c r="Y2525" s="832"/>
      <c r="Z2525" s="832"/>
      <c r="AA2525" s="1034"/>
      <c r="AB2525" s="1034"/>
      <c r="AC2525" s="1034"/>
      <c r="AD2525" s="1034"/>
      <c r="AE2525" s="1034"/>
      <c r="AF2525" s="1034"/>
      <c r="AG2525" s="1034"/>
      <c r="AH2525" s="1034"/>
      <c r="AI2525" s="1034"/>
      <c r="AJ2525" s="1034"/>
      <c r="AK2525" s="1034"/>
      <c r="AL2525" s="1034"/>
      <c r="AM2525" s="1034"/>
    </row>
    <row r="2526" spans="2:39">
      <c r="B2526" s="1011">
        <v>8</v>
      </c>
      <c r="C2526" s="993" t="s">
        <v>5595</v>
      </c>
      <c r="D2526" s="3">
        <v>200102812</v>
      </c>
      <c r="E2526" s="1469" t="s">
        <v>5798</v>
      </c>
      <c r="F2526" s="1028">
        <v>47</v>
      </c>
      <c r="G2526" s="1029"/>
      <c r="H2526" s="1029"/>
      <c r="I2526" s="1029"/>
      <c r="J2526" s="1030"/>
      <c r="K2526" s="1029"/>
      <c r="L2526" s="1029"/>
      <c r="M2526" s="831"/>
      <c r="N2526" s="832"/>
      <c r="O2526" s="1029"/>
      <c r="P2526" s="1031"/>
      <c r="Q2526" s="1029"/>
      <c r="R2526" s="1029"/>
      <c r="S2526" s="1029"/>
      <c r="T2526" s="1029"/>
      <c r="U2526" s="1029"/>
      <c r="V2526" s="1029"/>
      <c r="W2526" s="832"/>
      <c r="X2526" s="832"/>
      <c r="Y2526" s="832"/>
      <c r="Z2526" s="832"/>
      <c r="AA2526" s="1034"/>
      <c r="AB2526" s="1034"/>
      <c r="AC2526" s="1034"/>
      <c r="AD2526" s="1034"/>
      <c r="AE2526" s="1034"/>
      <c r="AF2526" s="1034"/>
      <c r="AG2526" s="1034"/>
      <c r="AH2526" s="1034"/>
      <c r="AI2526" s="1034"/>
      <c r="AJ2526" s="1034"/>
      <c r="AK2526" s="1034"/>
      <c r="AL2526" s="1034"/>
      <c r="AM2526" s="1034"/>
    </row>
    <row r="2527" spans="2:39">
      <c r="B2527" s="1011">
        <v>8</v>
      </c>
      <c r="C2527" s="993" t="s">
        <v>5595</v>
      </c>
      <c r="D2527" s="3">
        <v>200102813</v>
      </c>
      <c r="E2527" s="1469" t="s">
        <v>5799</v>
      </c>
      <c r="F2527" s="1028">
        <v>48</v>
      </c>
      <c r="G2527" s="1029"/>
      <c r="H2527" s="1029"/>
      <c r="I2527" s="1029"/>
      <c r="J2527" s="1030"/>
      <c r="K2527" s="1029"/>
      <c r="L2527" s="1029"/>
      <c r="M2527" s="831"/>
      <c r="N2527" s="832"/>
      <c r="O2527" s="1029"/>
      <c r="P2527" s="1031"/>
      <c r="Q2527" s="1029"/>
      <c r="R2527" s="1029"/>
      <c r="S2527" s="1029"/>
      <c r="T2527" s="1029"/>
      <c r="U2527" s="1029"/>
      <c r="V2527" s="1029"/>
      <c r="W2527" s="832"/>
      <c r="X2527" s="832"/>
      <c r="Y2527" s="832"/>
      <c r="Z2527" s="832"/>
      <c r="AA2527" s="1034"/>
      <c r="AB2527" s="1034"/>
      <c r="AC2527" s="1034"/>
      <c r="AD2527" s="1034"/>
      <c r="AE2527" s="1034"/>
      <c r="AF2527" s="1034"/>
      <c r="AG2527" s="1034"/>
      <c r="AH2527" s="1034"/>
      <c r="AI2527" s="1034"/>
      <c r="AJ2527" s="1034"/>
      <c r="AK2527" s="1034"/>
      <c r="AL2527" s="1034"/>
      <c r="AM2527" s="1034"/>
    </row>
    <row r="2528" spans="2:39">
      <c r="B2528" s="1011">
        <v>8</v>
      </c>
      <c r="C2528" s="993" t="s">
        <v>5595</v>
      </c>
      <c r="D2528" s="3">
        <v>200102814</v>
      </c>
      <c r="E2528" s="1469" t="s">
        <v>5800</v>
      </c>
      <c r="F2528" s="1028">
        <v>49</v>
      </c>
      <c r="G2528" s="1029"/>
      <c r="H2528" s="1029"/>
      <c r="I2528" s="1029"/>
      <c r="J2528" s="1030"/>
      <c r="K2528" s="1029"/>
      <c r="L2528" s="1029"/>
      <c r="M2528" s="831"/>
      <c r="N2528" s="832"/>
      <c r="O2528" s="1029"/>
      <c r="P2528" s="1031"/>
      <c r="Q2528" s="1029"/>
      <c r="R2528" s="1029"/>
      <c r="S2528" s="1029"/>
      <c r="T2528" s="1029"/>
      <c r="U2528" s="1029"/>
      <c r="V2528" s="1029"/>
      <c r="W2528" s="832"/>
      <c r="X2528" s="832"/>
      <c r="Y2528" s="832"/>
      <c r="Z2528" s="832"/>
      <c r="AA2528" s="1034"/>
      <c r="AB2528" s="1034"/>
      <c r="AC2528" s="1034"/>
      <c r="AD2528" s="1034"/>
      <c r="AE2528" s="1034"/>
      <c r="AF2528" s="1034"/>
      <c r="AG2528" s="1034"/>
      <c r="AH2528" s="1034"/>
      <c r="AI2528" s="1034"/>
      <c r="AJ2528" s="1034"/>
      <c r="AK2528" s="1034"/>
      <c r="AL2528" s="1034"/>
      <c r="AM2528" s="1034"/>
    </row>
    <row r="2529" spans="1:39">
      <c r="B2529" s="1011">
        <v>8</v>
      </c>
      <c r="C2529" s="993" t="s">
        <v>5595</v>
      </c>
      <c r="D2529" s="3">
        <v>200102815</v>
      </c>
      <c r="E2529" s="1469" t="s">
        <v>5801</v>
      </c>
      <c r="F2529" s="1028">
        <v>50</v>
      </c>
      <c r="G2529" s="1029"/>
      <c r="H2529" s="1029"/>
      <c r="I2529" s="1029"/>
      <c r="J2529" s="1030"/>
      <c r="K2529" s="1029"/>
      <c r="L2529" s="1029"/>
      <c r="M2529" s="831"/>
      <c r="N2529" s="832"/>
      <c r="O2529" s="1029"/>
      <c r="P2529" s="1031"/>
      <c r="Q2529" s="1029"/>
      <c r="R2529" s="1029"/>
      <c r="S2529" s="1029"/>
      <c r="T2529" s="1029"/>
      <c r="U2529" s="1029"/>
      <c r="V2529" s="1029"/>
      <c r="W2529" s="832"/>
      <c r="X2529" s="832"/>
      <c r="Y2529" s="832"/>
      <c r="Z2529" s="832"/>
      <c r="AA2529" s="1034"/>
      <c r="AB2529" s="1034"/>
      <c r="AC2529" s="1034"/>
      <c r="AD2529" s="1034"/>
      <c r="AE2529" s="1034"/>
      <c r="AF2529" s="1034"/>
      <c r="AG2529" s="1034"/>
      <c r="AH2529" s="1034"/>
      <c r="AI2529" s="1034"/>
      <c r="AJ2529" s="1034"/>
      <c r="AK2529" s="1034"/>
      <c r="AL2529" s="1034"/>
      <c r="AM2529" s="1034"/>
    </row>
    <row r="2530" spans="1:39">
      <c r="B2530" s="1011">
        <v>8</v>
      </c>
      <c r="C2530" s="993" t="s">
        <v>5595</v>
      </c>
      <c r="D2530" s="3">
        <v>200102841</v>
      </c>
      <c r="E2530" s="1501" t="s">
        <v>5802</v>
      </c>
      <c r="F2530" s="802">
        <v>51</v>
      </c>
      <c r="G2530" s="1019"/>
      <c r="H2530" s="8" t="s">
        <v>128</v>
      </c>
      <c r="I2530" s="1019"/>
      <c r="J2530" s="1032">
        <v>120.81</v>
      </c>
      <c r="K2530" s="1019"/>
      <c r="L2530" s="1019"/>
      <c r="M2530" s="813"/>
      <c r="N2530" s="759">
        <v>45145</v>
      </c>
      <c r="O2530" s="8" t="s">
        <v>62</v>
      </c>
      <c r="P2530" s="1027"/>
      <c r="Q2530" s="1032">
        <v>3.6</v>
      </c>
      <c r="R2530" s="8"/>
      <c r="S2530" s="8"/>
      <c r="T2530" s="8"/>
      <c r="U2530" s="8"/>
      <c r="V2530" s="8"/>
      <c r="W2530" s="759"/>
      <c r="X2530" s="759"/>
      <c r="Y2530" s="759"/>
      <c r="Z2530" s="759"/>
      <c r="AA2530" s="35"/>
      <c r="AB2530" s="35"/>
      <c r="AC2530" s="35"/>
      <c r="AD2530" s="35"/>
      <c r="AE2530" s="35"/>
      <c r="AF2530" s="35"/>
      <c r="AG2530" s="35"/>
      <c r="AH2530" s="35"/>
      <c r="AI2530" s="35"/>
      <c r="AJ2530" s="35"/>
      <c r="AK2530" s="35"/>
      <c r="AL2530" s="35"/>
      <c r="AM2530" s="35"/>
    </row>
    <row r="2531" spans="1:39">
      <c r="B2531" s="1011">
        <v>8</v>
      </c>
      <c r="C2531" s="993" t="s">
        <v>5595</v>
      </c>
      <c r="D2531" s="3">
        <v>200102842</v>
      </c>
      <c r="E2531" s="1501" t="s">
        <v>5803</v>
      </c>
      <c r="F2531" s="802">
        <v>52</v>
      </c>
      <c r="G2531" s="1019"/>
      <c r="H2531" s="8" t="s">
        <v>128</v>
      </c>
      <c r="I2531" s="1019"/>
      <c r="J2531" s="1032">
        <v>122.26</v>
      </c>
      <c r="K2531" s="1019"/>
      <c r="L2531" s="1019"/>
      <c r="M2531" s="813"/>
      <c r="N2531" s="759">
        <v>45145</v>
      </c>
      <c r="O2531" s="8" t="s">
        <v>62</v>
      </c>
      <c r="P2531" s="1027"/>
      <c r="Q2531" s="1032">
        <v>3.5</v>
      </c>
      <c r="R2531" s="8"/>
      <c r="S2531" s="8"/>
      <c r="T2531" s="8"/>
      <c r="U2531" s="8"/>
      <c r="V2531" s="8"/>
      <c r="W2531" s="759"/>
      <c r="X2531" s="759"/>
      <c r="Y2531" s="759"/>
      <c r="Z2531" s="759"/>
      <c r="AA2531" s="35"/>
      <c r="AB2531" s="35"/>
      <c r="AC2531" s="35"/>
      <c r="AD2531" s="35"/>
      <c r="AE2531" s="35"/>
      <c r="AF2531" s="35"/>
      <c r="AG2531" s="35"/>
      <c r="AH2531" s="35"/>
      <c r="AI2531" s="35"/>
      <c r="AJ2531" s="35"/>
      <c r="AK2531" s="35"/>
      <c r="AL2531" s="35"/>
      <c r="AM2531" s="35"/>
    </row>
    <row r="2532" spans="1:39">
      <c r="B2532" s="1011">
        <v>8</v>
      </c>
      <c r="C2532" s="993" t="s">
        <v>5595</v>
      </c>
      <c r="D2532" s="12" t="s">
        <v>5804</v>
      </c>
      <c r="E2532" s="12" t="s">
        <v>5805</v>
      </c>
      <c r="F2532" s="802">
        <v>53</v>
      </c>
      <c r="G2532" s="1019"/>
      <c r="H2532" s="8" t="s">
        <v>60</v>
      </c>
      <c r="I2532" s="1019"/>
      <c r="J2532" s="1032">
        <v>120.8</v>
      </c>
      <c r="K2532" s="1019"/>
      <c r="L2532" s="1019"/>
      <c r="M2532" s="813"/>
      <c r="N2532" s="759">
        <v>45146</v>
      </c>
      <c r="O2532" s="8" t="s">
        <v>62</v>
      </c>
      <c r="P2532" s="1027"/>
      <c r="Q2532" s="1032">
        <v>3.64</v>
      </c>
      <c r="R2532" s="8"/>
      <c r="S2532" s="8"/>
      <c r="T2532" s="8"/>
      <c r="U2532" s="8"/>
      <c r="V2532" s="8"/>
      <c r="W2532" s="759"/>
      <c r="X2532" s="759"/>
      <c r="Y2532" s="759"/>
      <c r="Z2532" s="759"/>
      <c r="AA2532" s="35"/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5"/>
      <c r="AM2532" s="35"/>
    </row>
    <row r="2533" spans="1:39">
      <c r="B2533" s="1011">
        <v>8</v>
      </c>
      <c r="C2533" s="993" t="s">
        <v>5595</v>
      </c>
      <c r="D2533" s="12" t="s">
        <v>5806</v>
      </c>
      <c r="E2533" s="12" t="s">
        <v>5807</v>
      </c>
      <c r="F2533" s="802">
        <v>54</v>
      </c>
      <c r="G2533" s="1019"/>
      <c r="H2533" s="8" t="s">
        <v>60</v>
      </c>
      <c r="I2533" s="1019"/>
      <c r="J2533" s="1032">
        <v>121</v>
      </c>
      <c r="K2533" s="1019"/>
      <c r="L2533" s="1019"/>
      <c r="M2533" s="813"/>
      <c r="N2533" s="759">
        <v>45146</v>
      </c>
      <c r="O2533" s="8" t="s">
        <v>62</v>
      </c>
      <c r="P2533" s="1027"/>
      <c r="Q2533" s="1032">
        <v>3.63</v>
      </c>
      <c r="R2533" s="8"/>
      <c r="S2533" s="8"/>
      <c r="T2533" s="8"/>
      <c r="U2533" s="8"/>
      <c r="V2533" s="8"/>
      <c r="W2533" s="759"/>
      <c r="X2533" s="759"/>
      <c r="Y2533" s="759"/>
      <c r="Z2533" s="759"/>
      <c r="AA2533" s="35"/>
      <c r="AB2533" s="35"/>
      <c r="AC2533" s="35"/>
      <c r="AD2533" s="35"/>
      <c r="AE2533" s="35"/>
      <c r="AF2533" s="35"/>
      <c r="AG2533" s="35"/>
      <c r="AH2533" s="35"/>
      <c r="AI2533" s="35"/>
      <c r="AJ2533" s="35"/>
      <c r="AK2533" s="35"/>
      <c r="AL2533" s="35"/>
      <c r="AM2533" s="35"/>
    </row>
    <row r="2534" spans="1:39">
      <c r="B2534" s="1011">
        <v>8</v>
      </c>
      <c r="C2534" s="993" t="s">
        <v>5595</v>
      </c>
      <c r="D2534" s="12" t="s">
        <v>5808</v>
      </c>
      <c r="E2534" s="12" t="s">
        <v>5809</v>
      </c>
      <c r="F2534" s="802">
        <v>55</v>
      </c>
      <c r="G2534" s="1019"/>
      <c r="H2534" s="8" t="s">
        <v>60</v>
      </c>
      <c r="I2534" s="1019"/>
      <c r="J2534" s="1032">
        <v>121.8</v>
      </c>
      <c r="K2534" s="1019"/>
      <c r="L2534" s="1019"/>
      <c r="M2534" s="813"/>
      <c r="N2534" s="759">
        <v>45146</v>
      </c>
      <c r="O2534" s="8" t="s">
        <v>62</v>
      </c>
      <c r="P2534" s="1027"/>
      <c r="Q2534" s="1032">
        <v>3.44</v>
      </c>
      <c r="R2534" s="8"/>
      <c r="S2534" s="8"/>
      <c r="T2534" s="8"/>
      <c r="U2534" s="8"/>
      <c r="V2534" s="8"/>
      <c r="W2534" s="759"/>
      <c r="X2534" s="759"/>
      <c r="Y2534" s="759"/>
      <c r="Z2534" s="759"/>
      <c r="AA2534" s="35"/>
      <c r="AB2534" s="35"/>
      <c r="AC2534" s="35"/>
      <c r="AD2534" s="35"/>
      <c r="AE2534" s="35"/>
      <c r="AF2534" s="35"/>
      <c r="AG2534" s="35"/>
      <c r="AH2534" s="35"/>
      <c r="AI2534" s="35"/>
      <c r="AJ2534" s="35"/>
      <c r="AK2534" s="35"/>
      <c r="AL2534" s="35"/>
      <c r="AM2534" s="35"/>
    </row>
    <row r="2535" spans="1:39">
      <c r="B2535" s="1011">
        <v>8</v>
      </c>
      <c r="C2535" s="993" t="s">
        <v>5595</v>
      </c>
      <c r="D2535" s="12" t="s">
        <v>5810</v>
      </c>
      <c r="E2535" s="12" t="s">
        <v>5811</v>
      </c>
      <c r="F2535" s="802">
        <v>56</v>
      </c>
      <c r="G2535" s="1019"/>
      <c r="H2535" s="8" t="s">
        <v>60</v>
      </c>
      <c r="I2535" s="1019"/>
      <c r="J2535" s="1032">
        <v>126.91</v>
      </c>
      <c r="K2535" s="1019"/>
      <c r="L2535" s="1019"/>
      <c r="M2535" s="813"/>
      <c r="N2535" s="759">
        <v>45146</v>
      </c>
      <c r="O2535" s="8" t="s">
        <v>62</v>
      </c>
      <c r="P2535" s="1027"/>
      <c r="Q2535" s="1032">
        <v>3.41</v>
      </c>
      <c r="R2535" s="8"/>
      <c r="S2535" s="8"/>
      <c r="T2535" s="8"/>
      <c r="U2535" s="8"/>
      <c r="V2535" s="8"/>
      <c r="W2535" s="759"/>
      <c r="X2535" s="759"/>
      <c r="Y2535" s="759"/>
      <c r="Z2535" s="759"/>
      <c r="AA2535" s="35"/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5"/>
      <c r="AM2535" s="35"/>
    </row>
    <row r="2536" spans="1:39">
      <c r="B2536" s="1011">
        <v>8</v>
      </c>
      <c r="C2536" s="993" t="s">
        <v>5595</v>
      </c>
      <c r="D2536" s="3">
        <v>200102966</v>
      </c>
      <c r="E2536" s="1469" t="s">
        <v>5812</v>
      </c>
      <c r="F2536" s="802">
        <v>57</v>
      </c>
      <c r="G2536" s="1019"/>
      <c r="H2536" s="8" t="s">
        <v>60</v>
      </c>
      <c r="I2536" s="1019"/>
      <c r="J2536" s="786">
        <v>122.2</v>
      </c>
      <c r="K2536" s="1019"/>
      <c r="L2536" s="1019"/>
      <c r="M2536" s="813" t="s">
        <v>2556</v>
      </c>
      <c r="N2536" s="759">
        <v>45152</v>
      </c>
      <c r="O2536" s="8" t="s">
        <v>62</v>
      </c>
      <c r="P2536" s="1027"/>
      <c r="Q2536" s="1033">
        <v>3.77</v>
      </c>
      <c r="R2536" s="1012"/>
      <c r="S2536" s="8"/>
      <c r="T2536" s="8"/>
      <c r="U2536" s="8"/>
      <c r="V2536" s="8"/>
      <c r="W2536" s="759"/>
      <c r="X2536" s="759"/>
      <c r="Y2536" s="759"/>
      <c r="Z2536" s="759"/>
      <c r="AA2536" s="35"/>
      <c r="AB2536" s="35"/>
      <c r="AC2536" s="35"/>
      <c r="AD2536" s="35"/>
      <c r="AE2536" s="35"/>
      <c r="AF2536" s="35"/>
      <c r="AG2536" s="35"/>
      <c r="AH2536" s="35"/>
      <c r="AI2536" s="35"/>
      <c r="AJ2536" s="35"/>
      <c r="AK2536" s="35"/>
      <c r="AL2536" s="35"/>
      <c r="AM2536" s="35"/>
    </row>
    <row r="2537" spans="1:39">
      <c r="B2537" s="1011">
        <v>8</v>
      </c>
      <c r="C2537" s="993" t="s">
        <v>5595</v>
      </c>
      <c r="D2537" s="3">
        <v>200102967</v>
      </c>
      <c r="E2537" s="1469" t="s">
        <v>5813</v>
      </c>
      <c r="F2537" s="802">
        <v>58</v>
      </c>
      <c r="G2537" s="1019"/>
      <c r="H2537" s="8" t="s">
        <v>60</v>
      </c>
      <c r="I2537" s="1019"/>
      <c r="J2537" s="786">
        <v>121.97</v>
      </c>
      <c r="K2537" s="1019"/>
      <c r="L2537" s="1019"/>
      <c r="M2537" s="813" t="s">
        <v>2556</v>
      </c>
      <c r="N2537" s="759">
        <v>45152</v>
      </c>
      <c r="O2537" s="8" t="s">
        <v>62</v>
      </c>
      <c r="P2537" s="1027"/>
      <c r="Q2537" s="1033">
        <v>3.48</v>
      </c>
      <c r="R2537" s="1012"/>
      <c r="S2537" s="8"/>
      <c r="T2537" s="8"/>
      <c r="U2537" s="8"/>
      <c r="V2537" s="8"/>
      <c r="W2537" s="759"/>
      <c r="X2537" s="759"/>
      <c r="Y2537" s="759"/>
      <c r="Z2537" s="759"/>
      <c r="AA2537" s="35"/>
      <c r="AB2537" s="35"/>
      <c r="AC2537" s="35"/>
      <c r="AD2537" s="35"/>
      <c r="AE2537" s="35"/>
      <c r="AF2537" s="35"/>
      <c r="AG2537" s="35"/>
      <c r="AH2537" s="35"/>
      <c r="AI2537" s="35"/>
      <c r="AJ2537" s="35"/>
      <c r="AK2537" s="35"/>
      <c r="AL2537" s="35"/>
      <c r="AM2537" s="35"/>
    </row>
    <row r="2538" spans="1:39">
      <c r="B2538" s="1011">
        <v>8</v>
      </c>
      <c r="C2538" s="993" t="s">
        <v>5595</v>
      </c>
      <c r="D2538" s="3">
        <v>200102968</v>
      </c>
      <c r="E2538" s="1469" t="s">
        <v>5814</v>
      </c>
      <c r="F2538" s="802">
        <v>59</v>
      </c>
      <c r="G2538" s="1019"/>
      <c r="H2538" s="8" t="s">
        <v>60</v>
      </c>
      <c r="I2538" s="1019"/>
      <c r="J2538" s="786">
        <v>124.2</v>
      </c>
      <c r="K2538" s="1019"/>
      <c r="L2538" s="1019"/>
      <c r="M2538" s="813" t="s">
        <v>2556</v>
      </c>
      <c r="N2538" s="759">
        <v>45152</v>
      </c>
      <c r="O2538" s="8" t="s">
        <v>62</v>
      </c>
      <c r="P2538" s="1027"/>
      <c r="Q2538" s="1033">
        <v>3.79</v>
      </c>
      <c r="R2538" s="1012"/>
      <c r="S2538" s="8"/>
      <c r="T2538" s="8"/>
      <c r="U2538" s="8"/>
      <c r="V2538" s="8"/>
      <c r="W2538" s="759"/>
      <c r="X2538" s="759"/>
      <c r="Y2538" s="759"/>
      <c r="Z2538" s="759"/>
      <c r="AA2538" s="35"/>
      <c r="AB2538" s="35"/>
      <c r="AC2538" s="35"/>
      <c r="AD2538" s="35"/>
      <c r="AE2538" s="35"/>
      <c r="AF2538" s="35"/>
      <c r="AG2538" s="35"/>
      <c r="AH2538" s="35"/>
      <c r="AI2538" s="35"/>
      <c r="AJ2538" s="35"/>
      <c r="AK2538" s="35"/>
      <c r="AL2538" s="35"/>
      <c r="AM2538" s="35"/>
    </row>
    <row r="2539" spans="1:39">
      <c r="B2539" s="1011">
        <v>8</v>
      </c>
      <c r="C2539" s="993" t="s">
        <v>5595</v>
      </c>
      <c r="D2539" s="3">
        <v>200102969</v>
      </c>
      <c r="E2539" s="1469" t="s">
        <v>5815</v>
      </c>
      <c r="F2539" s="802">
        <v>60</v>
      </c>
      <c r="G2539" s="1019"/>
      <c r="H2539" s="8" t="s">
        <v>60</v>
      </c>
      <c r="I2539" s="1019"/>
      <c r="J2539" s="786">
        <v>125.5</v>
      </c>
      <c r="K2539" s="1019"/>
      <c r="L2539" s="1019"/>
      <c r="M2539" s="813" t="s">
        <v>2556</v>
      </c>
      <c r="N2539" s="759">
        <v>45152</v>
      </c>
      <c r="O2539" s="8" t="s">
        <v>62</v>
      </c>
      <c r="P2539" s="1027"/>
      <c r="Q2539" s="1033">
        <v>3.57</v>
      </c>
      <c r="R2539" s="1012"/>
      <c r="S2539" s="8"/>
      <c r="T2539" s="8"/>
      <c r="U2539" s="8"/>
      <c r="V2539" s="8"/>
      <c r="W2539" s="759"/>
      <c r="X2539" s="759"/>
      <c r="Y2539" s="759"/>
      <c r="Z2539" s="759"/>
      <c r="AA2539" s="35"/>
      <c r="AB2539" s="35"/>
      <c r="AC2539" s="35"/>
      <c r="AD2539" s="35"/>
      <c r="AE2539" s="35"/>
      <c r="AF2539" s="35"/>
      <c r="AG2539" s="35"/>
      <c r="AH2539" s="35"/>
      <c r="AI2539" s="35"/>
      <c r="AJ2539" s="35"/>
      <c r="AK2539" s="35"/>
      <c r="AL2539" s="35"/>
      <c r="AM2539" s="35"/>
    </row>
    <row r="2540" spans="1:39">
      <c r="B2540" s="1011">
        <v>8</v>
      </c>
      <c r="C2540" s="993" t="s">
        <v>5595</v>
      </c>
      <c r="D2540" s="3">
        <v>200102902</v>
      </c>
      <c r="E2540" s="1469" t="s">
        <v>5816</v>
      </c>
      <c r="F2540" s="802">
        <v>61</v>
      </c>
      <c r="G2540" s="1019"/>
      <c r="H2540" s="8" t="s">
        <v>60</v>
      </c>
      <c r="I2540" s="1019"/>
      <c r="J2540" s="786">
        <v>124.33</v>
      </c>
      <c r="K2540" s="1019"/>
      <c r="L2540" s="1019"/>
      <c r="M2540" s="813" t="s">
        <v>2556</v>
      </c>
      <c r="N2540" s="759">
        <v>45152</v>
      </c>
      <c r="O2540" s="8" t="s">
        <v>62</v>
      </c>
      <c r="P2540" s="1027"/>
      <c r="Q2540" s="1033">
        <v>3.74</v>
      </c>
      <c r="R2540" s="1012"/>
      <c r="S2540" s="8"/>
      <c r="T2540" s="8"/>
      <c r="U2540" s="8"/>
      <c r="V2540" s="8"/>
      <c r="W2540" s="759"/>
      <c r="X2540" s="759"/>
      <c r="Y2540" s="759"/>
      <c r="Z2540" s="759"/>
      <c r="AA2540" s="35"/>
      <c r="AB2540" s="35"/>
      <c r="AC2540" s="35"/>
      <c r="AD2540" s="35"/>
      <c r="AE2540" s="35"/>
      <c r="AF2540" s="35"/>
      <c r="AG2540" s="35"/>
      <c r="AH2540" s="35"/>
      <c r="AI2540" s="35"/>
      <c r="AJ2540" s="35"/>
      <c r="AK2540" s="35"/>
      <c r="AL2540" s="35"/>
      <c r="AM2540" s="35"/>
    </row>
    <row r="2541" spans="1:39">
      <c r="B2541" s="1011">
        <v>8</v>
      </c>
      <c r="C2541" s="993" t="s">
        <v>5595</v>
      </c>
      <c r="D2541" s="3">
        <v>200102903</v>
      </c>
      <c r="E2541" s="1469" t="s">
        <v>5817</v>
      </c>
      <c r="F2541" s="802">
        <v>62</v>
      </c>
      <c r="G2541" s="1019"/>
      <c r="H2541" s="8" t="s">
        <v>60</v>
      </c>
      <c r="I2541" s="1019"/>
      <c r="J2541" s="786">
        <v>126.2</v>
      </c>
      <c r="K2541" s="1019"/>
      <c r="L2541" s="1019"/>
      <c r="M2541" s="813" t="s">
        <v>2556</v>
      </c>
      <c r="N2541" s="759">
        <v>45152</v>
      </c>
      <c r="O2541" s="8" t="s">
        <v>62</v>
      </c>
      <c r="P2541" s="1027"/>
      <c r="Q2541" s="1033">
        <v>3.46</v>
      </c>
      <c r="R2541" s="1012"/>
      <c r="S2541" s="8"/>
      <c r="T2541" s="8"/>
      <c r="U2541" s="8"/>
      <c r="V2541" s="8"/>
      <c r="W2541" s="759"/>
      <c r="X2541" s="759"/>
      <c r="Y2541" s="759"/>
      <c r="Z2541" s="759"/>
      <c r="AA2541" s="35"/>
      <c r="AB2541" s="35"/>
      <c r="AC2541" s="35"/>
      <c r="AD2541" s="35"/>
      <c r="AE2541" s="35"/>
      <c r="AF2541" s="35"/>
      <c r="AG2541" s="35"/>
      <c r="AH2541" s="35"/>
      <c r="AI2541" s="35"/>
      <c r="AJ2541" s="35"/>
      <c r="AK2541" s="35"/>
      <c r="AL2541" s="35"/>
      <c r="AM2541" s="35"/>
    </row>
    <row r="2542" spans="1:39" s="707" customFormat="1">
      <c r="A2542"/>
      <c r="B2542" s="978"/>
      <c r="C2542" s="807" t="s">
        <v>1760</v>
      </c>
      <c r="D2542" s="807"/>
      <c r="E2542" s="875"/>
      <c r="F2542" s="1015"/>
      <c r="G2542" s="9"/>
      <c r="H2542" s="9"/>
      <c r="I2542" s="9"/>
      <c r="J2542" s="985"/>
      <c r="K2542" s="9"/>
      <c r="L2542" s="9"/>
      <c r="M2542" s="1024"/>
      <c r="N2542" s="1025"/>
      <c r="O2542" s="9"/>
      <c r="P2542" s="9"/>
      <c r="Q2542" s="9"/>
      <c r="R2542" s="9"/>
      <c r="S2542" s="9"/>
      <c r="T2542" s="9"/>
      <c r="U2542" s="9"/>
      <c r="V2542" s="9"/>
      <c r="W2542" s="1025"/>
      <c r="X2542" s="1025"/>
      <c r="Y2542" s="1025"/>
      <c r="Z2542" s="1025"/>
      <c r="AA2542" s="1016"/>
      <c r="AB2542" s="1016"/>
      <c r="AC2542" s="1016"/>
      <c r="AD2542" s="1016"/>
      <c r="AE2542" s="1016"/>
      <c r="AF2542" s="1016"/>
      <c r="AG2542" s="1016"/>
      <c r="AH2542" s="1016"/>
      <c r="AI2542" s="1016"/>
      <c r="AJ2542" s="1016"/>
      <c r="AK2542" s="1016"/>
      <c r="AL2542" s="1016"/>
      <c r="AM2542" s="1016"/>
    </row>
    <row r="2543" spans="1:39">
      <c r="B2543" s="1011" t="s">
        <v>541</v>
      </c>
      <c r="C2543" s="993" t="s">
        <v>5595</v>
      </c>
      <c r="D2543" s="3">
        <v>200103030</v>
      </c>
      <c r="E2543" s="1469" t="s">
        <v>5818</v>
      </c>
      <c r="F2543" s="802">
        <v>1</v>
      </c>
      <c r="G2543" s="1029"/>
      <c r="H2543" s="1029"/>
      <c r="I2543" s="1029"/>
      <c r="J2543" s="1030"/>
      <c r="K2543" s="1029"/>
      <c r="L2543" s="1029"/>
      <c r="M2543" s="831"/>
      <c r="N2543" s="832"/>
      <c r="O2543" s="1029"/>
      <c r="P2543" s="1031"/>
      <c r="Q2543" s="1029"/>
      <c r="R2543" s="1029"/>
      <c r="S2543" s="1029"/>
      <c r="T2543" s="1029"/>
      <c r="U2543" s="1029"/>
      <c r="V2543" s="1029"/>
      <c r="W2543" s="832"/>
      <c r="X2543" s="832"/>
      <c r="Y2543" s="832"/>
      <c r="Z2543" s="832"/>
      <c r="AA2543" s="1034"/>
      <c r="AB2543" s="1034"/>
      <c r="AC2543" s="1034"/>
      <c r="AD2543" s="1034"/>
      <c r="AE2543" s="1034"/>
      <c r="AF2543" s="1034"/>
      <c r="AG2543" s="1034"/>
      <c r="AH2543" s="1034"/>
      <c r="AI2543" s="1034"/>
      <c r="AJ2543" s="1034"/>
      <c r="AK2543" s="1034"/>
      <c r="AL2543" s="1034"/>
      <c r="AM2543" s="1034"/>
    </row>
    <row r="2544" spans="1:39">
      <c r="B2544" s="1011" t="s">
        <v>541</v>
      </c>
      <c r="C2544" s="993" t="s">
        <v>5595</v>
      </c>
      <c r="D2544" s="3">
        <v>200103031</v>
      </c>
      <c r="E2544" s="1469" t="s">
        <v>5819</v>
      </c>
      <c r="F2544" s="802">
        <v>2</v>
      </c>
      <c r="G2544" s="1029"/>
      <c r="H2544" s="1029"/>
      <c r="I2544" s="1029"/>
      <c r="J2544" s="1030"/>
      <c r="K2544" s="1029"/>
      <c r="L2544" s="1029"/>
      <c r="M2544" s="831"/>
      <c r="N2544" s="832"/>
      <c r="O2544" s="1029"/>
      <c r="P2544" s="1031"/>
      <c r="Q2544" s="1029"/>
      <c r="R2544" s="1029"/>
      <c r="S2544" s="1029"/>
      <c r="T2544" s="1029"/>
      <c r="U2544" s="1029"/>
      <c r="V2544" s="1029"/>
      <c r="W2544" s="832"/>
      <c r="X2544" s="832"/>
      <c r="Y2544" s="832"/>
      <c r="Z2544" s="832"/>
      <c r="AA2544" s="1034"/>
      <c r="AB2544" s="1034"/>
      <c r="AC2544" s="1034"/>
      <c r="AD2544" s="1034"/>
      <c r="AE2544" s="1034"/>
      <c r="AF2544" s="1034"/>
      <c r="AG2544" s="1034"/>
      <c r="AH2544" s="1034"/>
      <c r="AI2544" s="1034"/>
      <c r="AJ2544" s="1034"/>
      <c r="AK2544" s="1034"/>
      <c r="AL2544" s="1034"/>
      <c r="AM2544" s="1034"/>
    </row>
    <row r="2545" spans="2:39">
      <c r="B2545" s="1011" t="s">
        <v>541</v>
      </c>
      <c r="C2545" s="993" t="s">
        <v>5595</v>
      </c>
      <c r="D2545" s="3">
        <v>200103032</v>
      </c>
      <c r="E2545" s="1469" t="s">
        <v>5820</v>
      </c>
      <c r="F2545" s="802">
        <v>3</v>
      </c>
      <c r="G2545" s="1029"/>
      <c r="H2545" s="1029"/>
      <c r="I2545" s="1029"/>
      <c r="J2545" s="1030"/>
      <c r="K2545" s="1029"/>
      <c r="L2545" s="1029"/>
      <c r="M2545" s="831"/>
      <c r="N2545" s="832"/>
      <c r="O2545" s="1029"/>
      <c r="P2545" s="1031"/>
      <c r="Q2545" s="1029"/>
      <c r="R2545" s="1029"/>
      <c r="S2545" s="1029"/>
      <c r="T2545" s="1029"/>
      <c r="U2545" s="1029"/>
      <c r="V2545" s="1029"/>
      <c r="W2545" s="832"/>
      <c r="X2545" s="832"/>
      <c r="Y2545" s="832"/>
      <c r="Z2545" s="832"/>
      <c r="AA2545" s="1034"/>
      <c r="AB2545" s="1034"/>
      <c r="AC2545" s="1034"/>
      <c r="AD2545" s="1034"/>
      <c r="AE2545" s="1034"/>
      <c r="AF2545" s="1034"/>
      <c r="AG2545" s="1034"/>
      <c r="AH2545" s="1034"/>
      <c r="AI2545" s="1034"/>
      <c r="AJ2545" s="1034"/>
      <c r="AK2545" s="1034"/>
      <c r="AL2545" s="1034"/>
      <c r="AM2545" s="1034"/>
    </row>
    <row r="2546" spans="2:39">
      <c r="B2546" s="1011" t="s">
        <v>541</v>
      </c>
      <c r="C2546" s="993" t="s">
        <v>5595</v>
      </c>
      <c r="D2546" s="3">
        <v>200103033</v>
      </c>
      <c r="E2546" s="1469" t="s">
        <v>5821</v>
      </c>
      <c r="F2546" s="802">
        <v>4</v>
      </c>
      <c r="G2546" s="1029"/>
      <c r="H2546" s="1029"/>
      <c r="I2546" s="1029"/>
      <c r="J2546" s="1030"/>
      <c r="K2546" s="1029"/>
      <c r="L2546" s="1029"/>
      <c r="M2546" s="831"/>
      <c r="N2546" s="832"/>
      <c r="O2546" s="1029"/>
      <c r="P2546" s="1031"/>
      <c r="Q2546" s="1029"/>
      <c r="R2546" s="1029"/>
      <c r="S2546" s="1029"/>
      <c r="T2546" s="1029"/>
      <c r="U2546" s="1029"/>
      <c r="V2546" s="1029"/>
      <c r="W2546" s="832"/>
      <c r="X2546" s="832"/>
      <c r="Y2546" s="832"/>
      <c r="Z2546" s="832"/>
      <c r="AA2546" s="1034"/>
      <c r="AB2546" s="1034"/>
      <c r="AC2546" s="1034"/>
      <c r="AD2546" s="1034"/>
      <c r="AE2546" s="1034"/>
      <c r="AF2546" s="1034"/>
      <c r="AG2546" s="1034"/>
      <c r="AH2546" s="1034"/>
      <c r="AI2546" s="1034"/>
      <c r="AJ2546" s="1034"/>
      <c r="AK2546" s="1034"/>
      <c r="AL2546" s="1034"/>
      <c r="AM2546" s="1034"/>
    </row>
    <row r="2547" spans="2:39">
      <c r="B2547" s="1011" t="s">
        <v>541</v>
      </c>
      <c r="C2547" s="993" t="s">
        <v>5595</v>
      </c>
      <c r="D2547" s="3">
        <v>200103034</v>
      </c>
      <c r="E2547" s="1469" t="s">
        <v>5822</v>
      </c>
      <c r="F2547" s="802">
        <v>5</v>
      </c>
      <c r="G2547" s="1029"/>
      <c r="H2547" s="1029"/>
      <c r="I2547" s="1029"/>
      <c r="J2547" s="1030"/>
      <c r="K2547" s="1029"/>
      <c r="L2547" s="1029"/>
      <c r="M2547" s="831"/>
      <c r="N2547" s="832"/>
      <c r="O2547" s="1029"/>
      <c r="P2547" s="1031"/>
      <c r="Q2547" s="1029"/>
      <c r="R2547" s="1029"/>
      <c r="S2547" s="1029"/>
      <c r="T2547" s="1029"/>
      <c r="U2547" s="1029"/>
      <c r="V2547" s="1029"/>
      <c r="W2547" s="832"/>
      <c r="X2547" s="832"/>
      <c r="Y2547" s="832"/>
      <c r="Z2547" s="832"/>
      <c r="AA2547" s="1034"/>
      <c r="AB2547" s="1034"/>
      <c r="AC2547" s="1034"/>
      <c r="AD2547" s="1034"/>
      <c r="AE2547" s="1034"/>
      <c r="AF2547" s="1034"/>
      <c r="AG2547" s="1034"/>
      <c r="AH2547" s="1034"/>
      <c r="AI2547" s="1034"/>
      <c r="AJ2547" s="1034"/>
      <c r="AK2547" s="1034"/>
      <c r="AL2547" s="1034"/>
      <c r="AM2547" s="1034"/>
    </row>
    <row r="2548" spans="2:39">
      <c r="B2548" s="1011" t="s">
        <v>541</v>
      </c>
      <c r="C2548" s="993" t="s">
        <v>5595</v>
      </c>
      <c r="D2548" s="3">
        <v>200103035</v>
      </c>
      <c r="E2548" s="1469" t="s">
        <v>5823</v>
      </c>
      <c r="F2548" s="802">
        <v>6</v>
      </c>
      <c r="G2548" s="1029"/>
      <c r="H2548" s="1029"/>
      <c r="I2548" s="1029"/>
      <c r="J2548" s="1030"/>
      <c r="K2548" s="1029"/>
      <c r="L2548" s="1029"/>
      <c r="M2548" s="831"/>
      <c r="N2548" s="832"/>
      <c r="O2548" s="1029"/>
      <c r="P2548" s="1031"/>
      <c r="Q2548" s="1029"/>
      <c r="R2548" s="1029"/>
      <c r="S2548" s="1029"/>
      <c r="T2548" s="1029"/>
      <c r="U2548" s="1029"/>
      <c r="V2548" s="1029"/>
      <c r="W2548" s="832"/>
      <c r="X2548" s="832"/>
      <c r="Y2548" s="832"/>
      <c r="Z2548" s="832"/>
      <c r="AA2548" s="1034"/>
      <c r="AB2548" s="1034"/>
      <c r="AC2548" s="1034"/>
      <c r="AD2548" s="1034"/>
      <c r="AE2548" s="1034"/>
      <c r="AF2548" s="1034"/>
      <c r="AG2548" s="1034"/>
      <c r="AH2548" s="1034"/>
      <c r="AI2548" s="1034"/>
      <c r="AJ2548" s="1034"/>
      <c r="AK2548" s="1034"/>
      <c r="AL2548" s="1034"/>
      <c r="AM2548" s="1034"/>
    </row>
    <row r="2549" spans="2:39">
      <c r="B2549" s="1011" t="s">
        <v>541</v>
      </c>
      <c r="C2549" s="993" t="s">
        <v>5595</v>
      </c>
      <c r="D2549" s="3">
        <v>200103036</v>
      </c>
      <c r="E2549" s="1469" t="s">
        <v>5824</v>
      </c>
      <c r="F2549" s="802">
        <v>7</v>
      </c>
      <c r="G2549" s="1029"/>
      <c r="H2549" s="1029"/>
      <c r="I2549" s="1029"/>
      <c r="J2549" s="1030"/>
      <c r="K2549" s="1029"/>
      <c r="L2549" s="1029"/>
      <c r="M2549" s="831"/>
      <c r="N2549" s="832"/>
      <c r="O2549" s="1029"/>
      <c r="P2549" s="1031"/>
      <c r="Q2549" s="1029"/>
      <c r="R2549" s="1029"/>
      <c r="S2549" s="1029"/>
      <c r="T2549" s="1029"/>
      <c r="U2549" s="1029"/>
      <c r="V2549" s="1029"/>
      <c r="W2549" s="832"/>
      <c r="X2549" s="832"/>
      <c r="Y2549" s="832"/>
      <c r="Z2549" s="832"/>
      <c r="AA2549" s="1034"/>
      <c r="AB2549" s="1034"/>
      <c r="AC2549" s="1034"/>
      <c r="AD2549" s="1034"/>
      <c r="AE2549" s="1034"/>
      <c r="AF2549" s="1034"/>
      <c r="AG2549" s="1034"/>
      <c r="AH2549" s="1034"/>
      <c r="AI2549" s="1034"/>
      <c r="AJ2549" s="1034"/>
      <c r="AK2549" s="1034"/>
      <c r="AL2549" s="1034"/>
      <c r="AM2549" s="1034"/>
    </row>
    <row r="2550" spans="2:39">
      <c r="B2550" s="1011" t="s">
        <v>541</v>
      </c>
      <c r="C2550" s="993" t="s">
        <v>5595</v>
      </c>
      <c r="D2550" s="3">
        <v>200103037</v>
      </c>
      <c r="E2550" s="1469" t="s">
        <v>5825</v>
      </c>
      <c r="F2550" s="802">
        <v>8</v>
      </c>
      <c r="G2550" s="1029"/>
      <c r="H2550" s="1029"/>
      <c r="I2550" s="1029"/>
      <c r="J2550" s="1030"/>
      <c r="K2550" s="1029"/>
      <c r="L2550" s="1029"/>
      <c r="M2550" s="831"/>
      <c r="N2550" s="832"/>
      <c r="O2550" s="1029"/>
      <c r="P2550" s="1031"/>
      <c r="Q2550" s="1029"/>
      <c r="R2550" s="1029"/>
      <c r="S2550" s="1029"/>
      <c r="T2550" s="1029"/>
      <c r="U2550" s="1029"/>
      <c r="V2550" s="1029"/>
      <c r="W2550" s="832"/>
      <c r="X2550" s="832"/>
      <c r="Y2550" s="832"/>
      <c r="Z2550" s="832"/>
      <c r="AA2550" s="1034"/>
      <c r="AB2550" s="1034"/>
      <c r="AC2550" s="1034"/>
      <c r="AD2550" s="1034"/>
      <c r="AE2550" s="1034"/>
      <c r="AF2550" s="1034"/>
      <c r="AG2550" s="1034"/>
      <c r="AH2550" s="1034"/>
      <c r="AI2550" s="1034"/>
      <c r="AJ2550" s="1034"/>
      <c r="AK2550" s="1034"/>
      <c r="AL2550" s="1034"/>
      <c r="AM2550" s="1034"/>
    </row>
    <row r="2551" spans="2:39">
      <c r="B2551" s="1011" t="s">
        <v>541</v>
      </c>
      <c r="C2551" s="993" t="s">
        <v>5595</v>
      </c>
      <c r="D2551" s="3">
        <v>200103038</v>
      </c>
      <c r="E2551" s="1469" t="s">
        <v>5826</v>
      </c>
      <c r="F2551" s="802">
        <v>9</v>
      </c>
      <c r="G2551" s="1029"/>
      <c r="H2551" s="1029"/>
      <c r="I2551" s="1029"/>
      <c r="J2551" s="1030"/>
      <c r="K2551" s="1029"/>
      <c r="L2551" s="1029"/>
      <c r="M2551" s="831"/>
      <c r="N2551" s="832"/>
      <c r="O2551" s="1029"/>
      <c r="P2551" s="1031"/>
      <c r="Q2551" s="1029"/>
      <c r="R2551" s="1029"/>
      <c r="S2551" s="1029"/>
      <c r="T2551" s="1029"/>
      <c r="U2551" s="1029"/>
      <c r="V2551" s="1029"/>
      <c r="W2551" s="832"/>
      <c r="X2551" s="832"/>
      <c r="Y2551" s="832"/>
      <c r="Z2551" s="832"/>
      <c r="AA2551" s="1034"/>
      <c r="AB2551" s="1034"/>
      <c r="AC2551" s="1034"/>
      <c r="AD2551" s="1034"/>
      <c r="AE2551" s="1034"/>
      <c r="AF2551" s="1034"/>
      <c r="AG2551" s="1034"/>
      <c r="AH2551" s="1034"/>
      <c r="AI2551" s="1034"/>
      <c r="AJ2551" s="1034"/>
      <c r="AK2551" s="1034"/>
      <c r="AL2551" s="1034"/>
      <c r="AM2551" s="1034"/>
    </row>
    <row r="2552" spans="2:39">
      <c r="B2552" s="1011" t="s">
        <v>541</v>
      </c>
      <c r="C2552" s="993" t="s">
        <v>5595</v>
      </c>
      <c r="D2552" s="3">
        <v>200103039</v>
      </c>
      <c r="E2552" s="1469" t="s">
        <v>5827</v>
      </c>
      <c r="F2552" s="802">
        <v>10</v>
      </c>
      <c r="G2552" s="1029"/>
      <c r="H2552" s="1029"/>
      <c r="I2552" s="1029"/>
      <c r="J2552" s="1030"/>
      <c r="K2552" s="1029"/>
      <c r="L2552" s="1029"/>
      <c r="M2552" s="831"/>
      <c r="N2552" s="832"/>
      <c r="O2552" s="1029"/>
      <c r="P2552" s="1031"/>
      <c r="Q2552" s="1029"/>
      <c r="R2552" s="1029"/>
      <c r="S2552" s="1029"/>
      <c r="T2552" s="1029"/>
      <c r="U2552" s="1029"/>
      <c r="V2552" s="1029"/>
      <c r="W2552" s="832"/>
      <c r="X2552" s="832"/>
      <c r="Y2552" s="832"/>
      <c r="Z2552" s="832"/>
      <c r="AA2552" s="1034"/>
      <c r="AB2552" s="1034"/>
      <c r="AC2552" s="1034"/>
      <c r="AD2552" s="1034"/>
      <c r="AE2552" s="1034"/>
      <c r="AF2552" s="1034"/>
      <c r="AG2552" s="1034"/>
      <c r="AH2552" s="1034"/>
      <c r="AI2552" s="1034"/>
      <c r="AJ2552" s="1034"/>
      <c r="AK2552" s="1034"/>
      <c r="AL2552" s="1034"/>
      <c r="AM2552" s="1034"/>
    </row>
    <row r="2553" spans="2:39">
      <c r="B2553" s="1011" t="s">
        <v>541</v>
      </c>
      <c r="C2553" s="993" t="s">
        <v>5595</v>
      </c>
      <c r="D2553" s="3">
        <v>200103040</v>
      </c>
      <c r="E2553" s="1469" t="s">
        <v>5828</v>
      </c>
      <c r="F2553" s="802">
        <v>11</v>
      </c>
      <c r="G2553" s="1029"/>
      <c r="H2553" s="1029"/>
      <c r="I2553" s="1029"/>
      <c r="J2553" s="1030"/>
      <c r="K2553" s="1029"/>
      <c r="L2553" s="1029"/>
      <c r="M2553" s="831"/>
      <c r="N2553" s="832"/>
      <c r="O2553" s="1029"/>
      <c r="P2553" s="1031"/>
      <c r="Q2553" s="1029"/>
      <c r="R2553" s="1029"/>
      <c r="S2553" s="1029"/>
      <c r="T2553" s="1029"/>
      <c r="U2553" s="1029"/>
      <c r="V2553" s="1029"/>
      <c r="W2553" s="832"/>
      <c r="X2553" s="832"/>
      <c r="Y2553" s="832"/>
      <c r="Z2553" s="832"/>
      <c r="AA2553" s="1034"/>
      <c r="AB2553" s="1034"/>
      <c r="AC2553" s="1034"/>
      <c r="AD2553" s="1034"/>
      <c r="AE2553" s="1034"/>
      <c r="AF2553" s="1034"/>
      <c r="AG2553" s="1034"/>
      <c r="AH2553" s="1034"/>
      <c r="AI2553" s="1034"/>
      <c r="AJ2553" s="1034"/>
      <c r="AK2553" s="1034"/>
      <c r="AL2553" s="1034"/>
      <c r="AM2553" s="1034"/>
    </row>
    <row r="2554" spans="2:39">
      <c r="B2554" s="1011" t="s">
        <v>541</v>
      </c>
      <c r="C2554" s="993" t="s">
        <v>5595</v>
      </c>
      <c r="D2554" s="3">
        <v>200103041</v>
      </c>
      <c r="E2554" s="1469" t="s">
        <v>5829</v>
      </c>
      <c r="F2554" s="802">
        <v>12</v>
      </c>
      <c r="G2554" s="1019"/>
      <c r="H2554" s="8" t="s">
        <v>60</v>
      </c>
      <c r="I2554" s="1019"/>
      <c r="J2554" s="786">
        <v>122.4</v>
      </c>
      <c r="K2554" s="1019"/>
      <c r="L2554" s="1019"/>
      <c r="M2554" s="813" t="s">
        <v>2556</v>
      </c>
      <c r="N2554" s="759">
        <v>45161</v>
      </c>
      <c r="O2554" s="8" t="s">
        <v>62</v>
      </c>
      <c r="P2554" s="1027"/>
      <c r="Q2554" s="882">
        <v>3.47</v>
      </c>
      <c r="R2554" s="1012"/>
      <c r="S2554" s="8"/>
      <c r="T2554" s="8"/>
      <c r="U2554" s="8"/>
      <c r="V2554" s="8"/>
      <c r="W2554" s="759"/>
      <c r="X2554" s="759"/>
      <c r="Y2554" s="759"/>
      <c r="Z2554" s="759"/>
      <c r="AA2554" s="35"/>
      <c r="AB2554" s="35"/>
      <c r="AC2554" s="35"/>
      <c r="AD2554" s="35"/>
      <c r="AE2554" s="35"/>
      <c r="AF2554" s="35"/>
      <c r="AG2554" s="35"/>
      <c r="AH2554" s="35"/>
      <c r="AI2554" s="35"/>
      <c r="AJ2554" s="35"/>
      <c r="AK2554" s="35"/>
      <c r="AL2554" s="35"/>
      <c r="AM2554" s="35"/>
    </row>
    <row r="2555" spans="2:39">
      <c r="B2555" s="1011" t="s">
        <v>541</v>
      </c>
      <c r="C2555" s="993" t="s">
        <v>5595</v>
      </c>
      <c r="D2555" s="3">
        <v>200103082</v>
      </c>
      <c r="E2555" s="1469" t="s">
        <v>5830</v>
      </c>
      <c r="F2555" s="802">
        <v>13</v>
      </c>
      <c r="G2555" s="1019"/>
      <c r="H2555" s="8" t="s">
        <v>60</v>
      </c>
      <c r="I2555" s="1019"/>
      <c r="J2555" s="786">
        <v>124.7</v>
      </c>
      <c r="K2555" s="1019"/>
      <c r="L2555" s="1019"/>
      <c r="M2555" s="813" t="s">
        <v>2556</v>
      </c>
      <c r="N2555" s="759">
        <v>45161</v>
      </c>
      <c r="O2555" s="8" t="s">
        <v>62</v>
      </c>
      <c r="P2555" s="1027"/>
      <c r="Q2555" s="882">
        <v>3.73</v>
      </c>
      <c r="R2555" s="1012"/>
      <c r="S2555" s="8"/>
      <c r="T2555" s="8"/>
      <c r="U2555" s="8"/>
      <c r="V2555" s="8"/>
      <c r="W2555" s="759"/>
      <c r="X2555" s="759"/>
      <c r="Y2555" s="759"/>
      <c r="Z2555" s="759"/>
      <c r="AA2555" s="35"/>
      <c r="AB2555" s="35"/>
      <c r="AC2555" s="35"/>
      <c r="AD2555" s="35"/>
      <c r="AE2555" s="35"/>
      <c r="AF2555" s="35"/>
      <c r="AG2555" s="35"/>
      <c r="AH2555" s="35"/>
      <c r="AI2555" s="35"/>
      <c r="AJ2555" s="35"/>
      <c r="AK2555" s="35"/>
      <c r="AL2555" s="35"/>
      <c r="AM2555" s="35"/>
    </row>
    <row r="2556" spans="2:39">
      <c r="B2556" s="1011" t="s">
        <v>541</v>
      </c>
      <c r="C2556" s="993" t="s">
        <v>5595</v>
      </c>
      <c r="D2556" s="3">
        <v>200103083</v>
      </c>
      <c r="E2556" s="1469" t="s">
        <v>5831</v>
      </c>
      <c r="F2556" s="802">
        <v>14</v>
      </c>
      <c r="G2556" s="1019"/>
      <c r="H2556" s="8" t="s">
        <v>60</v>
      </c>
      <c r="I2556" s="1019"/>
      <c r="J2556" s="786">
        <v>124.7</v>
      </c>
      <c r="K2556" s="1019"/>
      <c r="L2556" s="1019"/>
      <c r="M2556" s="813" t="s">
        <v>2556</v>
      </c>
      <c r="N2556" s="759">
        <v>45161</v>
      </c>
      <c r="O2556" s="8" t="s">
        <v>62</v>
      </c>
      <c r="P2556" s="1027"/>
      <c r="Q2556" s="882">
        <v>3.71</v>
      </c>
      <c r="R2556" s="1012"/>
      <c r="S2556" s="8"/>
      <c r="T2556" s="8"/>
      <c r="U2556" s="8"/>
      <c r="V2556" s="8"/>
      <c r="W2556" s="759"/>
      <c r="X2556" s="759"/>
      <c r="Y2556" s="759"/>
      <c r="Z2556" s="759"/>
      <c r="AA2556" s="35"/>
      <c r="AB2556" s="35"/>
      <c r="AC2556" s="35"/>
      <c r="AD2556" s="35"/>
      <c r="AE2556" s="35"/>
      <c r="AF2556" s="35"/>
      <c r="AG2556" s="35"/>
      <c r="AH2556" s="35"/>
      <c r="AI2556" s="35"/>
      <c r="AJ2556" s="35"/>
      <c r="AK2556" s="35"/>
      <c r="AL2556" s="35"/>
      <c r="AM2556" s="35"/>
    </row>
    <row r="2557" spans="2:39">
      <c r="B2557" s="1011" t="s">
        <v>541</v>
      </c>
      <c r="C2557" s="993" t="s">
        <v>5595</v>
      </c>
      <c r="D2557" s="3">
        <v>200103084</v>
      </c>
      <c r="E2557" s="1469" t="s">
        <v>5832</v>
      </c>
      <c r="F2557" s="802">
        <v>15</v>
      </c>
      <c r="G2557" s="1019"/>
      <c r="H2557" s="8" t="s">
        <v>60</v>
      </c>
      <c r="I2557" s="1019"/>
      <c r="J2557" s="786">
        <v>122.44</v>
      </c>
      <c r="K2557" s="1019"/>
      <c r="L2557" s="1019"/>
      <c r="M2557" s="813" t="s">
        <v>2556</v>
      </c>
      <c r="N2557" s="759">
        <v>45161</v>
      </c>
      <c r="O2557" s="8" t="s">
        <v>62</v>
      </c>
      <c r="P2557" s="1027"/>
      <c r="Q2557" s="882">
        <v>3.79</v>
      </c>
      <c r="R2557" s="1012"/>
      <c r="S2557" s="8"/>
      <c r="T2557" s="8"/>
      <c r="U2557" s="8"/>
      <c r="V2557" s="8"/>
      <c r="W2557" s="759"/>
      <c r="X2557" s="759"/>
      <c r="Y2557" s="759"/>
      <c r="Z2557" s="759"/>
      <c r="AA2557" s="35"/>
      <c r="AB2557" s="35"/>
      <c r="AC2557" s="35"/>
      <c r="AD2557" s="35"/>
      <c r="AE2557" s="35"/>
      <c r="AF2557" s="35"/>
      <c r="AG2557" s="35"/>
      <c r="AH2557" s="35"/>
      <c r="AI2557" s="35"/>
      <c r="AJ2557" s="35"/>
      <c r="AK2557" s="35"/>
      <c r="AL2557" s="35"/>
      <c r="AM2557" s="35"/>
    </row>
    <row r="2558" spans="2:39">
      <c r="B2558" s="1011" t="s">
        <v>541</v>
      </c>
      <c r="C2558" s="993" t="s">
        <v>5595</v>
      </c>
      <c r="D2558" s="3">
        <v>200103085</v>
      </c>
      <c r="E2558" s="1469" t="s">
        <v>5833</v>
      </c>
      <c r="F2558" s="802">
        <v>16</v>
      </c>
      <c r="G2558" s="1019"/>
      <c r="H2558" s="8" t="s">
        <v>60</v>
      </c>
      <c r="I2558" s="1019"/>
      <c r="J2558" s="786">
        <v>124.83</v>
      </c>
      <c r="K2558" s="1019"/>
      <c r="L2558" s="1019"/>
      <c r="M2558" s="813" t="s">
        <v>2556</v>
      </c>
      <c r="N2558" s="759">
        <v>45161</v>
      </c>
      <c r="O2558" s="8" t="s">
        <v>62</v>
      </c>
      <c r="P2558" s="1027"/>
      <c r="Q2558" s="882">
        <v>3.71</v>
      </c>
      <c r="R2558" s="1012"/>
      <c r="S2558" s="8"/>
      <c r="T2558" s="8"/>
      <c r="U2558" s="8"/>
      <c r="V2558" s="8"/>
      <c r="W2558" s="759"/>
      <c r="X2558" s="759"/>
      <c r="Y2558" s="759"/>
      <c r="Z2558" s="759"/>
      <c r="AA2558" s="35"/>
      <c r="AB2558" s="35"/>
      <c r="AC2558" s="35"/>
      <c r="AD2558" s="35"/>
      <c r="AE2558" s="35"/>
      <c r="AF2558" s="35"/>
      <c r="AG2558" s="35"/>
      <c r="AH2558" s="35"/>
      <c r="AI2558" s="35"/>
      <c r="AJ2558" s="35"/>
      <c r="AK2558" s="35"/>
      <c r="AL2558" s="35"/>
      <c r="AM2558" s="35"/>
    </row>
    <row r="2559" spans="2:39">
      <c r="B2559" s="1011" t="s">
        <v>541</v>
      </c>
      <c r="C2559" s="993" t="s">
        <v>5595</v>
      </c>
      <c r="D2559" s="3">
        <v>200103086</v>
      </c>
      <c r="E2559" s="1469" t="s">
        <v>5834</v>
      </c>
      <c r="F2559" s="802">
        <v>17</v>
      </c>
      <c r="G2559" s="1019"/>
      <c r="H2559" s="8" t="s">
        <v>60</v>
      </c>
      <c r="I2559" s="1019"/>
      <c r="J2559" s="786">
        <v>122.95</v>
      </c>
      <c r="K2559" s="1019"/>
      <c r="L2559" s="1019"/>
      <c r="M2559" s="813" t="s">
        <v>2556</v>
      </c>
      <c r="N2559" s="759">
        <v>45163</v>
      </c>
      <c r="O2559" s="8" t="s">
        <v>62</v>
      </c>
      <c r="P2559" s="1027"/>
      <c r="Q2559" s="882">
        <v>3.8</v>
      </c>
      <c r="R2559" s="1012"/>
      <c r="S2559" s="8"/>
      <c r="T2559" s="8"/>
      <c r="U2559" s="8"/>
      <c r="V2559" s="8"/>
      <c r="W2559" s="759"/>
      <c r="X2559" s="759"/>
      <c r="Y2559" s="759"/>
      <c r="Z2559" s="759"/>
      <c r="AA2559" s="35"/>
      <c r="AB2559" s="35"/>
      <c r="AC2559" s="35"/>
      <c r="AD2559" s="35"/>
      <c r="AE2559" s="35"/>
      <c r="AF2559" s="35"/>
      <c r="AG2559" s="35"/>
      <c r="AH2559" s="35"/>
      <c r="AI2559" s="35"/>
      <c r="AJ2559" s="35"/>
      <c r="AK2559" s="35"/>
      <c r="AL2559" s="35"/>
      <c r="AM2559" s="35"/>
    </row>
    <row r="2560" spans="2:39">
      <c r="B2560" s="1011" t="s">
        <v>541</v>
      </c>
      <c r="C2560" s="993" t="s">
        <v>5595</v>
      </c>
      <c r="D2560" s="3">
        <v>200103087</v>
      </c>
      <c r="E2560" s="1469" t="s">
        <v>5835</v>
      </c>
      <c r="F2560" s="802">
        <v>18</v>
      </c>
      <c r="G2560" s="1019"/>
      <c r="H2560" s="8" t="s">
        <v>60</v>
      </c>
      <c r="I2560" s="1019"/>
      <c r="J2560" s="786">
        <v>123.84</v>
      </c>
      <c r="K2560" s="1019"/>
      <c r="L2560" s="1019"/>
      <c r="M2560" s="813" t="s">
        <v>2556</v>
      </c>
      <c r="N2560" s="759">
        <v>45163</v>
      </c>
      <c r="O2560" s="8" t="s">
        <v>62</v>
      </c>
      <c r="P2560" s="1027"/>
      <c r="Q2560" s="882">
        <v>3.53</v>
      </c>
      <c r="R2560" s="1012"/>
      <c r="S2560" s="8"/>
      <c r="T2560" s="8"/>
      <c r="U2560" s="8"/>
      <c r="V2560" s="8"/>
      <c r="W2560" s="759"/>
      <c r="X2560" s="759"/>
      <c r="Y2560" s="759"/>
      <c r="Z2560" s="759"/>
      <c r="AA2560" s="35"/>
      <c r="AB2560" s="35"/>
      <c r="AC2560" s="35"/>
      <c r="AD2560" s="35"/>
      <c r="AE2560" s="35"/>
      <c r="AF2560" s="35"/>
      <c r="AG2560" s="35"/>
      <c r="AH2560" s="35"/>
      <c r="AI2560" s="35"/>
      <c r="AJ2560" s="35"/>
      <c r="AK2560" s="35"/>
      <c r="AL2560" s="35"/>
      <c r="AM2560" s="35"/>
    </row>
    <row r="2561" spans="1:39">
      <c r="B2561" s="1011" t="s">
        <v>541</v>
      </c>
      <c r="C2561" s="993" t="s">
        <v>5595</v>
      </c>
      <c r="D2561" s="3">
        <v>200103088</v>
      </c>
      <c r="E2561" s="1469" t="s">
        <v>5836</v>
      </c>
      <c r="F2561" s="802">
        <v>19</v>
      </c>
      <c r="G2561" s="1019"/>
      <c r="H2561" s="8" t="s">
        <v>60</v>
      </c>
      <c r="I2561" s="1019"/>
      <c r="J2561" s="786">
        <v>123.17</v>
      </c>
      <c r="K2561" s="1019"/>
      <c r="L2561" s="1019"/>
      <c r="M2561" s="813" t="s">
        <v>2556</v>
      </c>
      <c r="N2561" s="759">
        <v>45163</v>
      </c>
      <c r="O2561" s="8" t="s">
        <v>62</v>
      </c>
      <c r="P2561" s="1027"/>
      <c r="Q2561" s="882">
        <v>3.4</v>
      </c>
      <c r="R2561" s="1012"/>
      <c r="S2561" s="8"/>
      <c r="T2561" s="8"/>
      <c r="U2561" s="8"/>
      <c r="V2561" s="8"/>
      <c r="W2561" s="759"/>
      <c r="X2561" s="759"/>
      <c r="Y2561" s="759"/>
      <c r="Z2561" s="759"/>
      <c r="AA2561" s="35"/>
      <c r="AB2561" s="35"/>
      <c r="AC2561" s="35"/>
      <c r="AD2561" s="35"/>
      <c r="AE2561" s="35"/>
      <c r="AF2561" s="35"/>
      <c r="AG2561" s="35"/>
      <c r="AH2561" s="35"/>
      <c r="AI2561" s="35"/>
      <c r="AJ2561" s="35"/>
      <c r="AK2561" s="35"/>
      <c r="AL2561" s="35"/>
      <c r="AM2561" s="35"/>
    </row>
    <row r="2562" spans="1:39">
      <c r="B2562" s="1011" t="s">
        <v>541</v>
      </c>
      <c r="C2562" s="993" t="s">
        <v>5595</v>
      </c>
      <c r="D2562" s="3">
        <v>200103089</v>
      </c>
      <c r="E2562" s="1469" t="s">
        <v>5837</v>
      </c>
      <c r="F2562" s="802">
        <v>20</v>
      </c>
      <c r="G2562" s="1019"/>
      <c r="H2562" s="8" t="s">
        <v>60</v>
      </c>
      <c r="I2562" s="1019"/>
      <c r="J2562" s="786">
        <v>125.77</v>
      </c>
      <c r="K2562" s="1019"/>
      <c r="L2562" s="1019"/>
      <c r="M2562" s="813" t="s">
        <v>2556</v>
      </c>
      <c r="N2562" s="759">
        <v>45163</v>
      </c>
      <c r="O2562" s="8" t="s">
        <v>62</v>
      </c>
      <c r="P2562" s="1027"/>
      <c r="Q2562" s="882">
        <v>3.61</v>
      </c>
      <c r="R2562" s="1012"/>
      <c r="S2562" s="8"/>
      <c r="T2562" s="8"/>
      <c r="U2562" s="8"/>
      <c r="V2562" s="8"/>
      <c r="W2562" s="759"/>
      <c r="X2562" s="759"/>
      <c r="Y2562" s="759"/>
      <c r="Z2562" s="759"/>
      <c r="AA2562" s="35"/>
      <c r="AB2562" s="35"/>
      <c r="AC2562" s="35"/>
      <c r="AD2562" s="35"/>
      <c r="AE2562" s="35"/>
      <c r="AF2562" s="35"/>
      <c r="AG2562" s="35"/>
      <c r="AH2562" s="35"/>
      <c r="AI2562" s="35"/>
      <c r="AJ2562" s="35"/>
      <c r="AK2562" s="35"/>
      <c r="AL2562" s="35"/>
      <c r="AM2562" s="35"/>
    </row>
    <row r="2563" spans="1:39">
      <c r="B2563" s="1011" t="s">
        <v>541</v>
      </c>
      <c r="C2563" s="993" t="s">
        <v>5595</v>
      </c>
      <c r="D2563" s="3">
        <v>200103463</v>
      </c>
      <c r="E2563" s="1469" t="s">
        <v>5838</v>
      </c>
      <c r="F2563" s="802">
        <v>21</v>
      </c>
      <c r="G2563" s="1019"/>
      <c r="H2563" s="8" t="s">
        <v>60</v>
      </c>
      <c r="I2563" s="1019"/>
      <c r="J2563" s="786">
        <v>123.97</v>
      </c>
      <c r="K2563" s="1019"/>
      <c r="L2563" s="1019"/>
      <c r="M2563" s="813" t="s">
        <v>2661</v>
      </c>
      <c r="N2563" s="759">
        <v>45188</v>
      </c>
      <c r="O2563" s="8" t="s">
        <v>62</v>
      </c>
      <c r="P2563" s="1027"/>
      <c r="Q2563" s="882">
        <v>3.67</v>
      </c>
      <c r="R2563" s="1012"/>
      <c r="S2563" s="8"/>
      <c r="T2563" s="8"/>
      <c r="U2563" s="8"/>
      <c r="V2563" s="8"/>
      <c r="W2563" s="759"/>
      <c r="X2563" s="759"/>
      <c r="Y2563" s="759"/>
      <c r="Z2563" s="759"/>
      <c r="AA2563" s="35"/>
      <c r="AB2563" s="35"/>
      <c r="AC2563" s="35"/>
      <c r="AD2563" s="35"/>
      <c r="AE2563" s="35"/>
      <c r="AF2563" s="35"/>
      <c r="AG2563" s="35"/>
      <c r="AH2563" s="35"/>
      <c r="AI2563" s="35"/>
      <c r="AJ2563" s="35"/>
      <c r="AK2563" s="35"/>
      <c r="AL2563" s="35"/>
      <c r="AM2563" s="35"/>
    </row>
    <row r="2564" spans="1:39">
      <c r="B2564" s="1011" t="s">
        <v>541</v>
      </c>
      <c r="C2564" s="993" t="s">
        <v>5595</v>
      </c>
      <c r="D2564" s="3">
        <v>200103466</v>
      </c>
      <c r="E2564" s="1469" t="s">
        <v>5839</v>
      </c>
      <c r="F2564" s="802">
        <v>22</v>
      </c>
      <c r="G2564" s="1019"/>
      <c r="H2564" s="8" t="s">
        <v>60</v>
      </c>
      <c r="I2564" s="1019"/>
      <c r="J2564" s="786">
        <v>122.41</v>
      </c>
      <c r="K2564" s="1019"/>
      <c r="L2564" s="1019"/>
      <c r="M2564" s="813" t="s">
        <v>2661</v>
      </c>
      <c r="N2564" s="759">
        <v>45187</v>
      </c>
      <c r="O2564" s="8" t="s">
        <v>62</v>
      </c>
      <c r="P2564" s="1027"/>
      <c r="Q2564" s="882">
        <v>3.58</v>
      </c>
      <c r="R2564" s="8"/>
      <c r="S2564" s="8"/>
      <c r="T2564" s="8"/>
      <c r="U2564" s="8"/>
      <c r="V2564" s="8"/>
      <c r="W2564" s="759"/>
      <c r="X2564" s="759"/>
      <c r="Y2564" s="759"/>
      <c r="Z2564" s="759"/>
      <c r="AA2564" s="35"/>
      <c r="AB2564" s="35"/>
      <c r="AC2564" s="35"/>
      <c r="AD2564" s="35"/>
      <c r="AE2564" s="35"/>
      <c r="AF2564" s="35"/>
      <c r="AG2564" s="35"/>
      <c r="AH2564" s="35"/>
      <c r="AI2564" s="35"/>
      <c r="AJ2564" s="35"/>
      <c r="AK2564" s="35"/>
      <c r="AL2564" s="35"/>
      <c r="AM2564" s="35"/>
    </row>
    <row r="2565" spans="1:39" s="707" customFormat="1">
      <c r="A2565"/>
      <c r="B2565" s="978"/>
      <c r="C2565" s="807" t="s">
        <v>1899</v>
      </c>
      <c r="D2565" s="807"/>
      <c r="E2565" s="875"/>
      <c r="F2565" s="1015"/>
      <c r="G2565" s="9"/>
      <c r="H2565" s="9"/>
      <c r="I2565" s="9"/>
      <c r="J2565" s="985"/>
      <c r="K2565" s="9"/>
      <c r="L2565" s="9"/>
      <c r="M2565" s="1024"/>
      <c r="N2565" s="1025"/>
      <c r="O2565" s="9"/>
      <c r="P2565" s="9"/>
      <c r="Q2565" s="9"/>
      <c r="R2565" s="9"/>
      <c r="S2565" s="9"/>
      <c r="T2565" s="9"/>
      <c r="U2565" s="9"/>
      <c r="V2565" s="9"/>
      <c r="W2565" s="1025"/>
      <c r="X2565" s="1025"/>
      <c r="Y2565" s="1025"/>
      <c r="Z2565" s="1025"/>
      <c r="AA2565" s="1016"/>
      <c r="AB2565" s="1016"/>
      <c r="AC2565" s="1016"/>
      <c r="AD2565" s="1016"/>
      <c r="AE2565" s="1016"/>
      <c r="AF2565" s="1016"/>
      <c r="AG2565" s="1016"/>
      <c r="AH2565" s="1016"/>
      <c r="AI2565" s="1016"/>
      <c r="AJ2565" s="1016"/>
      <c r="AK2565" s="1016"/>
      <c r="AL2565" s="1016"/>
      <c r="AM2565" s="1016"/>
    </row>
    <row r="2566" spans="1:39">
      <c r="B2566" s="1011">
        <v>10</v>
      </c>
      <c r="C2566" s="993" t="s">
        <v>5595</v>
      </c>
      <c r="D2566" s="3">
        <v>200103491</v>
      </c>
      <c r="E2566" s="3">
        <v>100073</v>
      </c>
      <c r="F2566" s="802">
        <v>1</v>
      </c>
      <c r="G2566" s="1019"/>
      <c r="H2566" s="8" t="s">
        <v>60</v>
      </c>
      <c r="I2566" s="1019"/>
      <c r="J2566" s="786">
        <v>122.39</v>
      </c>
      <c r="K2566" s="1019"/>
      <c r="L2566" s="1019"/>
      <c r="M2566" s="813" t="s">
        <v>2661</v>
      </c>
      <c r="N2566" s="759">
        <v>45187</v>
      </c>
      <c r="O2566" s="8" t="s">
        <v>62</v>
      </c>
      <c r="P2566" s="1027"/>
      <c r="Q2566" s="882">
        <v>3.74</v>
      </c>
      <c r="R2566" s="8"/>
      <c r="S2566" s="8"/>
      <c r="T2566" s="8"/>
      <c r="U2566" s="8"/>
      <c r="V2566" s="8"/>
      <c r="W2566" s="759"/>
      <c r="X2566" s="759"/>
      <c r="Y2566" s="759"/>
      <c r="Z2566" s="759"/>
      <c r="AA2566" s="35"/>
      <c r="AB2566" s="35"/>
      <c r="AC2566" s="35"/>
      <c r="AD2566" s="35"/>
      <c r="AE2566" s="35"/>
      <c r="AF2566" s="35"/>
      <c r="AG2566" s="35"/>
      <c r="AH2566" s="35"/>
      <c r="AI2566" s="35"/>
      <c r="AJ2566" s="35"/>
      <c r="AK2566" s="35"/>
      <c r="AL2566" s="35"/>
      <c r="AM2566" s="35"/>
    </row>
    <row r="2567" spans="1:39">
      <c r="B2567" s="1011">
        <v>10</v>
      </c>
      <c r="C2567" s="993" t="s">
        <v>5595</v>
      </c>
      <c r="D2567" s="3">
        <v>200103492</v>
      </c>
      <c r="E2567" s="3">
        <v>100083</v>
      </c>
      <c r="F2567" s="802">
        <v>2</v>
      </c>
      <c r="G2567" s="1019"/>
      <c r="H2567" s="8" t="s">
        <v>60</v>
      </c>
      <c r="I2567" s="1019"/>
      <c r="J2567" s="786">
        <v>124.86</v>
      </c>
      <c r="K2567" s="1019"/>
      <c r="L2567" s="1019"/>
      <c r="M2567" s="813" t="s">
        <v>2661</v>
      </c>
      <c r="N2567" s="759">
        <v>45187</v>
      </c>
      <c r="O2567" s="8" t="s">
        <v>62</v>
      </c>
      <c r="P2567" s="1027"/>
      <c r="Q2567" s="882">
        <v>3.55</v>
      </c>
      <c r="R2567" s="8"/>
      <c r="S2567" s="8"/>
      <c r="T2567" s="8"/>
      <c r="U2567" s="8"/>
      <c r="V2567" s="8"/>
      <c r="W2567" s="759"/>
      <c r="X2567" s="759"/>
      <c r="Y2567" s="759"/>
      <c r="Z2567" s="759"/>
      <c r="AA2567" s="35"/>
      <c r="AB2567" s="35"/>
      <c r="AC2567" s="35"/>
      <c r="AD2567" s="35"/>
      <c r="AE2567" s="35"/>
      <c r="AF2567" s="35"/>
      <c r="AG2567" s="35"/>
      <c r="AH2567" s="35"/>
      <c r="AI2567" s="35"/>
      <c r="AJ2567" s="35"/>
      <c r="AK2567" s="35"/>
      <c r="AL2567" s="35"/>
      <c r="AM2567" s="35"/>
    </row>
    <row r="2568" spans="1:39">
      <c r="B2568" s="1011">
        <v>10</v>
      </c>
      <c r="C2568" s="993" t="s">
        <v>5595</v>
      </c>
      <c r="D2568" s="3">
        <v>200103493</v>
      </c>
      <c r="E2568" s="3">
        <v>100093</v>
      </c>
      <c r="F2568" s="802">
        <v>3</v>
      </c>
      <c r="G2568" s="1019"/>
      <c r="H2568" s="8" t="s">
        <v>60</v>
      </c>
      <c r="I2568" s="1019"/>
      <c r="J2568" s="762">
        <v>124.39</v>
      </c>
      <c r="K2568" s="1019"/>
      <c r="L2568" s="1019"/>
      <c r="M2568" s="813" t="s">
        <v>2661</v>
      </c>
      <c r="N2568" s="759">
        <v>45187</v>
      </c>
      <c r="O2568" s="8" t="s">
        <v>62</v>
      </c>
      <c r="P2568" s="1027"/>
      <c r="Q2568" s="3">
        <v>3.5</v>
      </c>
      <c r="R2568" s="8"/>
      <c r="S2568" s="8"/>
      <c r="T2568" s="8"/>
      <c r="U2568" s="8"/>
      <c r="V2568" s="8"/>
      <c r="W2568" s="759"/>
      <c r="X2568" s="759"/>
      <c r="Y2568" s="759"/>
      <c r="Z2568" s="759"/>
      <c r="AA2568" s="35"/>
      <c r="AB2568" s="35"/>
      <c r="AC2568" s="35"/>
      <c r="AD2568" s="35"/>
      <c r="AE2568" s="35"/>
      <c r="AF2568" s="35"/>
      <c r="AG2568" s="35"/>
      <c r="AH2568" s="35"/>
      <c r="AI2568" s="35"/>
      <c r="AJ2568" s="35"/>
      <c r="AK2568" s="35"/>
      <c r="AL2568" s="35"/>
      <c r="AM2568" s="35"/>
    </row>
    <row r="2569" spans="1:39">
      <c r="B2569" s="1011">
        <v>10</v>
      </c>
      <c r="C2569" s="993" t="s">
        <v>5595</v>
      </c>
      <c r="D2569" s="3">
        <v>200103498</v>
      </c>
      <c r="E2569" s="3">
        <v>100103</v>
      </c>
      <c r="F2569" s="802">
        <v>4</v>
      </c>
      <c r="G2569" s="1019"/>
      <c r="H2569" s="8" t="s">
        <v>60</v>
      </c>
      <c r="I2569" s="1019"/>
      <c r="J2569" s="786">
        <v>125.96</v>
      </c>
      <c r="K2569" s="1019"/>
      <c r="L2569" s="1019"/>
      <c r="M2569" s="813" t="s">
        <v>2661</v>
      </c>
      <c r="N2569" s="759">
        <v>45187</v>
      </c>
      <c r="O2569" s="8" t="s">
        <v>62</v>
      </c>
      <c r="P2569" s="1027"/>
      <c r="Q2569" s="882">
        <v>3.65</v>
      </c>
      <c r="R2569" s="8"/>
      <c r="S2569" s="8"/>
      <c r="T2569" s="8"/>
      <c r="U2569" s="8"/>
      <c r="V2569" s="8"/>
      <c r="W2569" s="759"/>
      <c r="X2569" s="759"/>
      <c r="Y2569" s="759"/>
      <c r="Z2569" s="759"/>
      <c r="AA2569" s="35"/>
      <c r="AB2569" s="35"/>
      <c r="AC2569" s="35"/>
      <c r="AD2569" s="35"/>
      <c r="AE2569" s="35"/>
      <c r="AF2569" s="35"/>
      <c r="AG2569" s="35"/>
      <c r="AH2569" s="35"/>
      <c r="AI2569" s="35"/>
      <c r="AJ2569" s="35"/>
      <c r="AK2569" s="35"/>
      <c r="AL2569" s="35"/>
      <c r="AM2569" s="35"/>
    </row>
    <row r="2570" spans="1:39">
      <c r="B2570" s="1011">
        <v>10</v>
      </c>
      <c r="C2570" s="993" t="s">
        <v>5595</v>
      </c>
      <c r="D2570" s="3">
        <v>200103499</v>
      </c>
      <c r="E2570" s="3">
        <v>100113</v>
      </c>
      <c r="F2570" s="802">
        <v>5</v>
      </c>
      <c r="G2570" s="1019"/>
      <c r="H2570" s="8" t="s">
        <v>60</v>
      </c>
      <c r="I2570" s="1019"/>
      <c r="J2570" s="786">
        <v>122.39</v>
      </c>
      <c r="K2570" s="1019"/>
      <c r="L2570" s="1019"/>
      <c r="M2570" s="813" t="s">
        <v>2661</v>
      </c>
      <c r="N2570" s="759">
        <v>45188</v>
      </c>
      <c r="O2570" s="8" t="s">
        <v>62</v>
      </c>
      <c r="P2570" s="1027"/>
      <c r="Q2570" s="882">
        <v>3.56</v>
      </c>
      <c r="R2570" s="8"/>
      <c r="S2570" s="8"/>
      <c r="T2570" s="8"/>
      <c r="U2570" s="8"/>
      <c r="V2570" s="8"/>
      <c r="W2570" s="759"/>
      <c r="X2570" s="759"/>
      <c r="Y2570" s="759"/>
      <c r="Z2570" s="759"/>
      <c r="AA2570" s="35"/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5"/>
      <c r="AM2570" s="35"/>
    </row>
    <row r="2571" spans="1:39">
      <c r="B2571" s="1011">
        <v>10</v>
      </c>
      <c r="C2571" s="993" t="s">
        <v>5595</v>
      </c>
      <c r="D2571" s="3">
        <v>200103603</v>
      </c>
      <c r="E2571" s="3">
        <v>100473</v>
      </c>
      <c r="F2571" s="802">
        <v>6</v>
      </c>
      <c r="G2571" s="1019"/>
      <c r="H2571" s="8" t="s">
        <v>60</v>
      </c>
      <c r="I2571" s="1019"/>
      <c r="J2571" s="786">
        <v>122.82</v>
      </c>
      <c r="K2571" s="1019"/>
      <c r="L2571" s="1019"/>
      <c r="M2571" s="813" t="s">
        <v>2661</v>
      </c>
      <c r="N2571" s="759">
        <v>45188</v>
      </c>
      <c r="O2571" s="8" t="s">
        <v>62</v>
      </c>
      <c r="P2571" s="1027"/>
      <c r="Q2571" s="882">
        <v>3.62</v>
      </c>
      <c r="R2571" s="8"/>
      <c r="S2571" s="8"/>
      <c r="T2571" s="8"/>
      <c r="U2571" s="8"/>
      <c r="V2571" s="8"/>
      <c r="W2571" s="759"/>
      <c r="X2571" s="759"/>
      <c r="Y2571" s="759"/>
      <c r="Z2571" s="759"/>
      <c r="AA2571" s="35"/>
      <c r="AB2571" s="35"/>
      <c r="AC2571" s="35"/>
      <c r="AD2571" s="35"/>
      <c r="AE2571" s="35"/>
      <c r="AF2571" s="35"/>
      <c r="AG2571" s="35"/>
      <c r="AH2571" s="35"/>
      <c r="AI2571" s="35"/>
      <c r="AJ2571" s="35"/>
      <c r="AK2571" s="35"/>
      <c r="AL2571" s="35"/>
      <c r="AM2571" s="35"/>
    </row>
    <row r="2572" spans="1:39">
      <c r="B2572" s="1011">
        <v>10</v>
      </c>
      <c r="C2572" s="993" t="s">
        <v>5595</v>
      </c>
      <c r="D2572" s="3">
        <v>200103604</v>
      </c>
      <c r="E2572" s="3">
        <v>100483</v>
      </c>
      <c r="F2572" s="802">
        <v>7</v>
      </c>
      <c r="G2572" s="1019"/>
      <c r="H2572" s="8" t="s">
        <v>60</v>
      </c>
      <c r="I2572" s="1019"/>
      <c r="J2572" s="786">
        <v>124.41</v>
      </c>
      <c r="K2572" s="1019"/>
      <c r="L2572" s="1019"/>
      <c r="M2572" s="813" t="s">
        <v>2661</v>
      </c>
      <c r="N2572" s="759">
        <v>45188</v>
      </c>
      <c r="O2572" s="8" t="s">
        <v>62</v>
      </c>
      <c r="P2572" s="1027"/>
      <c r="Q2572" s="882">
        <v>3.71</v>
      </c>
      <c r="R2572" s="8"/>
      <c r="S2572" s="8"/>
      <c r="T2572" s="8"/>
      <c r="U2572" s="8"/>
      <c r="V2572" s="8"/>
      <c r="W2572" s="759"/>
      <c r="X2572" s="759"/>
      <c r="Y2572" s="759"/>
      <c r="Z2572" s="759"/>
      <c r="AA2572" s="35"/>
      <c r="AB2572" s="35"/>
      <c r="AC2572" s="35"/>
      <c r="AD2572" s="35"/>
      <c r="AE2572" s="35"/>
      <c r="AF2572" s="35"/>
      <c r="AG2572" s="35"/>
      <c r="AH2572" s="35"/>
      <c r="AI2572" s="35"/>
      <c r="AJ2572" s="35"/>
      <c r="AK2572" s="35"/>
      <c r="AL2572" s="35"/>
      <c r="AM2572" s="35"/>
    </row>
    <row r="2573" spans="1:39">
      <c r="B2573" s="1011">
        <v>10</v>
      </c>
      <c r="C2573" s="993" t="s">
        <v>5595</v>
      </c>
      <c r="D2573" s="3">
        <v>200103605</v>
      </c>
      <c r="E2573" s="3">
        <v>100493</v>
      </c>
      <c r="F2573" s="802">
        <v>8</v>
      </c>
      <c r="G2573" s="1019"/>
      <c r="H2573" s="8" t="s">
        <v>60</v>
      </c>
      <c r="I2573" s="1019"/>
      <c r="J2573" s="786">
        <v>125.8</v>
      </c>
      <c r="K2573" s="1019"/>
      <c r="L2573" s="1019"/>
      <c r="M2573" s="813" t="s">
        <v>2661</v>
      </c>
      <c r="N2573" s="759">
        <v>45188</v>
      </c>
      <c r="O2573" s="8" t="s">
        <v>62</v>
      </c>
      <c r="P2573" s="1027"/>
      <c r="Q2573" s="882">
        <v>3.58</v>
      </c>
      <c r="R2573" s="8"/>
      <c r="S2573" s="8"/>
      <c r="T2573" s="8"/>
      <c r="U2573" s="8"/>
      <c r="V2573" s="8"/>
      <c r="W2573" s="759"/>
      <c r="X2573" s="759"/>
      <c r="Y2573" s="759"/>
      <c r="Z2573" s="759"/>
      <c r="AA2573" s="35"/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5"/>
      <c r="AM2573" s="35"/>
    </row>
    <row r="2574" spans="1:39">
      <c r="B2574" s="1011">
        <v>10</v>
      </c>
      <c r="C2574" s="993" t="s">
        <v>5595</v>
      </c>
      <c r="D2574" s="3">
        <v>200103606</v>
      </c>
      <c r="E2574" s="3">
        <v>100503</v>
      </c>
      <c r="F2574" s="802">
        <v>9</v>
      </c>
      <c r="G2574" s="1019"/>
      <c r="H2574" s="8" t="s">
        <v>60</v>
      </c>
      <c r="I2574" s="1019"/>
      <c r="J2574" s="786">
        <v>122.43</v>
      </c>
      <c r="K2574" s="1019"/>
      <c r="L2574" s="1019"/>
      <c r="M2574" s="813" t="s">
        <v>2661</v>
      </c>
      <c r="N2574" s="759">
        <v>45189</v>
      </c>
      <c r="O2574" s="8" t="s">
        <v>62</v>
      </c>
      <c r="P2574" s="1027"/>
      <c r="Q2574" s="882">
        <v>3.62</v>
      </c>
      <c r="R2574" s="8"/>
      <c r="S2574" s="8"/>
      <c r="T2574" s="8"/>
      <c r="U2574" s="8"/>
      <c r="V2574" s="8"/>
      <c r="W2574" s="759"/>
      <c r="X2574" s="759"/>
      <c r="Y2574" s="759"/>
      <c r="Z2574" s="759"/>
      <c r="AA2574" s="35"/>
      <c r="AB2574" s="35"/>
      <c r="AC2574" s="35"/>
      <c r="AD2574" s="35"/>
      <c r="AE2574" s="35"/>
      <c r="AF2574" s="35"/>
      <c r="AG2574" s="35"/>
      <c r="AH2574" s="35"/>
      <c r="AI2574" s="35"/>
      <c r="AJ2574" s="35"/>
      <c r="AK2574" s="35"/>
      <c r="AL2574" s="35"/>
      <c r="AM2574" s="35"/>
    </row>
    <row r="2575" spans="1:39">
      <c r="B2575" s="1011">
        <v>10</v>
      </c>
      <c r="C2575" s="993" t="s">
        <v>5595</v>
      </c>
      <c r="D2575" s="3">
        <v>200103607</v>
      </c>
      <c r="E2575" s="3">
        <v>100513</v>
      </c>
      <c r="F2575" s="802">
        <v>10</v>
      </c>
      <c r="G2575" s="1019"/>
      <c r="H2575" s="8" t="s">
        <v>60</v>
      </c>
      <c r="I2575" s="1019"/>
      <c r="J2575" s="762">
        <v>123.21</v>
      </c>
      <c r="K2575" s="1019"/>
      <c r="L2575" s="1019"/>
      <c r="M2575" s="813" t="s">
        <v>2661</v>
      </c>
      <c r="N2575" s="759">
        <v>45189</v>
      </c>
      <c r="O2575" s="8" t="s">
        <v>62</v>
      </c>
      <c r="P2575" s="1027"/>
      <c r="Q2575" s="3">
        <v>3.6</v>
      </c>
      <c r="R2575" s="8"/>
      <c r="S2575" s="8"/>
      <c r="T2575" s="8"/>
      <c r="U2575" s="8"/>
      <c r="V2575" s="8"/>
      <c r="W2575" s="759"/>
      <c r="X2575" s="759"/>
      <c r="Y2575" s="759"/>
      <c r="Z2575" s="759"/>
      <c r="AA2575" s="35"/>
      <c r="AB2575" s="35"/>
      <c r="AC2575" s="35"/>
      <c r="AD2575" s="35"/>
      <c r="AE2575" s="35"/>
      <c r="AF2575" s="35"/>
      <c r="AG2575" s="35"/>
      <c r="AH2575" s="35"/>
      <c r="AI2575" s="35"/>
      <c r="AJ2575" s="35"/>
      <c r="AK2575" s="35"/>
      <c r="AL2575" s="35"/>
      <c r="AM2575" s="35"/>
    </row>
    <row r="2576" spans="1:39">
      <c r="B2576" s="1011">
        <v>10</v>
      </c>
      <c r="C2576" s="993" t="s">
        <v>5595</v>
      </c>
      <c r="D2576" s="3">
        <v>200103608</v>
      </c>
      <c r="E2576" s="3">
        <v>100523</v>
      </c>
      <c r="F2576" s="802">
        <v>11</v>
      </c>
      <c r="G2576" s="1019"/>
      <c r="H2576" s="8" t="s">
        <v>60</v>
      </c>
      <c r="I2576" s="1019"/>
      <c r="J2576" s="762">
        <v>123.31</v>
      </c>
      <c r="K2576" s="1019"/>
      <c r="L2576" s="1019"/>
      <c r="M2576" s="813" t="s">
        <v>2661</v>
      </c>
      <c r="N2576" s="759">
        <v>45189</v>
      </c>
      <c r="O2576" s="8" t="s">
        <v>62</v>
      </c>
      <c r="P2576" s="1027"/>
      <c r="Q2576" s="3">
        <v>3.55</v>
      </c>
      <c r="R2576" s="8"/>
      <c r="S2576" s="8"/>
      <c r="T2576" s="8"/>
      <c r="U2576" s="8"/>
      <c r="V2576" s="8"/>
      <c r="W2576" s="759"/>
      <c r="X2576" s="759"/>
      <c r="Y2576" s="759"/>
      <c r="Z2576" s="759"/>
      <c r="AA2576" s="35"/>
      <c r="AB2576" s="35"/>
      <c r="AC2576" s="35"/>
      <c r="AD2576" s="35"/>
      <c r="AE2576" s="35"/>
      <c r="AF2576" s="35"/>
      <c r="AG2576" s="35"/>
      <c r="AH2576" s="35"/>
      <c r="AI2576" s="35"/>
      <c r="AJ2576" s="35"/>
      <c r="AK2576" s="35"/>
      <c r="AL2576" s="35"/>
      <c r="AM2576" s="35"/>
    </row>
    <row r="2577" spans="2:39">
      <c r="B2577" s="1011">
        <v>10</v>
      </c>
      <c r="C2577" s="993" t="s">
        <v>5595</v>
      </c>
      <c r="D2577" s="3">
        <v>200103609</v>
      </c>
      <c r="E2577" s="3">
        <v>100533</v>
      </c>
      <c r="F2577" s="802">
        <v>12</v>
      </c>
      <c r="G2577" s="1019"/>
      <c r="H2577" s="8" t="s">
        <v>60</v>
      </c>
      <c r="I2577" s="1019"/>
      <c r="J2577" s="762">
        <v>123.83</v>
      </c>
      <c r="K2577" s="1019"/>
      <c r="L2577" s="1019"/>
      <c r="M2577" s="813" t="s">
        <v>2661</v>
      </c>
      <c r="N2577" s="759">
        <v>45189</v>
      </c>
      <c r="O2577" s="8" t="s">
        <v>62</v>
      </c>
      <c r="P2577" s="1027"/>
      <c r="Q2577" s="3">
        <v>3.45</v>
      </c>
      <c r="R2577" s="8"/>
      <c r="S2577" s="8"/>
      <c r="T2577" s="8"/>
      <c r="U2577" s="8"/>
      <c r="V2577" s="8"/>
      <c r="W2577" s="759"/>
      <c r="X2577" s="759"/>
      <c r="Y2577" s="759"/>
      <c r="Z2577" s="759"/>
      <c r="AA2577" s="35"/>
      <c r="AB2577" s="35"/>
      <c r="AC2577" s="35"/>
      <c r="AD2577" s="35"/>
      <c r="AE2577" s="35"/>
      <c r="AF2577" s="35"/>
      <c r="AG2577" s="35"/>
      <c r="AH2577" s="35"/>
      <c r="AI2577" s="35"/>
      <c r="AJ2577" s="35"/>
      <c r="AK2577" s="35"/>
      <c r="AL2577" s="35"/>
      <c r="AM2577" s="35"/>
    </row>
    <row r="2578" spans="2:39">
      <c r="B2578" s="1011">
        <v>10</v>
      </c>
      <c r="C2578" s="993" t="s">
        <v>5595</v>
      </c>
      <c r="D2578" s="3">
        <v>200103610</v>
      </c>
      <c r="E2578" s="3">
        <v>100543</v>
      </c>
      <c r="F2578" s="802">
        <v>13</v>
      </c>
      <c r="G2578" s="1019"/>
      <c r="H2578" s="8" t="s">
        <v>60</v>
      </c>
      <c r="I2578" s="1019"/>
      <c r="J2578" s="762">
        <v>126</v>
      </c>
      <c r="K2578" s="1019"/>
      <c r="L2578" s="1019"/>
      <c r="M2578" s="813" t="s">
        <v>2661</v>
      </c>
      <c r="N2578" s="759">
        <v>45189</v>
      </c>
      <c r="O2578" s="8" t="s">
        <v>62</v>
      </c>
      <c r="P2578" s="1027"/>
      <c r="Q2578" s="3">
        <v>3.7</v>
      </c>
      <c r="R2578" s="8"/>
      <c r="S2578" s="8"/>
      <c r="T2578" s="8"/>
      <c r="U2578" s="8"/>
      <c r="V2578" s="8"/>
      <c r="W2578" s="759"/>
      <c r="X2578" s="759"/>
      <c r="Y2578" s="759"/>
      <c r="Z2578" s="759"/>
      <c r="AA2578" s="35"/>
      <c r="AB2578" s="35"/>
      <c r="AC2578" s="35"/>
      <c r="AD2578" s="35"/>
      <c r="AE2578" s="35"/>
      <c r="AF2578" s="35"/>
      <c r="AG2578" s="35"/>
      <c r="AH2578" s="35"/>
      <c r="AI2578" s="35"/>
      <c r="AJ2578" s="35"/>
      <c r="AK2578" s="35"/>
      <c r="AL2578" s="35"/>
      <c r="AM2578" s="35"/>
    </row>
    <row r="2579" spans="2:39">
      <c r="B2579" s="1011">
        <v>10</v>
      </c>
      <c r="C2579" s="993" t="s">
        <v>5595</v>
      </c>
      <c r="D2579" s="3">
        <v>200103611</v>
      </c>
      <c r="E2579" s="3">
        <v>100553</v>
      </c>
      <c r="F2579" s="802">
        <v>14</v>
      </c>
      <c r="G2579" s="1019"/>
      <c r="H2579" s="8" t="s">
        <v>60</v>
      </c>
      <c r="I2579" s="1019"/>
      <c r="J2579" s="786">
        <v>122.59</v>
      </c>
      <c r="K2579" s="1019"/>
      <c r="L2579" s="1019"/>
      <c r="M2579" s="813" t="s">
        <v>2661</v>
      </c>
      <c r="N2579" s="759">
        <v>45191</v>
      </c>
      <c r="O2579" s="8" t="s">
        <v>62</v>
      </c>
      <c r="P2579" s="1027"/>
      <c r="Q2579" s="882">
        <v>3.59</v>
      </c>
      <c r="R2579" s="8"/>
      <c r="S2579" s="8"/>
      <c r="T2579" s="8"/>
      <c r="U2579" s="8"/>
      <c r="V2579" s="8"/>
      <c r="W2579" s="759"/>
      <c r="X2579" s="759"/>
      <c r="Y2579" s="759"/>
      <c r="Z2579" s="759"/>
      <c r="AA2579" s="35"/>
      <c r="AB2579" s="35"/>
      <c r="AC2579" s="35"/>
      <c r="AD2579" s="35"/>
      <c r="AE2579" s="35"/>
      <c r="AF2579" s="35"/>
      <c r="AG2579" s="35"/>
      <c r="AH2579" s="35"/>
      <c r="AI2579" s="35"/>
      <c r="AJ2579" s="35"/>
      <c r="AK2579" s="35"/>
      <c r="AL2579" s="35"/>
      <c r="AM2579" s="35"/>
    </row>
    <row r="2580" spans="2:39">
      <c r="B2580" s="1011">
        <v>10</v>
      </c>
      <c r="C2580" s="993" t="s">
        <v>5595</v>
      </c>
      <c r="D2580" s="3">
        <v>200103612</v>
      </c>
      <c r="E2580" s="3">
        <v>100563</v>
      </c>
      <c r="F2580" s="802">
        <v>15</v>
      </c>
      <c r="G2580" s="1019"/>
      <c r="H2580" s="8" t="s">
        <v>60</v>
      </c>
      <c r="I2580" s="1019"/>
      <c r="J2580" s="786">
        <v>123.38</v>
      </c>
      <c r="K2580" s="1019"/>
      <c r="L2580" s="1019"/>
      <c r="M2580" s="813" t="s">
        <v>2661</v>
      </c>
      <c r="N2580" s="759">
        <v>45191</v>
      </c>
      <c r="O2580" s="8" t="s">
        <v>62</v>
      </c>
      <c r="P2580" s="1027"/>
      <c r="Q2580" s="882">
        <v>3.44</v>
      </c>
      <c r="R2580" s="8"/>
      <c r="S2580" s="8"/>
      <c r="T2580" s="8"/>
      <c r="U2580" s="8"/>
      <c r="V2580" s="8"/>
      <c r="W2580" s="759"/>
      <c r="X2580" s="759"/>
      <c r="Y2580" s="759"/>
      <c r="Z2580" s="759"/>
      <c r="AA2580" s="35"/>
      <c r="AB2580" s="35"/>
      <c r="AC2580" s="35"/>
      <c r="AD2580" s="35"/>
      <c r="AE2580" s="35"/>
      <c r="AF2580" s="35"/>
      <c r="AG2580" s="35"/>
      <c r="AH2580" s="35"/>
      <c r="AI2580" s="35"/>
      <c r="AJ2580" s="35"/>
      <c r="AK2580" s="35"/>
      <c r="AL2580" s="35"/>
      <c r="AM2580" s="35"/>
    </row>
    <row r="2581" spans="2:39">
      <c r="B2581" s="1011">
        <v>10</v>
      </c>
      <c r="C2581" s="993" t="s">
        <v>5595</v>
      </c>
      <c r="D2581" s="3">
        <v>200103626</v>
      </c>
      <c r="E2581" s="3">
        <v>100763</v>
      </c>
      <c r="F2581" s="802">
        <v>16</v>
      </c>
      <c r="G2581" s="1019"/>
      <c r="H2581" s="8" t="s">
        <v>60</v>
      </c>
      <c r="I2581" s="1019"/>
      <c r="J2581" s="786">
        <v>124.22</v>
      </c>
      <c r="K2581" s="1019"/>
      <c r="L2581" s="1019"/>
      <c r="M2581" s="813" t="s">
        <v>2661</v>
      </c>
      <c r="N2581" s="759">
        <v>45191</v>
      </c>
      <c r="O2581" s="8" t="s">
        <v>62</v>
      </c>
      <c r="P2581" s="1027"/>
      <c r="Q2581" s="882">
        <v>3.41</v>
      </c>
      <c r="R2581" s="8"/>
      <c r="S2581" s="8"/>
      <c r="T2581" s="8"/>
      <c r="U2581" s="8"/>
      <c r="V2581" s="8"/>
      <c r="W2581" s="759"/>
      <c r="X2581" s="759"/>
      <c r="Y2581" s="759"/>
      <c r="Z2581" s="759"/>
      <c r="AA2581" s="35"/>
      <c r="AB2581" s="35"/>
      <c r="AC2581" s="35"/>
      <c r="AD2581" s="35"/>
      <c r="AE2581" s="35"/>
      <c r="AF2581" s="35"/>
      <c r="AG2581" s="35"/>
      <c r="AH2581" s="35"/>
      <c r="AI2581" s="35"/>
      <c r="AJ2581" s="35"/>
      <c r="AK2581" s="35"/>
      <c r="AL2581" s="35"/>
      <c r="AM2581" s="35"/>
    </row>
    <row r="2582" spans="2:39">
      <c r="B2582" s="1011">
        <v>10</v>
      </c>
      <c r="C2582" s="993" t="s">
        <v>5595</v>
      </c>
      <c r="D2582" s="3">
        <v>200103627</v>
      </c>
      <c r="E2582" s="3">
        <v>100773</v>
      </c>
      <c r="F2582" s="802">
        <v>17</v>
      </c>
      <c r="G2582" s="1019"/>
      <c r="H2582" s="8" t="s">
        <v>60</v>
      </c>
      <c r="I2582" s="1019"/>
      <c r="J2582" s="786">
        <v>123.03</v>
      </c>
      <c r="K2582" s="1019"/>
      <c r="L2582" s="1019"/>
      <c r="M2582" s="813" t="s">
        <v>2661</v>
      </c>
      <c r="N2582" s="759">
        <v>45191</v>
      </c>
      <c r="O2582" s="8" t="s">
        <v>62</v>
      </c>
      <c r="P2582" s="1027"/>
      <c r="Q2582" s="882">
        <v>3.49</v>
      </c>
      <c r="R2582" s="8"/>
      <c r="S2582" s="8"/>
      <c r="T2582" s="8"/>
      <c r="U2582" s="8"/>
      <c r="V2582" s="8"/>
      <c r="W2582" s="759"/>
      <c r="X2582" s="759"/>
      <c r="Y2582" s="759"/>
      <c r="Z2582" s="759"/>
      <c r="AA2582" s="35"/>
      <c r="AB2582" s="35"/>
      <c r="AC2582" s="35"/>
      <c r="AD2582" s="35"/>
      <c r="AE2582" s="35"/>
      <c r="AF2582" s="35"/>
      <c r="AG2582" s="35"/>
      <c r="AH2582" s="35"/>
      <c r="AI2582" s="35"/>
      <c r="AJ2582" s="35"/>
      <c r="AK2582" s="35"/>
      <c r="AL2582" s="35"/>
      <c r="AM2582" s="35"/>
    </row>
    <row r="2583" spans="2:39">
      <c r="B2583" s="1011">
        <v>10</v>
      </c>
      <c r="C2583" s="993" t="s">
        <v>5595</v>
      </c>
      <c r="D2583" s="3">
        <v>200103628</v>
      </c>
      <c r="E2583" s="3">
        <v>100783</v>
      </c>
      <c r="F2583" s="802">
        <v>18</v>
      </c>
      <c r="G2583" s="1019"/>
      <c r="H2583" s="8" t="s">
        <v>60</v>
      </c>
      <c r="I2583" s="1019"/>
      <c r="J2583" s="786">
        <v>122.61</v>
      </c>
      <c r="K2583" s="1019"/>
      <c r="L2583" s="1019"/>
      <c r="M2583" s="813" t="s">
        <v>2661</v>
      </c>
      <c r="N2583" s="759">
        <v>45191</v>
      </c>
      <c r="O2583" s="8" t="s">
        <v>62</v>
      </c>
      <c r="P2583" s="1027"/>
      <c r="Q2583" s="882">
        <v>3.5</v>
      </c>
      <c r="R2583" s="8"/>
      <c r="S2583" s="8"/>
      <c r="T2583" s="8"/>
      <c r="U2583" s="8"/>
      <c r="V2583" s="8"/>
      <c r="W2583" s="759"/>
      <c r="X2583" s="759"/>
      <c r="Y2583" s="759"/>
      <c r="Z2583" s="759"/>
      <c r="AA2583" s="35"/>
      <c r="AB2583" s="35"/>
      <c r="AC2583" s="35"/>
      <c r="AD2583" s="35"/>
      <c r="AE2583" s="35"/>
      <c r="AF2583" s="35"/>
      <c r="AG2583" s="35"/>
      <c r="AH2583" s="35"/>
      <c r="AI2583" s="35"/>
      <c r="AJ2583" s="35"/>
      <c r="AK2583" s="35"/>
      <c r="AL2583" s="35"/>
      <c r="AM2583" s="35"/>
    </row>
    <row r="2584" spans="2:39">
      <c r="B2584" s="1011">
        <v>10</v>
      </c>
      <c r="C2584" s="993" t="s">
        <v>5595</v>
      </c>
      <c r="D2584" s="3">
        <v>200103629</v>
      </c>
      <c r="E2584" s="3">
        <v>100793</v>
      </c>
      <c r="F2584" s="802">
        <v>19</v>
      </c>
      <c r="G2584" s="1019"/>
      <c r="H2584" s="8" t="s">
        <v>60</v>
      </c>
      <c r="I2584" s="1019"/>
      <c r="J2584" s="762">
        <v>124.75</v>
      </c>
      <c r="K2584" s="1019"/>
      <c r="L2584" s="1019"/>
      <c r="M2584" s="813" t="s">
        <v>2661</v>
      </c>
      <c r="N2584" s="759">
        <v>45191</v>
      </c>
      <c r="O2584" s="8" t="s">
        <v>62</v>
      </c>
      <c r="P2584" s="1027"/>
      <c r="Q2584" s="3">
        <v>3.67</v>
      </c>
      <c r="R2584" s="8"/>
      <c r="S2584" s="8"/>
      <c r="T2584" s="8"/>
      <c r="U2584" s="8"/>
      <c r="V2584" s="8"/>
      <c r="W2584" s="759"/>
      <c r="X2584" s="759"/>
      <c r="Y2584" s="759"/>
      <c r="Z2584" s="759"/>
      <c r="AA2584" s="35"/>
      <c r="AB2584" s="35"/>
      <c r="AC2584" s="35"/>
      <c r="AD2584" s="35"/>
      <c r="AE2584" s="35"/>
      <c r="AF2584" s="35"/>
      <c r="AG2584" s="35"/>
      <c r="AH2584" s="35"/>
      <c r="AI2584" s="35"/>
      <c r="AJ2584" s="35"/>
      <c r="AK2584" s="35"/>
      <c r="AL2584" s="35"/>
      <c r="AM2584" s="35"/>
    </row>
    <row r="2585" spans="2:39">
      <c r="B2585" s="1011">
        <v>10</v>
      </c>
      <c r="C2585" s="993" t="s">
        <v>5595</v>
      </c>
      <c r="D2585" s="3">
        <v>200103630</v>
      </c>
      <c r="E2585" s="3">
        <v>100803</v>
      </c>
      <c r="F2585" s="802">
        <v>20</v>
      </c>
      <c r="G2585" s="1019"/>
      <c r="H2585" s="8" t="s">
        <v>60</v>
      </c>
      <c r="I2585" s="1019"/>
      <c r="J2585" s="762">
        <v>122.95</v>
      </c>
      <c r="K2585" s="1019"/>
      <c r="L2585" s="1019"/>
      <c r="M2585" s="813" t="s">
        <v>2661</v>
      </c>
      <c r="N2585" s="759">
        <v>45191</v>
      </c>
      <c r="O2585" s="8" t="s">
        <v>62</v>
      </c>
      <c r="P2585" s="1027"/>
      <c r="Q2585" s="3">
        <v>3.75</v>
      </c>
      <c r="R2585" s="8"/>
      <c r="S2585" s="8"/>
      <c r="T2585" s="8"/>
      <c r="U2585" s="8"/>
      <c r="V2585" s="8"/>
      <c r="W2585" s="759"/>
      <c r="X2585" s="759"/>
      <c r="Y2585" s="759"/>
      <c r="Z2585" s="759"/>
      <c r="AA2585" s="35"/>
      <c r="AB2585" s="35"/>
      <c r="AC2585" s="35"/>
      <c r="AD2585" s="35"/>
      <c r="AE2585" s="35"/>
      <c r="AF2585" s="35"/>
      <c r="AG2585" s="35"/>
      <c r="AH2585" s="35"/>
      <c r="AI2585" s="35"/>
      <c r="AJ2585" s="35"/>
      <c r="AK2585" s="35"/>
      <c r="AL2585" s="35"/>
      <c r="AM2585" s="35"/>
    </row>
    <row r="2586" spans="2:39">
      <c r="B2586" s="1011">
        <v>10</v>
      </c>
      <c r="C2586" s="993" t="s">
        <v>5595</v>
      </c>
      <c r="D2586" s="3">
        <v>200103631</v>
      </c>
      <c r="E2586" s="3">
        <v>100813</v>
      </c>
      <c r="F2586" s="802">
        <v>21</v>
      </c>
      <c r="G2586" s="1019"/>
      <c r="H2586" s="8" t="s">
        <v>60</v>
      </c>
      <c r="I2586" s="1019"/>
      <c r="J2586" s="762">
        <v>124.11</v>
      </c>
      <c r="K2586" s="1019"/>
      <c r="L2586" s="1019"/>
      <c r="M2586" s="813" t="s">
        <v>2661</v>
      </c>
      <c r="N2586" s="759">
        <v>45191</v>
      </c>
      <c r="O2586" s="8" t="s">
        <v>62</v>
      </c>
      <c r="P2586" s="1027"/>
      <c r="Q2586" s="3">
        <v>3.62</v>
      </c>
      <c r="R2586" s="8"/>
      <c r="S2586" s="8"/>
      <c r="T2586" s="8"/>
      <c r="U2586" s="8"/>
      <c r="V2586" s="8"/>
      <c r="W2586" s="759"/>
      <c r="X2586" s="759"/>
      <c r="Y2586" s="759"/>
      <c r="Z2586" s="759"/>
      <c r="AA2586" s="35"/>
      <c r="AB2586" s="35"/>
      <c r="AC2586" s="35"/>
      <c r="AD2586" s="35"/>
      <c r="AE2586" s="35"/>
      <c r="AF2586" s="35"/>
      <c r="AG2586" s="35"/>
      <c r="AH2586" s="35"/>
      <c r="AI2586" s="35"/>
      <c r="AJ2586" s="35"/>
      <c r="AK2586" s="35"/>
      <c r="AL2586" s="35"/>
      <c r="AM2586" s="35"/>
    </row>
    <row r="2587" spans="2:39">
      <c r="B2587" s="1011">
        <v>10</v>
      </c>
      <c r="C2587" s="993" t="s">
        <v>5595</v>
      </c>
      <c r="D2587" s="3">
        <v>200103632</v>
      </c>
      <c r="E2587" s="3">
        <v>100823</v>
      </c>
      <c r="F2587" s="802">
        <v>22</v>
      </c>
      <c r="G2587" s="1019"/>
      <c r="H2587" s="8" t="s">
        <v>60</v>
      </c>
      <c r="I2587" s="1019"/>
      <c r="J2587" s="762">
        <v>126</v>
      </c>
      <c r="K2587" s="1019"/>
      <c r="L2587" s="1019"/>
      <c r="M2587" s="813" t="s">
        <v>2661</v>
      </c>
      <c r="N2587" s="759">
        <v>45191</v>
      </c>
      <c r="O2587" s="8" t="s">
        <v>62</v>
      </c>
      <c r="P2587" s="1027"/>
      <c r="Q2587" s="3">
        <v>3.67</v>
      </c>
      <c r="R2587" s="8"/>
      <c r="S2587" s="8"/>
      <c r="T2587" s="8"/>
      <c r="U2587" s="8"/>
      <c r="V2587" s="8"/>
      <c r="W2587" s="759"/>
      <c r="X2587" s="759"/>
      <c r="Y2587" s="759"/>
      <c r="Z2587" s="759"/>
      <c r="AA2587" s="35"/>
      <c r="AB2587" s="35"/>
      <c r="AC2587" s="35"/>
      <c r="AD2587" s="35"/>
      <c r="AE2587" s="35"/>
      <c r="AF2587" s="35"/>
      <c r="AG2587" s="35"/>
      <c r="AH2587" s="35"/>
      <c r="AI2587" s="35"/>
      <c r="AJ2587" s="35"/>
      <c r="AK2587" s="35"/>
      <c r="AL2587" s="35"/>
      <c r="AM2587" s="35"/>
    </row>
    <row r="2588" spans="2:39">
      <c r="B2588" s="1011">
        <v>10</v>
      </c>
      <c r="C2588" s="993" t="s">
        <v>5595</v>
      </c>
      <c r="D2588" s="3">
        <v>200103633</v>
      </c>
      <c r="E2588" s="3">
        <v>100833</v>
      </c>
      <c r="F2588" s="802">
        <v>23</v>
      </c>
      <c r="G2588" s="1019"/>
      <c r="H2588" s="8" t="s">
        <v>60</v>
      </c>
      <c r="I2588" s="1019"/>
      <c r="J2588" s="3">
        <v>123.29</v>
      </c>
      <c r="K2588" s="1019"/>
      <c r="L2588" s="1019"/>
      <c r="M2588" s="813" t="s">
        <v>2661</v>
      </c>
      <c r="N2588" s="759">
        <v>45191</v>
      </c>
      <c r="O2588" s="8" t="s">
        <v>62</v>
      </c>
      <c r="P2588" s="1027"/>
      <c r="Q2588" s="3">
        <v>3.47</v>
      </c>
      <c r="R2588" s="8"/>
      <c r="S2588" s="8"/>
      <c r="T2588" s="8"/>
      <c r="U2588" s="8"/>
      <c r="V2588" s="8"/>
      <c r="W2588" s="759"/>
      <c r="X2588" s="759"/>
      <c r="Y2588" s="759"/>
      <c r="Z2588" s="759"/>
      <c r="AA2588" s="35"/>
      <c r="AB2588" s="35"/>
      <c r="AC2588" s="35"/>
      <c r="AD2588" s="35"/>
      <c r="AE2588" s="35"/>
      <c r="AF2588" s="35"/>
      <c r="AG2588" s="35"/>
      <c r="AH2588" s="35"/>
      <c r="AI2588" s="35"/>
      <c r="AJ2588" s="35"/>
      <c r="AK2588" s="35"/>
      <c r="AL2588" s="35"/>
      <c r="AM2588" s="35"/>
    </row>
    <row r="2589" spans="2:39">
      <c r="B2589" s="1011">
        <v>10</v>
      </c>
      <c r="C2589" s="993" t="s">
        <v>5595</v>
      </c>
      <c r="D2589" s="3">
        <v>200103728</v>
      </c>
      <c r="E2589" s="3">
        <v>101533</v>
      </c>
      <c r="F2589" s="802">
        <v>24</v>
      </c>
      <c r="G2589" s="8" t="s">
        <v>60</v>
      </c>
      <c r="H2589" s="8" t="s">
        <v>60</v>
      </c>
      <c r="I2589" s="762">
        <v>548.27</v>
      </c>
      <c r="J2589" s="3">
        <v>122.39</v>
      </c>
      <c r="K2589" s="8" t="s">
        <v>2716</v>
      </c>
      <c r="L2589" s="759">
        <v>45203</v>
      </c>
      <c r="M2589" s="8" t="s">
        <v>2740</v>
      </c>
      <c r="N2589" s="759">
        <v>45203</v>
      </c>
      <c r="O2589" s="8" t="s">
        <v>62</v>
      </c>
      <c r="P2589" s="4" t="s">
        <v>5840</v>
      </c>
      <c r="Q2589" s="3">
        <v>3.42</v>
      </c>
      <c r="R2589" s="8"/>
      <c r="S2589" s="8"/>
      <c r="T2589" s="8"/>
      <c r="U2589" s="8"/>
      <c r="V2589" s="8"/>
      <c r="W2589" s="759"/>
      <c r="X2589" s="759"/>
      <c r="Y2589" s="759"/>
      <c r="Z2589" s="759"/>
      <c r="AA2589" s="35"/>
      <c r="AB2589" s="35"/>
      <c r="AC2589" s="35"/>
      <c r="AD2589" s="35"/>
      <c r="AE2589" s="35"/>
      <c r="AF2589" s="35"/>
      <c r="AG2589" s="35"/>
      <c r="AH2589" s="35"/>
      <c r="AI2589" s="35"/>
      <c r="AJ2589" s="35"/>
      <c r="AK2589" s="35"/>
      <c r="AL2589" s="35"/>
      <c r="AM2589" s="35"/>
    </row>
    <row r="2590" spans="2:39">
      <c r="B2590" s="1011">
        <v>10</v>
      </c>
      <c r="C2590" s="993" t="s">
        <v>5595</v>
      </c>
      <c r="D2590" s="3">
        <v>200103729</v>
      </c>
      <c r="E2590" s="3">
        <v>101543</v>
      </c>
      <c r="F2590" s="802">
        <v>25</v>
      </c>
      <c r="G2590" s="8" t="s">
        <v>128</v>
      </c>
      <c r="H2590" s="8" t="s">
        <v>60</v>
      </c>
      <c r="I2590" s="762">
        <v>543.65</v>
      </c>
      <c r="J2590" s="3">
        <v>123.14</v>
      </c>
      <c r="K2590" s="8" t="s">
        <v>2716</v>
      </c>
      <c r="L2590" s="759">
        <v>45204</v>
      </c>
      <c r="M2590" s="8" t="s">
        <v>2740</v>
      </c>
      <c r="N2590" s="759">
        <v>45203</v>
      </c>
      <c r="O2590" s="8" t="s">
        <v>62</v>
      </c>
      <c r="P2590" s="4" t="s">
        <v>5841</v>
      </c>
      <c r="Q2590" s="762">
        <v>3.8</v>
      </c>
      <c r="R2590" s="8"/>
      <c r="S2590" s="8"/>
      <c r="T2590" s="8"/>
      <c r="U2590" s="8"/>
      <c r="V2590" s="8"/>
      <c r="W2590" s="759"/>
      <c r="X2590" s="759"/>
      <c r="Y2590" s="759"/>
      <c r="Z2590" s="759"/>
      <c r="AA2590" s="35"/>
      <c r="AB2590" s="35"/>
      <c r="AC2590" s="35"/>
      <c r="AD2590" s="35"/>
      <c r="AE2590" s="35"/>
      <c r="AF2590" s="35"/>
      <c r="AG2590" s="35"/>
      <c r="AH2590" s="35"/>
      <c r="AI2590" s="35"/>
      <c r="AJ2590" s="35"/>
      <c r="AK2590" s="35"/>
      <c r="AL2590" s="35"/>
      <c r="AM2590" s="35"/>
    </row>
    <row r="2591" spans="2:39">
      <c r="B2591" s="1011">
        <v>10</v>
      </c>
      <c r="C2591" s="993" t="s">
        <v>5595</v>
      </c>
      <c r="D2591" s="3">
        <v>200103730</v>
      </c>
      <c r="E2591" s="3">
        <v>101553</v>
      </c>
      <c r="F2591" s="802">
        <v>26</v>
      </c>
      <c r="G2591" s="8" t="s">
        <v>60</v>
      </c>
      <c r="H2591" s="8" t="s">
        <v>60</v>
      </c>
      <c r="I2591" s="786">
        <v>549.70000000000005</v>
      </c>
      <c r="J2591" s="3">
        <v>124.12</v>
      </c>
      <c r="K2591" s="8" t="s">
        <v>2716</v>
      </c>
      <c r="L2591" s="759">
        <v>45205</v>
      </c>
      <c r="M2591" s="8" t="s">
        <v>2740</v>
      </c>
      <c r="N2591" s="759">
        <v>45203</v>
      </c>
      <c r="O2591" s="8" t="s">
        <v>62</v>
      </c>
      <c r="P2591" s="4" t="s">
        <v>5842</v>
      </c>
      <c r="Q2591" s="762">
        <v>3.65</v>
      </c>
      <c r="R2591" s="8"/>
      <c r="S2591" s="8"/>
      <c r="T2591" s="8"/>
      <c r="U2591" s="8"/>
      <c r="V2591" s="8"/>
      <c r="W2591" s="759"/>
      <c r="X2591" s="759"/>
      <c r="Y2591" s="759"/>
      <c r="Z2591" s="759"/>
      <c r="AA2591" s="35"/>
      <c r="AB2591" s="35"/>
      <c r="AC2591" s="35"/>
      <c r="AD2591" s="35"/>
      <c r="AE2591" s="35"/>
      <c r="AF2591" s="35"/>
      <c r="AG2591" s="35"/>
      <c r="AH2591" s="35"/>
      <c r="AI2591" s="35"/>
      <c r="AJ2591" s="35"/>
      <c r="AK2591" s="35"/>
      <c r="AL2591" s="35"/>
      <c r="AM2591" s="35"/>
    </row>
    <row r="2592" spans="2:39">
      <c r="B2592" s="1011">
        <v>10</v>
      </c>
      <c r="C2592" s="993" t="s">
        <v>5595</v>
      </c>
      <c r="D2592" s="3">
        <v>200103731</v>
      </c>
      <c r="E2592" s="3">
        <v>101563</v>
      </c>
      <c r="F2592" s="802">
        <v>27</v>
      </c>
      <c r="G2592" s="8" t="s">
        <v>60</v>
      </c>
      <c r="H2592" s="8" t="s">
        <v>60</v>
      </c>
      <c r="I2592" s="762">
        <v>547.77</v>
      </c>
      <c r="J2592" s="786">
        <v>122.45</v>
      </c>
      <c r="K2592" s="8" t="s">
        <v>2716</v>
      </c>
      <c r="L2592" s="759">
        <v>45204</v>
      </c>
      <c r="M2592" s="8" t="s">
        <v>2740</v>
      </c>
      <c r="N2592" s="759">
        <v>45204</v>
      </c>
      <c r="O2592" s="8" t="s">
        <v>62</v>
      </c>
      <c r="P2592" s="4" t="s">
        <v>5843</v>
      </c>
      <c r="Q2592" s="882">
        <v>3.47</v>
      </c>
      <c r="R2592" s="8"/>
      <c r="S2592" s="8"/>
      <c r="T2592" s="8"/>
      <c r="U2592" s="8"/>
      <c r="V2592" s="8"/>
      <c r="W2592" s="759"/>
      <c r="X2592" s="759"/>
      <c r="Y2592" s="759"/>
      <c r="Z2592" s="759"/>
      <c r="AA2592" s="35"/>
      <c r="AB2592" s="35"/>
      <c r="AC2592" s="35"/>
      <c r="AD2592" s="35"/>
      <c r="AE2592" s="35"/>
      <c r="AF2592" s="35"/>
      <c r="AG2592" s="35"/>
      <c r="AH2592" s="35"/>
      <c r="AI2592" s="35"/>
      <c r="AJ2592" s="35"/>
      <c r="AK2592" s="35"/>
      <c r="AL2592" s="35"/>
      <c r="AM2592" s="35"/>
    </row>
    <row r="2593" spans="2:39">
      <c r="B2593" s="1011">
        <v>10</v>
      </c>
      <c r="C2593" s="993" t="s">
        <v>5595</v>
      </c>
      <c r="D2593" s="3">
        <v>200103732</v>
      </c>
      <c r="E2593" s="3">
        <v>101573</v>
      </c>
      <c r="F2593" s="802">
        <v>28</v>
      </c>
      <c r="G2593" s="8" t="s">
        <v>60</v>
      </c>
      <c r="H2593" s="8" t="s">
        <v>60</v>
      </c>
      <c r="I2593" s="762">
        <v>552.16999999999996</v>
      </c>
      <c r="J2593" s="786">
        <v>122.8</v>
      </c>
      <c r="K2593" s="8" t="s">
        <v>2716</v>
      </c>
      <c r="L2593" s="759">
        <v>45205</v>
      </c>
      <c r="M2593" s="8" t="s">
        <v>2740</v>
      </c>
      <c r="N2593" s="759">
        <v>45204</v>
      </c>
      <c r="O2593" s="8" t="s">
        <v>62</v>
      </c>
      <c r="P2593" s="4" t="s">
        <v>5844</v>
      </c>
      <c r="Q2593" s="3">
        <v>3.64</v>
      </c>
      <c r="R2593" s="8"/>
      <c r="S2593" s="8"/>
      <c r="T2593" s="8"/>
      <c r="U2593" s="8"/>
      <c r="V2593" s="8"/>
      <c r="W2593" s="759"/>
      <c r="X2593" s="759"/>
      <c r="Y2593" s="759"/>
      <c r="Z2593" s="759"/>
      <c r="AA2593" s="35"/>
      <c r="AB2593" s="35"/>
      <c r="AC2593" s="35"/>
      <c r="AD2593" s="35"/>
      <c r="AE2593" s="35"/>
      <c r="AF2593" s="35"/>
      <c r="AG2593" s="35"/>
      <c r="AH2593" s="35"/>
      <c r="AI2593" s="35"/>
      <c r="AJ2593" s="35"/>
      <c r="AK2593" s="35"/>
      <c r="AL2593" s="35"/>
      <c r="AM2593" s="35"/>
    </row>
    <row r="2594" spans="2:39">
      <c r="B2594" s="1011">
        <v>10</v>
      </c>
      <c r="C2594" s="993" t="s">
        <v>5595</v>
      </c>
      <c r="D2594" s="3">
        <v>200103766</v>
      </c>
      <c r="E2594" s="3">
        <v>101633</v>
      </c>
      <c r="F2594" s="802">
        <v>29</v>
      </c>
      <c r="G2594" s="1019"/>
      <c r="H2594" s="8" t="s">
        <v>60</v>
      </c>
      <c r="I2594" s="1019"/>
      <c r="J2594" s="762">
        <v>122.74</v>
      </c>
      <c r="K2594" s="1019"/>
      <c r="L2594" s="1035"/>
      <c r="M2594" s="8" t="s">
        <v>2740</v>
      </c>
      <c r="N2594" s="759">
        <v>45204</v>
      </c>
      <c r="O2594" s="1019"/>
      <c r="P2594" s="1019"/>
      <c r="Q2594" s="3">
        <v>3.63</v>
      </c>
      <c r="R2594" s="8"/>
      <c r="S2594" s="8"/>
      <c r="T2594" s="8"/>
      <c r="U2594" s="8"/>
      <c r="V2594" s="8"/>
      <c r="W2594" s="759"/>
      <c r="X2594" s="759"/>
      <c r="Y2594" s="759"/>
      <c r="Z2594" s="759"/>
      <c r="AA2594" s="35"/>
      <c r="AB2594" s="35"/>
      <c r="AC2594" s="35"/>
      <c r="AD2594" s="35"/>
      <c r="AE2594" s="35"/>
      <c r="AF2594" s="35"/>
      <c r="AG2594" s="35"/>
      <c r="AH2594" s="35"/>
      <c r="AI2594" s="35"/>
      <c r="AJ2594" s="35"/>
      <c r="AK2594" s="35"/>
      <c r="AL2594" s="35"/>
      <c r="AM2594" s="35"/>
    </row>
    <row r="2595" spans="2:39">
      <c r="B2595" s="1011">
        <v>10</v>
      </c>
      <c r="C2595" s="993" t="s">
        <v>5595</v>
      </c>
      <c r="D2595" s="3">
        <v>200103767</v>
      </c>
      <c r="E2595" s="3">
        <v>101643</v>
      </c>
      <c r="F2595" s="802">
        <v>30</v>
      </c>
      <c r="G2595" s="1019"/>
      <c r="H2595" s="8" t="s">
        <v>60</v>
      </c>
      <c r="I2595" s="1019"/>
      <c r="J2595" s="762">
        <v>125.17</v>
      </c>
      <c r="K2595" s="1019"/>
      <c r="L2595" s="1035"/>
      <c r="M2595" s="8" t="s">
        <v>2740</v>
      </c>
      <c r="N2595" s="759">
        <v>45204</v>
      </c>
      <c r="O2595" s="1019"/>
      <c r="P2595" s="1019"/>
      <c r="Q2595" s="3">
        <v>3.5</v>
      </c>
      <c r="R2595" s="8"/>
      <c r="S2595" s="8"/>
      <c r="T2595" s="8"/>
      <c r="U2595" s="8"/>
      <c r="V2595" s="8"/>
      <c r="W2595" s="759"/>
      <c r="X2595" s="759"/>
      <c r="Y2595" s="759"/>
      <c r="Z2595" s="759"/>
      <c r="AA2595" s="35"/>
      <c r="AB2595" s="35"/>
      <c r="AC2595" s="35"/>
      <c r="AD2595" s="35"/>
      <c r="AE2595" s="35"/>
      <c r="AF2595" s="35"/>
      <c r="AG2595" s="35"/>
      <c r="AH2595" s="35"/>
      <c r="AI2595" s="35"/>
      <c r="AJ2595" s="35"/>
      <c r="AK2595" s="35"/>
      <c r="AL2595" s="35"/>
      <c r="AM2595" s="35"/>
    </row>
    <row r="2596" spans="2:39">
      <c r="B2596" s="1011">
        <v>10</v>
      </c>
      <c r="C2596" s="993" t="s">
        <v>5595</v>
      </c>
      <c r="D2596" s="3">
        <v>200103817</v>
      </c>
      <c r="E2596" s="3">
        <v>101853</v>
      </c>
      <c r="F2596" s="802">
        <v>31</v>
      </c>
      <c r="G2596" s="8" t="s">
        <v>128</v>
      </c>
      <c r="H2596" s="8" t="s">
        <v>60</v>
      </c>
      <c r="I2596" s="8">
        <v>550.47</v>
      </c>
      <c r="J2596" s="762">
        <v>121.84</v>
      </c>
      <c r="K2596" s="8" t="s">
        <v>2716</v>
      </c>
      <c r="L2596" s="759">
        <v>45208</v>
      </c>
      <c r="M2596" s="8" t="s">
        <v>2740</v>
      </c>
      <c r="N2596" s="759">
        <v>45209</v>
      </c>
      <c r="O2596" s="8" t="s">
        <v>62</v>
      </c>
      <c r="P2596" s="8" t="s">
        <v>5845</v>
      </c>
      <c r="Q2596" s="882">
        <v>3.55</v>
      </c>
      <c r="R2596" s="8"/>
      <c r="S2596" s="8"/>
      <c r="T2596" s="8"/>
      <c r="U2596" s="8"/>
      <c r="V2596" s="8"/>
      <c r="W2596" s="759"/>
      <c r="X2596" s="759"/>
      <c r="Y2596" s="759"/>
      <c r="Z2596" s="759"/>
      <c r="AA2596" s="35"/>
      <c r="AB2596" s="35"/>
      <c r="AC2596" s="35"/>
      <c r="AD2596" s="35"/>
      <c r="AE2596" s="35"/>
      <c r="AF2596" s="35"/>
      <c r="AG2596" s="35"/>
      <c r="AH2596" s="35"/>
      <c r="AI2596" s="35"/>
      <c r="AJ2596" s="35"/>
      <c r="AK2596" s="35"/>
      <c r="AL2596" s="35"/>
      <c r="AM2596" s="35"/>
    </row>
    <row r="2597" spans="2:39">
      <c r="B2597" s="1011">
        <v>10</v>
      </c>
      <c r="C2597" s="993" t="s">
        <v>5595</v>
      </c>
      <c r="D2597" s="3">
        <v>200103818</v>
      </c>
      <c r="E2597" s="3">
        <v>101863</v>
      </c>
      <c r="F2597" s="802">
        <v>32</v>
      </c>
      <c r="G2597" s="8" t="s">
        <v>128</v>
      </c>
      <c r="H2597" s="8" t="s">
        <v>60</v>
      </c>
      <c r="I2597" s="762">
        <v>552.67999999999995</v>
      </c>
      <c r="J2597" s="786">
        <v>122.76</v>
      </c>
      <c r="K2597" s="8" t="s">
        <v>2716</v>
      </c>
      <c r="L2597" s="759">
        <v>45209</v>
      </c>
      <c r="M2597" s="8" t="s">
        <v>2740</v>
      </c>
      <c r="N2597" s="759">
        <v>45209</v>
      </c>
      <c r="O2597" s="8" t="s">
        <v>62</v>
      </c>
      <c r="P2597" s="4" t="s">
        <v>5846</v>
      </c>
      <c r="Q2597" s="3">
        <v>3.55</v>
      </c>
      <c r="R2597" s="8"/>
      <c r="S2597" s="8"/>
      <c r="T2597" s="8"/>
      <c r="U2597" s="8"/>
      <c r="V2597" s="8"/>
      <c r="W2597" s="759"/>
      <c r="X2597" s="759"/>
      <c r="Y2597" s="759"/>
      <c r="Z2597" s="759"/>
      <c r="AA2597" s="35"/>
      <c r="AB2597" s="35"/>
      <c r="AC2597" s="35"/>
      <c r="AD2597" s="35"/>
      <c r="AE2597" s="35"/>
      <c r="AF2597" s="35"/>
      <c r="AG2597" s="35"/>
      <c r="AH2597" s="35"/>
      <c r="AI2597" s="35"/>
      <c r="AJ2597" s="35"/>
      <c r="AK2597" s="35"/>
      <c r="AL2597" s="35"/>
      <c r="AM2597" s="35"/>
    </row>
    <row r="2598" spans="2:39">
      <c r="B2598" s="1011">
        <v>10</v>
      </c>
      <c r="C2598" s="993" t="s">
        <v>5595</v>
      </c>
      <c r="D2598" s="3">
        <v>200103819</v>
      </c>
      <c r="E2598" s="3">
        <v>101873</v>
      </c>
      <c r="F2598" s="802">
        <v>33</v>
      </c>
      <c r="G2598" s="8" t="s">
        <v>128</v>
      </c>
      <c r="H2598" s="8" t="s">
        <v>60</v>
      </c>
      <c r="I2598" s="3">
        <v>553.41</v>
      </c>
      <c r="J2598" s="786">
        <v>123.6</v>
      </c>
      <c r="K2598" s="8" t="s">
        <v>2716</v>
      </c>
      <c r="L2598" s="759">
        <v>45209</v>
      </c>
      <c r="M2598" s="8" t="s">
        <v>2740</v>
      </c>
      <c r="N2598" s="759">
        <v>45209</v>
      </c>
      <c r="O2598" s="8" t="s">
        <v>62</v>
      </c>
      <c r="P2598" s="927" t="s">
        <v>5847</v>
      </c>
      <c r="Q2598" s="882">
        <v>3.6</v>
      </c>
      <c r="R2598" s="8"/>
      <c r="S2598" s="8"/>
      <c r="T2598" s="8"/>
      <c r="U2598" s="8"/>
      <c r="V2598" s="8"/>
      <c r="W2598" s="759"/>
      <c r="X2598" s="759"/>
      <c r="Y2598" s="759"/>
      <c r="Z2598" s="759"/>
      <c r="AA2598" s="35"/>
      <c r="AB2598" s="35"/>
      <c r="AC2598" s="35"/>
      <c r="AD2598" s="35"/>
      <c r="AE2598" s="35"/>
      <c r="AF2598" s="35"/>
      <c r="AG2598" s="35"/>
      <c r="AH2598" s="35"/>
      <c r="AI2598" s="35"/>
      <c r="AJ2598" s="35"/>
      <c r="AK2598" s="35"/>
      <c r="AL2598" s="35"/>
      <c r="AM2598" s="35"/>
    </row>
    <row r="2599" spans="2:39">
      <c r="B2599" s="1011">
        <v>10</v>
      </c>
      <c r="C2599" s="993" t="s">
        <v>5595</v>
      </c>
      <c r="D2599" s="3">
        <v>200103820</v>
      </c>
      <c r="E2599" s="3">
        <v>101883</v>
      </c>
      <c r="F2599" s="802">
        <v>34</v>
      </c>
      <c r="G2599" s="8" t="s">
        <v>60</v>
      </c>
      <c r="H2599" s="8" t="s">
        <v>60</v>
      </c>
      <c r="I2599" s="786">
        <v>548.45000000000005</v>
      </c>
      <c r="J2599" s="786">
        <v>121.84</v>
      </c>
      <c r="K2599" s="8" t="s">
        <v>2716</v>
      </c>
      <c r="L2599" s="759">
        <v>45210</v>
      </c>
      <c r="M2599" s="8" t="s">
        <v>2740</v>
      </c>
      <c r="N2599" s="759">
        <v>45209</v>
      </c>
      <c r="O2599" s="8" t="s">
        <v>62</v>
      </c>
      <c r="P2599" s="4" t="s">
        <v>5848</v>
      </c>
      <c r="Q2599" s="3">
        <v>3.63</v>
      </c>
      <c r="R2599" s="8"/>
      <c r="S2599" s="8"/>
      <c r="T2599" s="8"/>
      <c r="U2599" s="8"/>
      <c r="V2599" s="8"/>
      <c r="W2599" s="759"/>
      <c r="X2599" s="759"/>
      <c r="Y2599" s="759"/>
      <c r="Z2599" s="759"/>
      <c r="AA2599" s="35"/>
      <c r="AB2599" s="35"/>
      <c r="AC2599" s="35"/>
      <c r="AD2599" s="35"/>
      <c r="AE2599" s="35"/>
      <c r="AF2599" s="35"/>
      <c r="AG2599" s="35"/>
      <c r="AH2599" s="35"/>
      <c r="AI2599" s="35"/>
      <c r="AJ2599" s="35"/>
      <c r="AK2599" s="35"/>
      <c r="AL2599" s="35"/>
      <c r="AM2599" s="35"/>
    </row>
    <row r="2600" spans="2:39">
      <c r="B2600" s="1011">
        <v>10</v>
      </c>
      <c r="C2600" s="993" t="s">
        <v>5595</v>
      </c>
      <c r="D2600" s="3">
        <v>200103821</v>
      </c>
      <c r="E2600" s="3">
        <v>101893</v>
      </c>
      <c r="F2600" s="802">
        <v>35</v>
      </c>
      <c r="G2600" s="8" t="s">
        <v>60</v>
      </c>
      <c r="H2600" s="8" t="s">
        <v>60</v>
      </c>
      <c r="I2600" s="786">
        <v>554.57000000000005</v>
      </c>
      <c r="J2600" s="786">
        <v>126.06</v>
      </c>
      <c r="K2600" s="8" t="s">
        <v>2716</v>
      </c>
      <c r="L2600" s="759">
        <v>45210</v>
      </c>
      <c r="M2600" s="8" t="s">
        <v>2740</v>
      </c>
      <c r="N2600" s="759">
        <v>45209</v>
      </c>
      <c r="O2600" s="8" t="s">
        <v>62</v>
      </c>
      <c r="P2600" s="4" t="s">
        <v>5849</v>
      </c>
      <c r="Q2600" s="3">
        <v>3.64</v>
      </c>
      <c r="R2600" s="8"/>
      <c r="S2600" s="8"/>
      <c r="T2600" s="8"/>
      <c r="U2600" s="8"/>
      <c r="V2600" s="8"/>
      <c r="W2600" s="759"/>
      <c r="X2600" s="759"/>
      <c r="Y2600" s="759"/>
      <c r="Z2600" s="759"/>
      <c r="AA2600" s="35"/>
      <c r="AB2600" s="35"/>
      <c r="AC2600" s="35"/>
      <c r="AD2600" s="35"/>
      <c r="AE2600" s="35"/>
      <c r="AF2600" s="35"/>
      <c r="AG2600" s="35"/>
      <c r="AH2600" s="35"/>
      <c r="AI2600" s="35"/>
      <c r="AJ2600" s="35"/>
      <c r="AK2600" s="35"/>
      <c r="AL2600" s="35"/>
      <c r="AM2600" s="35"/>
    </row>
    <row r="2601" spans="2:39">
      <c r="B2601" s="1011">
        <v>10</v>
      </c>
      <c r="C2601" s="993" t="s">
        <v>5595</v>
      </c>
      <c r="D2601" s="3">
        <v>200103822</v>
      </c>
      <c r="E2601" s="3">
        <v>101903</v>
      </c>
      <c r="F2601" s="802">
        <v>36</v>
      </c>
      <c r="G2601" s="8" t="s">
        <v>60</v>
      </c>
      <c r="H2601" s="8" t="s">
        <v>60</v>
      </c>
      <c r="I2601" s="786">
        <v>554.53</v>
      </c>
      <c r="J2601" s="762">
        <v>125.54</v>
      </c>
      <c r="K2601" s="8" t="s">
        <v>2716</v>
      </c>
      <c r="L2601" s="759">
        <v>45210</v>
      </c>
      <c r="M2601" s="8" t="s">
        <v>2740</v>
      </c>
      <c r="N2601" s="759">
        <v>45209</v>
      </c>
      <c r="O2601" s="8" t="s">
        <v>62</v>
      </c>
      <c r="P2601" s="4" t="s">
        <v>5850</v>
      </c>
      <c r="Q2601" s="762">
        <v>3.71</v>
      </c>
      <c r="R2601" s="8"/>
      <c r="S2601" s="8"/>
      <c r="T2601" s="8"/>
      <c r="U2601" s="8"/>
      <c r="V2601" s="8"/>
      <c r="W2601" s="759"/>
      <c r="X2601" s="759"/>
      <c r="Y2601" s="759"/>
      <c r="Z2601" s="759"/>
      <c r="AA2601" s="35"/>
      <c r="AB2601" s="35"/>
      <c r="AC2601" s="35"/>
      <c r="AD2601" s="35"/>
      <c r="AE2601" s="35"/>
      <c r="AF2601" s="35"/>
      <c r="AG2601" s="35"/>
      <c r="AH2601" s="35"/>
      <c r="AI2601" s="35"/>
      <c r="AJ2601" s="35"/>
      <c r="AK2601" s="35"/>
      <c r="AL2601" s="35"/>
      <c r="AM2601" s="35"/>
    </row>
    <row r="2602" spans="2:39">
      <c r="B2602" s="1011">
        <v>10</v>
      </c>
      <c r="C2602" s="993" t="s">
        <v>5595</v>
      </c>
      <c r="D2602" s="3">
        <v>200103823</v>
      </c>
      <c r="E2602" s="3">
        <v>101913</v>
      </c>
      <c r="F2602" s="802">
        <v>37</v>
      </c>
      <c r="G2602" s="8" t="s">
        <v>60</v>
      </c>
      <c r="H2602" s="8" t="s">
        <v>60</v>
      </c>
      <c r="I2602" s="786">
        <v>556.99</v>
      </c>
      <c r="J2602" s="762">
        <v>126.05</v>
      </c>
      <c r="K2602" s="8" t="s">
        <v>2716</v>
      </c>
      <c r="L2602" s="759">
        <v>45211</v>
      </c>
      <c r="M2602" s="8" t="s">
        <v>2740</v>
      </c>
      <c r="N2602" s="759">
        <v>45209</v>
      </c>
      <c r="O2602" s="8" t="s">
        <v>62</v>
      </c>
      <c r="P2602" s="4" t="s">
        <v>5851</v>
      </c>
      <c r="Q2602" s="762">
        <v>3.75</v>
      </c>
      <c r="R2602" s="8"/>
      <c r="S2602" s="8"/>
      <c r="T2602" s="8"/>
      <c r="U2602" s="8"/>
      <c r="V2602" s="8"/>
      <c r="W2602" s="759"/>
      <c r="X2602" s="759"/>
      <c r="Y2602" s="759"/>
      <c r="Z2602" s="759"/>
      <c r="AA2602" s="35"/>
      <c r="AB2602" s="35"/>
      <c r="AC2602" s="35"/>
      <c r="AD2602" s="35"/>
      <c r="AE2602" s="35"/>
      <c r="AF2602" s="35"/>
      <c r="AG2602" s="35"/>
      <c r="AH2602" s="35"/>
      <c r="AI2602" s="35"/>
      <c r="AJ2602" s="35"/>
      <c r="AK2602" s="35"/>
      <c r="AL2602" s="35"/>
      <c r="AM2602" s="35"/>
    </row>
    <row r="2603" spans="2:39">
      <c r="B2603" s="1011">
        <v>10</v>
      </c>
      <c r="C2603" s="993" t="s">
        <v>5595</v>
      </c>
      <c r="D2603" s="3">
        <v>200103824</v>
      </c>
      <c r="E2603" s="3">
        <v>101923</v>
      </c>
      <c r="F2603" s="802">
        <v>38</v>
      </c>
      <c r="G2603" s="8" t="s">
        <v>128</v>
      </c>
      <c r="H2603" s="8" t="s">
        <v>60</v>
      </c>
      <c r="I2603" s="786">
        <v>549.32000000000005</v>
      </c>
      <c r="J2603" s="3">
        <v>123.87</v>
      </c>
      <c r="K2603" s="8" t="s">
        <v>2716</v>
      </c>
      <c r="L2603" s="759">
        <v>45210</v>
      </c>
      <c r="M2603" s="8" t="s">
        <v>2740</v>
      </c>
      <c r="N2603" s="759">
        <v>45209</v>
      </c>
      <c r="O2603" s="8" t="s">
        <v>62</v>
      </c>
      <c r="P2603" s="4" t="s">
        <v>5852</v>
      </c>
      <c r="Q2603" s="3">
        <v>3.7</v>
      </c>
      <c r="R2603" s="8"/>
      <c r="S2603" s="8"/>
      <c r="T2603" s="8"/>
      <c r="U2603" s="8"/>
      <c r="V2603" s="8"/>
      <c r="W2603" s="759"/>
      <c r="X2603" s="759"/>
      <c r="Y2603" s="759"/>
      <c r="Z2603" s="759"/>
      <c r="AA2603" s="35"/>
      <c r="AB2603" s="35"/>
      <c r="AC2603" s="35"/>
      <c r="AD2603" s="35"/>
      <c r="AE2603" s="35"/>
      <c r="AF2603" s="35"/>
      <c r="AG2603" s="35"/>
      <c r="AH2603" s="35"/>
      <c r="AI2603" s="35"/>
      <c r="AJ2603" s="35"/>
      <c r="AK2603" s="35"/>
      <c r="AL2603" s="35"/>
      <c r="AM2603" s="35"/>
    </row>
    <row r="2604" spans="2:39">
      <c r="B2604" s="1011">
        <v>10</v>
      </c>
      <c r="C2604" s="993" t="s">
        <v>5595</v>
      </c>
      <c r="D2604" s="3">
        <v>200103825</v>
      </c>
      <c r="E2604" s="3">
        <v>101933</v>
      </c>
      <c r="F2604" s="802">
        <v>39</v>
      </c>
      <c r="G2604" s="8" t="s">
        <v>128</v>
      </c>
      <c r="H2604" s="8" t="s">
        <v>60</v>
      </c>
      <c r="I2604" s="786">
        <v>557.96</v>
      </c>
      <c r="J2604" s="3">
        <v>125.06</v>
      </c>
      <c r="K2604" s="8" t="s">
        <v>2716</v>
      </c>
      <c r="L2604" s="759">
        <v>45210</v>
      </c>
      <c r="M2604" s="8" t="s">
        <v>2740</v>
      </c>
      <c r="N2604" s="759">
        <v>45209</v>
      </c>
      <c r="O2604" s="8" t="s">
        <v>62</v>
      </c>
      <c r="P2604" s="4" t="s">
        <v>5853</v>
      </c>
      <c r="Q2604" s="762">
        <v>3.49</v>
      </c>
      <c r="R2604" s="8"/>
      <c r="S2604" s="8"/>
      <c r="T2604" s="8"/>
      <c r="U2604" s="8"/>
      <c r="V2604" s="8"/>
      <c r="W2604" s="759"/>
      <c r="X2604" s="759"/>
      <c r="Y2604" s="759"/>
      <c r="Z2604" s="759"/>
      <c r="AA2604" s="35"/>
      <c r="AB2604" s="35"/>
      <c r="AC2604" s="35"/>
      <c r="AD2604" s="35"/>
      <c r="AE2604" s="35"/>
      <c r="AF2604" s="35"/>
      <c r="AG2604" s="35"/>
      <c r="AH2604" s="35"/>
      <c r="AI2604" s="35"/>
      <c r="AJ2604" s="35"/>
      <c r="AK2604" s="35"/>
      <c r="AL2604" s="35"/>
      <c r="AM2604" s="35"/>
    </row>
    <row r="2605" spans="2:39">
      <c r="B2605" s="1011">
        <v>10</v>
      </c>
      <c r="C2605" s="993" t="s">
        <v>5595</v>
      </c>
      <c r="D2605" s="3">
        <v>200103826</v>
      </c>
      <c r="E2605" s="3">
        <v>101943</v>
      </c>
      <c r="F2605" s="802">
        <v>40</v>
      </c>
      <c r="G2605" s="8" t="s">
        <v>60</v>
      </c>
      <c r="H2605" s="8" t="s">
        <v>60</v>
      </c>
      <c r="I2605" s="786">
        <v>551.36</v>
      </c>
      <c r="J2605" s="3">
        <v>126.07</v>
      </c>
      <c r="K2605" s="8" t="s">
        <v>2716</v>
      </c>
      <c r="L2605" s="759">
        <v>45211</v>
      </c>
      <c r="M2605" s="8" t="s">
        <v>2740</v>
      </c>
      <c r="N2605" s="759">
        <v>45209</v>
      </c>
      <c r="O2605" s="8" t="s">
        <v>62</v>
      </c>
      <c r="P2605" s="4" t="s">
        <v>5854</v>
      </c>
      <c r="Q2605" s="762">
        <v>3.74</v>
      </c>
      <c r="R2605" s="8"/>
      <c r="S2605" s="8"/>
      <c r="T2605" s="8"/>
      <c r="U2605" s="8"/>
      <c r="V2605" s="8"/>
      <c r="W2605" s="759"/>
      <c r="X2605" s="759"/>
      <c r="Y2605" s="759"/>
      <c r="Z2605" s="759"/>
      <c r="AA2605" s="35"/>
      <c r="AB2605" s="35"/>
      <c r="AC2605" s="35"/>
      <c r="AD2605" s="35"/>
      <c r="AE2605" s="35"/>
      <c r="AF2605" s="35"/>
      <c r="AG2605" s="35"/>
      <c r="AH2605" s="35"/>
      <c r="AI2605" s="35"/>
      <c r="AJ2605" s="35"/>
      <c r="AK2605" s="35"/>
      <c r="AL2605" s="35"/>
      <c r="AM2605" s="35"/>
    </row>
    <row r="2606" spans="2:39">
      <c r="B2606" s="1011">
        <v>10</v>
      </c>
      <c r="C2606" s="993" t="s">
        <v>5595</v>
      </c>
      <c r="D2606" s="3">
        <v>200103768</v>
      </c>
      <c r="E2606" s="3">
        <v>101953</v>
      </c>
      <c r="F2606" s="802">
        <v>41</v>
      </c>
      <c r="G2606" s="8" t="s">
        <v>60</v>
      </c>
      <c r="H2606" s="8" t="s">
        <v>60</v>
      </c>
      <c r="I2606" s="762">
        <v>554.13</v>
      </c>
      <c r="J2606" s="786">
        <v>123.58</v>
      </c>
      <c r="K2606" s="8" t="s">
        <v>2716</v>
      </c>
      <c r="L2606" s="759">
        <v>45211</v>
      </c>
      <c r="M2606" s="8" t="s">
        <v>2740</v>
      </c>
      <c r="N2606" s="759">
        <v>45212</v>
      </c>
      <c r="O2606" s="8" t="s">
        <v>62</v>
      </c>
      <c r="P2606" s="927" t="s">
        <v>5855</v>
      </c>
      <c r="Q2606" s="882">
        <v>3.79</v>
      </c>
      <c r="R2606" s="8"/>
      <c r="S2606" s="8"/>
      <c r="T2606" s="8"/>
      <c r="U2606" s="8"/>
      <c r="V2606" s="8"/>
      <c r="W2606" s="759"/>
      <c r="X2606" s="759"/>
      <c r="Y2606" s="759"/>
      <c r="Z2606" s="759"/>
      <c r="AA2606" s="35"/>
      <c r="AB2606" s="35"/>
      <c r="AC2606" s="35"/>
      <c r="AD2606" s="35"/>
      <c r="AE2606" s="35"/>
      <c r="AF2606" s="35"/>
      <c r="AG2606" s="35"/>
      <c r="AH2606" s="35"/>
      <c r="AI2606" s="35"/>
      <c r="AJ2606" s="35"/>
      <c r="AK2606" s="35"/>
      <c r="AL2606" s="35"/>
      <c r="AM2606" s="35"/>
    </row>
    <row r="2607" spans="2:39">
      <c r="B2607" s="1011">
        <v>10</v>
      </c>
      <c r="C2607" s="993" t="s">
        <v>5595</v>
      </c>
      <c r="D2607" s="3">
        <v>200103769</v>
      </c>
      <c r="E2607" s="3">
        <v>101963</v>
      </c>
      <c r="F2607" s="802">
        <v>42</v>
      </c>
      <c r="G2607" s="8" t="s">
        <v>60</v>
      </c>
      <c r="H2607" s="8" t="s">
        <v>60</v>
      </c>
      <c r="I2607" s="3">
        <v>559.12</v>
      </c>
      <c r="J2607" s="786">
        <v>122.89</v>
      </c>
      <c r="K2607" s="8" t="s">
        <v>2716</v>
      </c>
      <c r="L2607" s="759">
        <v>45211</v>
      </c>
      <c r="M2607" s="8" t="s">
        <v>2740</v>
      </c>
      <c r="N2607" s="759">
        <v>45212</v>
      </c>
      <c r="O2607" s="8" t="s">
        <v>62</v>
      </c>
      <c r="P2607" s="927" t="s">
        <v>5856</v>
      </c>
      <c r="Q2607" s="882">
        <v>3.49</v>
      </c>
      <c r="R2607" s="8"/>
      <c r="S2607" s="8"/>
      <c r="T2607" s="8"/>
      <c r="U2607" s="8"/>
      <c r="V2607" s="8"/>
      <c r="W2607" s="759"/>
      <c r="X2607" s="759"/>
      <c r="Y2607" s="759"/>
      <c r="Z2607" s="759"/>
      <c r="AA2607" s="35"/>
      <c r="AB2607" s="35"/>
      <c r="AC2607" s="35"/>
      <c r="AD2607" s="35"/>
      <c r="AE2607" s="35"/>
      <c r="AF2607" s="35"/>
      <c r="AG2607" s="35"/>
      <c r="AH2607" s="35"/>
      <c r="AI2607" s="35"/>
      <c r="AJ2607" s="35"/>
      <c r="AK2607" s="35"/>
      <c r="AL2607" s="35"/>
      <c r="AM2607" s="35"/>
    </row>
    <row r="2608" spans="2:39">
      <c r="B2608" s="1011">
        <v>10</v>
      </c>
      <c r="C2608" s="993" t="s">
        <v>5595</v>
      </c>
      <c r="D2608" s="3">
        <v>200103770</v>
      </c>
      <c r="E2608" s="3">
        <v>101973</v>
      </c>
      <c r="F2608" s="802">
        <v>43</v>
      </c>
      <c r="G2608" s="8" t="s">
        <v>60</v>
      </c>
      <c r="H2608" s="8" t="s">
        <v>60</v>
      </c>
      <c r="I2608" s="786">
        <v>549.55999999999995</v>
      </c>
      <c r="J2608" s="786">
        <v>125.47</v>
      </c>
      <c r="K2608" s="8" t="s">
        <v>2716</v>
      </c>
      <c r="L2608" s="759">
        <v>45216</v>
      </c>
      <c r="M2608" s="8" t="s">
        <v>2740</v>
      </c>
      <c r="N2608" s="759">
        <v>45212</v>
      </c>
      <c r="O2608" s="8" t="s">
        <v>62</v>
      </c>
      <c r="P2608" s="3" t="s">
        <v>5857</v>
      </c>
      <c r="Q2608" s="882">
        <v>3.72</v>
      </c>
      <c r="R2608" s="8"/>
      <c r="S2608" s="8"/>
      <c r="T2608" s="8"/>
      <c r="U2608" s="8"/>
      <c r="V2608" s="8"/>
      <c r="W2608" s="759"/>
      <c r="X2608" s="759"/>
      <c r="Y2608" s="759"/>
      <c r="Z2608" s="759"/>
      <c r="AA2608" s="35"/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5"/>
      <c r="AM2608" s="35"/>
    </row>
    <row r="2609" spans="1:39">
      <c r="B2609" s="1011">
        <v>10</v>
      </c>
      <c r="C2609" s="993" t="s">
        <v>5595</v>
      </c>
      <c r="D2609" s="3">
        <v>200103771</v>
      </c>
      <c r="E2609" s="3">
        <v>101983</v>
      </c>
      <c r="F2609" s="802">
        <v>44</v>
      </c>
      <c r="G2609" s="8" t="s">
        <v>60</v>
      </c>
      <c r="H2609" s="8" t="s">
        <v>60</v>
      </c>
      <c r="I2609" s="786">
        <v>556.57000000000005</v>
      </c>
      <c r="J2609" s="786">
        <v>125.44</v>
      </c>
      <c r="K2609" s="8" t="s">
        <v>2716</v>
      </c>
      <c r="L2609" s="759">
        <v>45216</v>
      </c>
      <c r="M2609" s="8" t="s">
        <v>2740</v>
      </c>
      <c r="N2609" s="759">
        <v>45212</v>
      </c>
      <c r="O2609" s="8" t="s">
        <v>62</v>
      </c>
      <c r="P2609" s="3" t="s">
        <v>5858</v>
      </c>
      <c r="Q2609" s="3">
        <v>3.7</v>
      </c>
      <c r="R2609" s="8"/>
      <c r="S2609" s="8"/>
      <c r="T2609" s="8"/>
      <c r="U2609" s="8"/>
      <c r="V2609" s="8"/>
      <c r="W2609" s="759"/>
      <c r="X2609" s="759"/>
      <c r="Y2609" s="759"/>
      <c r="Z2609" s="759"/>
      <c r="AA2609" s="35"/>
      <c r="AB2609" s="35"/>
      <c r="AC2609" s="35"/>
      <c r="AD2609" s="35"/>
      <c r="AE2609" s="35"/>
      <c r="AF2609" s="35"/>
      <c r="AG2609" s="35"/>
      <c r="AH2609" s="35"/>
      <c r="AI2609" s="35"/>
      <c r="AJ2609" s="35"/>
      <c r="AK2609" s="35"/>
      <c r="AL2609" s="35"/>
      <c r="AM2609" s="35"/>
    </row>
    <row r="2610" spans="1:39">
      <c r="B2610" s="1011">
        <v>10</v>
      </c>
      <c r="C2610" s="993" t="s">
        <v>5595</v>
      </c>
      <c r="D2610" s="3">
        <v>200103772</v>
      </c>
      <c r="E2610" s="3">
        <v>101993</v>
      </c>
      <c r="F2610" s="802">
        <v>45</v>
      </c>
      <c r="G2610" s="8" t="s">
        <v>60</v>
      </c>
      <c r="H2610" s="8" t="s">
        <v>60</v>
      </c>
      <c r="I2610" s="786">
        <v>557.24</v>
      </c>
      <c r="J2610" s="786">
        <v>126.36</v>
      </c>
      <c r="K2610" s="8" t="s">
        <v>2716</v>
      </c>
      <c r="L2610" s="759">
        <v>45216</v>
      </c>
      <c r="M2610" s="8" t="s">
        <v>2740</v>
      </c>
      <c r="N2610" s="759">
        <v>45212</v>
      </c>
      <c r="O2610" s="8" t="s">
        <v>62</v>
      </c>
      <c r="P2610" s="3" t="s">
        <v>5859</v>
      </c>
      <c r="Q2610" s="3">
        <v>3.72</v>
      </c>
      <c r="R2610" s="8"/>
      <c r="S2610" s="8"/>
      <c r="T2610" s="8"/>
      <c r="U2610" s="8"/>
      <c r="V2610" s="8"/>
      <c r="W2610" s="759"/>
      <c r="X2610" s="759"/>
      <c r="Y2610" s="759"/>
      <c r="Z2610" s="759"/>
      <c r="AA2610" s="35"/>
      <c r="AB2610" s="35"/>
      <c r="AC2610" s="35"/>
      <c r="AD2610" s="35"/>
      <c r="AE2610" s="35"/>
      <c r="AF2610" s="35"/>
      <c r="AG2610" s="35"/>
      <c r="AH2610" s="35"/>
      <c r="AI2610" s="35"/>
      <c r="AJ2610" s="35"/>
      <c r="AK2610" s="35"/>
      <c r="AL2610" s="35"/>
      <c r="AM2610" s="35"/>
    </row>
    <row r="2611" spans="1:39">
      <c r="B2611" s="1011">
        <v>10</v>
      </c>
      <c r="C2611" s="993" t="s">
        <v>5595</v>
      </c>
      <c r="D2611" s="3">
        <v>200103779</v>
      </c>
      <c r="E2611" s="3">
        <v>102063</v>
      </c>
      <c r="F2611" s="802">
        <v>46</v>
      </c>
      <c r="G2611" s="8" t="s">
        <v>60</v>
      </c>
      <c r="H2611" s="953"/>
      <c r="I2611" s="762">
        <v>551.66999999999996</v>
      </c>
      <c r="J2611" s="1036"/>
      <c r="K2611" s="8" t="s">
        <v>2716</v>
      </c>
      <c r="L2611" s="759">
        <v>45216</v>
      </c>
      <c r="M2611" s="953"/>
      <c r="N2611" s="1037"/>
      <c r="O2611" s="8" t="s">
        <v>62</v>
      </c>
      <c r="P2611" s="3" t="s">
        <v>5860</v>
      </c>
      <c r="Q2611" s="825"/>
      <c r="R2611" s="8"/>
      <c r="S2611" s="8"/>
      <c r="T2611" s="8"/>
      <c r="U2611" s="8"/>
      <c r="V2611" s="8"/>
      <c r="W2611" s="759"/>
      <c r="X2611" s="759"/>
      <c r="Y2611" s="759"/>
      <c r="Z2611" s="759"/>
      <c r="AA2611" s="35"/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5"/>
      <c r="AM2611" s="35"/>
    </row>
    <row r="2612" spans="1:39">
      <c r="B2612" s="1011">
        <v>10</v>
      </c>
      <c r="C2612" s="993" t="s">
        <v>5595</v>
      </c>
      <c r="D2612" s="3">
        <v>200103840</v>
      </c>
      <c r="E2612" s="3">
        <v>102073</v>
      </c>
      <c r="F2612" s="802">
        <v>47</v>
      </c>
      <c r="G2612" s="8" t="s">
        <v>60</v>
      </c>
      <c r="H2612" s="953"/>
      <c r="I2612" s="786">
        <v>557.72</v>
      </c>
      <c r="J2612" s="1036"/>
      <c r="K2612" s="8" t="s">
        <v>2716</v>
      </c>
      <c r="L2612" s="759">
        <v>45216</v>
      </c>
      <c r="M2612" s="953"/>
      <c r="N2612" s="1037"/>
      <c r="O2612" s="8" t="s">
        <v>62</v>
      </c>
      <c r="P2612" s="784" t="s">
        <v>5861</v>
      </c>
      <c r="Q2612" s="825"/>
      <c r="R2612" s="8"/>
      <c r="S2612" s="8"/>
      <c r="T2612" s="8"/>
      <c r="U2612" s="8"/>
      <c r="V2612" s="8"/>
      <c r="W2612" s="759"/>
      <c r="X2612" s="759"/>
      <c r="Y2612" s="759"/>
      <c r="Z2612" s="759"/>
      <c r="AA2612" s="35"/>
      <c r="AB2612" s="35"/>
      <c r="AC2612" s="35"/>
      <c r="AD2612" s="35"/>
      <c r="AE2612" s="35"/>
      <c r="AF2612" s="35"/>
      <c r="AG2612" s="35"/>
      <c r="AH2612" s="35"/>
      <c r="AI2612" s="35"/>
      <c r="AJ2612" s="35"/>
      <c r="AK2612" s="35"/>
      <c r="AL2612" s="35"/>
      <c r="AM2612" s="35"/>
    </row>
    <row r="2613" spans="1:39">
      <c r="B2613" s="1011">
        <v>10</v>
      </c>
      <c r="C2613" s="993" t="s">
        <v>5595</v>
      </c>
      <c r="D2613" s="3">
        <v>200103841</v>
      </c>
      <c r="E2613" s="3">
        <v>102083</v>
      </c>
      <c r="F2613" s="802">
        <v>48</v>
      </c>
      <c r="G2613" s="8" t="s">
        <v>60</v>
      </c>
      <c r="H2613" s="953"/>
      <c r="I2613" s="786">
        <v>555.17999999999995</v>
      </c>
      <c r="J2613" s="1036"/>
      <c r="K2613" s="8" t="s">
        <v>2716</v>
      </c>
      <c r="L2613" s="759">
        <v>45217</v>
      </c>
      <c r="M2613" s="953"/>
      <c r="N2613" s="1037"/>
      <c r="O2613" s="8" t="s">
        <v>62</v>
      </c>
      <c r="P2613" s="3" t="s">
        <v>5862</v>
      </c>
      <c r="Q2613" s="825"/>
      <c r="R2613" s="8"/>
      <c r="S2613" s="8"/>
      <c r="T2613" s="8"/>
      <c r="U2613" s="8"/>
      <c r="V2613" s="8"/>
      <c r="W2613" s="759"/>
      <c r="X2613" s="759"/>
      <c r="Y2613" s="759"/>
      <c r="Z2613" s="759"/>
      <c r="AA2613" s="35"/>
      <c r="AB2613" s="35"/>
      <c r="AC2613" s="35"/>
      <c r="AD2613" s="35"/>
      <c r="AE2613" s="35"/>
      <c r="AF2613" s="35"/>
      <c r="AG2613" s="35"/>
      <c r="AH2613" s="35"/>
      <c r="AI2613" s="35"/>
      <c r="AJ2613" s="35"/>
      <c r="AK2613" s="35"/>
      <c r="AL2613" s="35"/>
      <c r="AM2613" s="35"/>
    </row>
    <row r="2614" spans="1:39">
      <c r="B2614" s="1011">
        <v>10</v>
      </c>
      <c r="C2614" s="993" t="s">
        <v>5595</v>
      </c>
      <c r="D2614" s="3">
        <v>200103842</v>
      </c>
      <c r="E2614" s="3">
        <v>102093</v>
      </c>
      <c r="F2614" s="802">
        <v>49</v>
      </c>
      <c r="G2614" s="8" t="s">
        <v>60</v>
      </c>
      <c r="H2614" s="8" t="s">
        <v>60</v>
      </c>
      <c r="I2614" s="786">
        <v>551.86</v>
      </c>
      <c r="J2614" s="786">
        <v>122.35</v>
      </c>
      <c r="K2614" s="8" t="s">
        <v>2716</v>
      </c>
      <c r="L2614" s="759">
        <v>45217</v>
      </c>
      <c r="M2614" s="8" t="s">
        <v>2716</v>
      </c>
      <c r="N2614" s="759">
        <v>45217</v>
      </c>
      <c r="O2614" s="8" t="s">
        <v>62</v>
      </c>
      <c r="P2614" s="3" t="s">
        <v>5863</v>
      </c>
      <c r="Q2614" s="3">
        <v>3.59</v>
      </c>
      <c r="R2614" s="8"/>
      <c r="S2614" s="8"/>
      <c r="T2614" s="8"/>
      <c r="U2614" s="8"/>
      <c r="V2614" s="8"/>
      <c r="W2614" s="759"/>
      <c r="X2614" s="759"/>
      <c r="Y2614" s="759"/>
      <c r="Z2614" s="759"/>
      <c r="AA2614" s="35"/>
      <c r="AB2614" s="35"/>
      <c r="AC2614" s="35"/>
      <c r="AD2614" s="35"/>
      <c r="AE2614" s="35"/>
      <c r="AF2614" s="35"/>
      <c r="AG2614" s="35"/>
      <c r="AH2614" s="35"/>
      <c r="AI2614" s="35"/>
      <c r="AJ2614" s="35"/>
      <c r="AK2614" s="35"/>
      <c r="AL2614" s="35"/>
      <c r="AM2614" s="35"/>
    </row>
    <row r="2615" spans="1:39">
      <c r="B2615" s="1011">
        <v>10</v>
      </c>
      <c r="C2615" s="993" t="s">
        <v>5595</v>
      </c>
      <c r="D2615" s="3">
        <v>200103843</v>
      </c>
      <c r="E2615" s="3">
        <v>102103</v>
      </c>
      <c r="F2615" s="802">
        <v>50</v>
      </c>
      <c r="G2615" s="8" t="s">
        <v>60</v>
      </c>
      <c r="H2615" s="8" t="s">
        <v>60</v>
      </c>
      <c r="I2615" s="786">
        <v>555.19000000000005</v>
      </c>
      <c r="J2615" s="786">
        <v>125.3</v>
      </c>
      <c r="K2615" s="8" t="s">
        <v>2716</v>
      </c>
      <c r="L2615" s="759">
        <v>45217</v>
      </c>
      <c r="M2615" s="8" t="s">
        <v>2716</v>
      </c>
      <c r="N2615" s="759">
        <v>45218</v>
      </c>
      <c r="O2615" s="8" t="s">
        <v>62</v>
      </c>
      <c r="P2615" s="784" t="s">
        <v>5864</v>
      </c>
      <c r="Q2615" s="882">
        <v>3.71</v>
      </c>
      <c r="R2615" s="8"/>
      <c r="S2615" s="8"/>
      <c r="T2615" s="8"/>
      <c r="U2615" s="8"/>
      <c r="V2615" s="8"/>
      <c r="W2615" s="759"/>
      <c r="X2615" s="759"/>
      <c r="Y2615" s="759"/>
      <c r="Z2615" s="759"/>
      <c r="AA2615" s="35"/>
      <c r="AB2615" s="35"/>
      <c r="AC2615" s="35"/>
      <c r="AD2615" s="35"/>
      <c r="AE2615" s="35"/>
      <c r="AF2615" s="35"/>
      <c r="AG2615" s="35"/>
      <c r="AH2615" s="35"/>
      <c r="AI2615" s="35"/>
      <c r="AJ2615" s="35"/>
      <c r="AK2615" s="35"/>
      <c r="AL2615" s="35"/>
      <c r="AM2615" s="35"/>
    </row>
    <row r="2616" spans="1:39" s="707" customFormat="1">
      <c r="A2616"/>
      <c r="B2616" s="978"/>
      <c r="C2616" s="807" t="s">
        <v>1756</v>
      </c>
      <c r="D2616" s="807"/>
      <c r="E2616" s="875"/>
      <c r="F2616" s="1015"/>
      <c r="G2616" s="9"/>
      <c r="H2616" s="9"/>
      <c r="I2616" s="9"/>
      <c r="J2616" s="985"/>
      <c r="K2616" s="9"/>
      <c r="L2616" s="9"/>
      <c r="M2616" s="1024"/>
      <c r="N2616" s="1025"/>
      <c r="O2616" s="9"/>
      <c r="P2616" s="9"/>
      <c r="Q2616" s="9"/>
      <c r="R2616" s="9"/>
      <c r="S2616" s="9"/>
      <c r="T2616" s="9"/>
      <c r="U2616" s="9"/>
      <c r="V2616" s="9"/>
      <c r="W2616" s="1025"/>
      <c r="X2616" s="1025"/>
      <c r="Y2616" s="1025"/>
      <c r="Z2616" s="1025"/>
      <c r="AA2616" s="1016"/>
      <c r="AB2616" s="1016"/>
      <c r="AC2616" s="1016"/>
      <c r="AD2616" s="1016"/>
      <c r="AE2616" s="1016"/>
      <c r="AF2616" s="1016"/>
      <c r="AG2616" s="1016"/>
      <c r="AH2616" s="1016"/>
      <c r="AI2616" s="1016"/>
      <c r="AJ2616" s="1016"/>
      <c r="AK2616" s="1016"/>
      <c r="AL2616" s="1016"/>
      <c r="AM2616" s="1016"/>
    </row>
    <row r="2617" spans="1:39">
      <c r="B2617" s="1011">
        <v>11</v>
      </c>
      <c r="C2617" s="993" t="s">
        <v>5595</v>
      </c>
      <c r="D2617" s="3">
        <v>200103887</v>
      </c>
      <c r="E2617" s="3">
        <v>110373</v>
      </c>
      <c r="F2617" s="802">
        <v>1</v>
      </c>
      <c r="G2617" s="8" t="s">
        <v>128</v>
      </c>
      <c r="H2617" s="8" t="s">
        <v>60</v>
      </c>
      <c r="I2617" s="786">
        <v>548.30999999999995</v>
      </c>
      <c r="J2617" s="786">
        <v>121.3</v>
      </c>
      <c r="K2617" s="8" t="s">
        <v>2716</v>
      </c>
      <c r="L2617" s="759">
        <v>45219</v>
      </c>
      <c r="M2617" s="8" t="s">
        <v>2716</v>
      </c>
      <c r="N2617" s="759">
        <v>45219</v>
      </c>
      <c r="O2617" s="8" t="s">
        <v>62</v>
      </c>
      <c r="P2617" s="3" t="s">
        <v>5865</v>
      </c>
      <c r="Q2617" s="882">
        <v>3.61</v>
      </c>
      <c r="R2617" s="8"/>
      <c r="S2617" s="8"/>
      <c r="T2617" s="8"/>
      <c r="U2617" s="8"/>
      <c r="V2617" s="8"/>
      <c r="W2617" s="759"/>
      <c r="X2617" s="759"/>
      <c r="Y2617" s="759"/>
      <c r="Z2617" s="759"/>
      <c r="AA2617" s="35"/>
      <c r="AB2617" s="35"/>
      <c r="AC2617" s="35"/>
      <c r="AD2617" s="35"/>
      <c r="AE2617" s="35"/>
      <c r="AF2617" s="35"/>
      <c r="AG2617" s="35"/>
      <c r="AH2617" s="35"/>
      <c r="AI2617" s="35"/>
      <c r="AJ2617" s="35"/>
      <c r="AK2617" s="35"/>
      <c r="AL2617" s="35"/>
      <c r="AM2617" s="35"/>
    </row>
    <row r="2618" spans="1:39">
      <c r="B2618" s="1011">
        <v>11</v>
      </c>
      <c r="C2618" s="993" t="s">
        <v>5595</v>
      </c>
      <c r="D2618" s="3">
        <v>200103888</v>
      </c>
      <c r="E2618" s="3">
        <v>110383</v>
      </c>
      <c r="F2618" s="802">
        <v>2</v>
      </c>
      <c r="G2618" s="8" t="s">
        <v>128</v>
      </c>
      <c r="H2618" s="8" t="s">
        <v>60</v>
      </c>
      <c r="I2618" s="786">
        <v>558.6</v>
      </c>
      <c r="J2618" s="786">
        <v>124.01</v>
      </c>
      <c r="K2618" s="8" t="s">
        <v>2716</v>
      </c>
      <c r="L2618" s="759">
        <v>45219</v>
      </c>
      <c r="M2618" s="8" t="s">
        <v>2716</v>
      </c>
      <c r="N2618" s="759">
        <v>45219</v>
      </c>
      <c r="O2618" s="8" t="s">
        <v>62</v>
      </c>
      <c r="P2618" s="3" t="s">
        <v>5866</v>
      </c>
      <c r="Q2618" s="882">
        <v>3.4</v>
      </c>
      <c r="R2618" s="8"/>
      <c r="S2618" s="8"/>
      <c r="T2618" s="8"/>
      <c r="U2618" s="8"/>
      <c r="V2618" s="8"/>
      <c r="W2618" s="759"/>
      <c r="X2618" s="759"/>
      <c r="Y2618" s="759"/>
      <c r="Z2618" s="759"/>
      <c r="AA2618" s="35"/>
      <c r="AB2618" s="35"/>
      <c r="AC2618" s="35"/>
      <c r="AD2618" s="35"/>
      <c r="AE2618" s="35"/>
      <c r="AF2618" s="35"/>
      <c r="AG2618" s="35"/>
      <c r="AH2618" s="35"/>
      <c r="AI2618" s="35"/>
      <c r="AJ2618" s="35"/>
      <c r="AK2618" s="35"/>
      <c r="AL2618" s="35"/>
      <c r="AM2618" s="35"/>
    </row>
    <row r="2619" spans="1:39">
      <c r="B2619" s="1011">
        <v>11</v>
      </c>
      <c r="C2619" s="993" t="s">
        <v>5595</v>
      </c>
      <c r="D2619" s="3">
        <v>200103889</v>
      </c>
      <c r="E2619" s="3">
        <v>110393</v>
      </c>
      <c r="F2619" s="802">
        <v>3</v>
      </c>
      <c r="G2619" s="8" t="s">
        <v>128</v>
      </c>
      <c r="H2619" s="8" t="s">
        <v>60</v>
      </c>
      <c r="I2619" s="786">
        <v>559.01</v>
      </c>
      <c r="J2619" s="786">
        <v>123.74</v>
      </c>
      <c r="K2619" s="8" t="s">
        <v>2716</v>
      </c>
      <c r="L2619" s="759">
        <v>45219</v>
      </c>
      <c r="M2619" s="8" t="s">
        <v>2716</v>
      </c>
      <c r="N2619" s="759">
        <v>45219</v>
      </c>
      <c r="O2619" s="8" t="s">
        <v>62</v>
      </c>
      <c r="P2619" s="784" t="s">
        <v>5867</v>
      </c>
      <c r="Q2619" s="882">
        <v>3.74</v>
      </c>
      <c r="R2619" s="8"/>
      <c r="S2619" s="8"/>
      <c r="T2619" s="8"/>
      <c r="U2619" s="8"/>
      <c r="V2619" s="8"/>
      <c r="W2619" s="759"/>
      <c r="X2619" s="759"/>
      <c r="Y2619" s="759"/>
      <c r="Z2619" s="759"/>
      <c r="AA2619" s="35"/>
      <c r="AB2619" s="35"/>
      <c r="AC2619" s="35"/>
      <c r="AD2619" s="35"/>
      <c r="AE2619" s="35"/>
      <c r="AF2619" s="35"/>
      <c r="AG2619" s="35"/>
      <c r="AH2619" s="35"/>
      <c r="AI2619" s="35"/>
      <c r="AJ2619" s="35"/>
      <c r="AK2619" s="35"/>
      <c r="AL2619" s="35"/>
      <c r="AM2619" s="35"/>
    </row>
    <row r="2620" spans="1:39">
      <c r="B2620" s="1011">
        <v>11</v>
      </c>
      <c r="C2620" s="993" t="s">
        <v>5595</v>
      </c>
      <c r="D2620" s="3">
        <v>200103890</v>
      </c>
      <c r="E2620" s="3">
        <v>110403</v>
      </c>
      <c r="F2620" s="802">
        <v>4</v>
      </c>
      <c r="G2620" s="8" t="s">
        <v>128</v>
      </c>
      <c r="H2620" s="8" t="s">
        <v>60</v>
      </c>
      <c r="I2620" s="786">
        <f>134.45+137.4+141.14+140.6</f>
        <v>553.59</v>
      </c>
      <c r="J2620" s="786">
        <v>125.65</v>
      </c>
      <c r="K2620" s="8" t="s">
        <v>2716</v>
      </c>
      <c r="L2620" s="759">
        <v>45219</v>
      </c>
      <c r="M2620" s="8" t="s">
        <v>2716</v>
      </c>
      <c r="N2620" s="759">
        <v>45219</v>
      </c>
      <c r="O2620" s="8" t="s">
        <v>62</v>
      </c>
      <c r="P2620" s="3" t="s">
        <v>5868</v>
      </c>
      <c r="Q2620" s="882">
        <v>3.78</v>
      </c>
      <c r="R2620" s="8"/>
      <c r="S2620" s="8"/>
      <c r="T2620" s="8"/>
      <c r="U2620" s="8"/>
      <c r="V2620" s="8"/>
      <c r="W2620" s="759"/>
      <c r="X2620" s="759"/>
      <c r="Y2620" s="759"/>
      <c r="Z2620" s="759"/>
      <c r="AA2620" s="35"/>
      <c r="AB2620" s="35"/>
      <c r="AC2620" s="35"/>
      <c r="AD2620" s="35"/>
      <c r="AE2620" s="35"/>
      <c r="AF2620" s="35"/>
      <c r="AG2620" s="35"/>
      <c r="AH2620" s="35"/>
      <c r="AI2620" s="35"/>
      <c r="AJ2620" s="35"/>
      <c r="AK2620" s="35"/>
      <c r="AL2620" s="35"/>
      <c r="AM2620" s="35"/>
    </row>
    <row r="2621" spans="1:39">
      <c r="B2621" s="1011">
        <v>11</v>
      </c>
      <c r="C2621" s="993" t="s">
        <v>5595</v>
      </c>
      <c r="D2621" s="3">
        <v>200103891</v>
      </c>
      <c r="E2621" s="3">
        <v>110413</v>
      </c>
      <c r="F2621" s="802">
        <v>5</v>
      </c>
      <c r="G2621" s="8" t="s">
        <v>60</v>
      </c>
      <c r="H2621" s="8" t="s">
        <v>60</v>
      </c>
      <c r="I2621" s="786">
        <v>544</v>
      </c>
      <c r="J2621" s="786">
        <v>122.56</v>
      </c>
      <c r="K2621" s="8" t="s">
        <v>2716</v>
      </c>
      <c r="L2621" s="759">
        <v>45222</v>
      </c>
      <c r="M2621" s="8" t="s">
        <v>2716</v>
      </c>
      <c r="N2621" s="759">
        <v>45222</v>
      </c>
      <c r="O2621" s="8" t="s">
        <v>62</v>
      </c>
      <c r="P2621" s="3" t="s">
        <v>5869</v>
      </c>
      <c r="Q2621" s="3">
        <v>3.75</v>
      </c>
      <c r="R2621" s="8"/>
      <c r="S2621" s="8"/>
      <c r="T2621" s="8"/>
      <c r="U2621" s="8"/>
      <c r="V2621" s="8"/>
      <c r="W2621" s="759"/>
      <c r="X2621" s="759"/>
      <c r="Y2621" s="759"/>
      <c r="Z2621" s="759"/>
      <c r="AA2621" s="35"/>
      <c r="AB2621" s="35"/>
      <c r="AC2621" s="35"/>
      <c r="AD2621" s="35"/>
      <c r="AE2621" s="35"/>
      <c r="AF2621" s="35"/>
      <c r="AG2621" s="35"/>
      <c r="AH2621" s="35"/>
      <c r="AI2621" s="35"/>
      <c r="AJ2621" s="35"/>
      <c r="AK2621" s="35"/>
      <c r="AL2621" s="35"/>
      <c r="AM2621" s="35"/>
    </row>
    <row r="2622" spans="1:39">
      <c r="B2622" s="1011">
        <v>11</v>
      </c>
      <c r="C2622" s="993" t="s">
        <v>5595</v>
      </c>
      <c r="D2622" s="3">
        <v>200103892</v>
      </c>
      <c r="E2622" s="3">
        <v>110423</v>
      </c>
      <c r="F2622" s="802">
        <v>6</v>
      </c>
      <c r="G2622" s="8" t="s">
        <v>60</v>
      </c>
      <c r="H2622" s="8" t="s">
        <v>60</v>
      </c>
      <c r="I2622" s="786">
        <v>543.53</v>
      </c>
      <c r="J2622" s="786">
        <v>122.42</v>
      </c>
      <c r="K2622" s="8" t="s">
        <v>2716</v>
      </c>
      <c r="L2622" s="759">
        <v>45222</v>
      </c>
      <c r="M2622" s="8" t="s">
        <v>2716</v>
      </c>
      <c r="N2622" s="759">
        <v>45222</v>
      </c>
      <c r="O2622" s="8" t="s">
        <v>62</v>
      </c>
      <c r="P2622" s="3" t="s">
        <v>5870</v>
      </c>
      <c r="Q2622" s="3">
        <v>3.74</v>
      </c>
      <c r="R2622" s="8"/>
      <c r="S2622" s="8"/>
      <c r="T2622" s="8"/>
      <c r="U2622" s="8"/>
      <c r="V2622" s="8"/>
      <c r="W2622" s="759"/>
      <c r="X2622" s="759"/>
      <c r="Y2622" s="759"/>
      <c r="Z2622" s="759"/>
      <c r="AA2622" s="35"/>
      <c r="AB2622" s="35"/>
      <c r="AC2622" s="35"/>
      <c r="AD2622" s="35"/>
      <c r="AE2622" s="35"/>
      <c r="AF2622" s="35"/>
      <c r="AG2622" s="35"/>
      <c r="AH2622" s="35"/>
      <c r="AI2622" s="35"/>
      <c r="AJ2622" s="35"/>
      <c r="AK2622" s="35"/>
      <c r="AL2622" s="35"/>
      <c r="AM2622" s="35"/>
    </row>
    <row r="2623" spans="1:39">
      <c r="B2623" s="1011">
        <v>11</v>
      </c>
      <c r="C2623" s="993" t="s">
        <v>5595</v>
      </c>
      <c r="D2623" s="3">
        <v>200103893</v>
      </c>
      <c r="E2623" s="3">
        <v>110433</v>
      </c>
      <c r="F2623" s="802">
        <v>7</v>
      </c>
      <c r="G2623" s="8" t="s">
        <v>60</v>
      </c>
      <c r="H2623" s="8" t="s">
        <v>60</v>
      </c>
      <c r="I2623" s="786">
        <v>553.07000000000005</v>
      </c>
      <c r="J2623" s="786">
        <v>122.5</v>
      </c>
      <c r="K2623" s="8" t="s">
        <v>2716</v>
      </c>
      <c r="L2623" s="759">
        <v>45222</v>
      </c>
      <c r="M2623" s="8" t="s">
        <v>2716</v>
      </c>
      <c r="N2623" s="759">
        <v>45222</v>
      </c>
      <c r="O2623" s="8" t="s">
        <v>62</v>
      </c>
      <c r="P2623" s="784" t="s">
        <v>5871</v>
      </c>
      <c r="Q2623" s="3">
        <v>3.8</v>
      </c>
      <c r="R2623" s="8"/>
      <c r="S2623" s="8"/>
      <c r="T2623" s="8"/>
      <c r="U2623" s="8"/>
      <c r="V2623" s="8"/>
      <c r="W2623" s="759"/>
      <c r="X2623" s="759"/>
      <c r="Y2623" s="759"/>
      <c r="Z2623" s="759"/>
      <c r="AA2623" s="35"/>
      <c r="AB2623" s="35"/>
      <c r="AC2623" s="35"/>
      <c r="AD2623" s="35"/>
      <c r="AE2623" s="35"/>
      <c r="AF2623" s="35"/>
      <c r="AG2623" s="35"/>
      <c r="AH2623" s="35"/>
      <c r="AI2623" s="35"/>
      <c r="AJ2623" s="35"/>
      <c r="AK2623" s="35"/>
      <c r="AL2623" s="35"/>
      <c r="AM2623" s="35"/>
    </row>
    <row r="2624" spans="1:39">
      <c r="B2624" s="1011">
        <v>11</v>
      </c>
      <c r="C2624" s="993" t="s">
        <v>5595</v>
      </c>
      <c r="D2624" s="3">
        <v>200103894</v>
      </c>
      <c r="E2624" s="3">
        <v>110443</v>
      </c>
      <c r="F2624" s="802">
        <v>8</v>
      </c>
      <c r="G2624" s="8" t="s">
        <v>60</v>
      </c>
      <c r="H2624" s="8" t="s">
        <v>60</v>
      </c>
      <c r="I2624" s="786">
        <v>550.42999999999995</v>
      </c>
      <c r="J2624" s="786">
        <v>126.16</v>
      </c>
      <c r="K2624" s="8" t="s">
        <v>2716</v>
      </c>
      <c r="L2624" s="759">
        <v>45223</v>
      </c>
      <c r="M2624" s="8" t="s">
        <v>2716</v>
      </c>
      <c r="N2624" s="759">
        <v>45222</v>
      </c>
      <c r="O2624" s="8" t="s">
        <v>62</v>
      </c>
      <c r="P2624" s="3" t="s">
        <v>5872</v>
      </c>
      <c r="Q2624" s="3">
        <v>3.76</v>
      </c>
      <c r="R2624" s="8"/>
      <c r="S2624" s="8"/>
      <c r="T2624" s="8"/>
      <c r="U2624" s="8"/>
      <c r="V2624" s="8"/>
      <c r="W2624" s="759"/>
      <c r="X2624" s="759"/>
      <c r="Y2624" s="759"/>
      <c r="Z2624" s="759"/>
      <c r="AA2624" s="35"/>
      <c r="AB2624" s="35"/>
      <c r="AC2624" s="35"/>
      <c r="AD2624" s="35"/>
      <c r="AE2624" s="35"/>
      <c r="AF2624" s="35"/>
      <c r="AG2624" s="35"/>
      <c r="AH2624" s="35"/>
      <c r="AI2624" s="35"/>
      <c r="AJ2624" s="35"/>
      <c r="AK2624" s="35"/>
      <c r="AL2624" s="35"/>
      <c r="AM2624" s="35"/>
    </row>
    <row r="2625" spans="1:39">
      <c r="B2625" s="1011">
        <v>11</v>
      </c>
      <c r="C2625" s="993" t="s">
        <v>5595</v>
      </c>
      <c r="D2625" s="3">
        <v>200103895</v>
      </c>
      <c r="E2625" s="3">
        <v>110453</v>
      </c>
      <c r="F2625" s="802">
        <v>9</v>
      </c>
      <c r="G2625" s="8" t="s">
        <v>60</v>
      </c>
      <c r="H2625" s="953"/>
      <c r="I2625" s="786">
        <v>552.53</v>
      </c>
      <c r="J2625" s="1038"/>
      <c r="K2625" s="8" t="s">
        <v>2716</v>
      </c>
      <c r="L2625" s="759">
        <v>45223</v>
      </c>
      <c r="M2625" s="1019"/>
      <c r="N2625" s="1035"/>
      <c r="O2625" s="8" t="s">
        <v>62</v>
      </c>
      <c r="P2625" s="3" t="s">
        <v>5873</v>
      </c>
      <c r="Q2625" s="1020"/>
      <c r="R2625" s="8"/>
      <c r="S2625" s="8"/>
      <c r="T2625" s="8"/>
      <c r="U2625" s="8"/>
      <c r="V2625" s="8"/>
      <c r="W2625" s="759"/>
      <c r="X2625" s="759"/>
      <c r="Y2625" s="759"/>
      <c r="Z2625" s="759"/>
      <c r="AA2625" s="35"/>
      <c r="AB2625" s="35"/>
      <c r="AC2625" s="35"/>
      <c r="AD2625" s="35"/>
      <c r="AE2625" s="35"/>
      <c r="AF2625" s="35"/>
      <c r="AG2625" s="35"/>
      <c r="AH2625" s="35"/>
      <c r="AI2625" s="35"/>
      <c r="AJ2625" s="35"/>
      <c r="AK2625" s="35"/>
      <c r="AL2625" s="35"/>
      <c r="AM2625" s="35"/>
    </row>
    <row r="2626" spans="1:39">
      <c r="B2626" s="1011">
        <v>11</v>
      </c>
      <c r="C2626" s="993" t="s">
        <v>5595</v>
      </c>
      <c r="D2626" s="3">
        <v>200103896</v>
      </c>
      <c r="E2626" s="3">
        <v>110463</v>
      </c>
      <c r="F2626" s="802">
        <v>10</v>
      </c>
      <c r="G2626" s="8" t="s">
        <v>60</v>
      </c>
      <c r="H2626" s="953"/>
      <c r="I2626" s="786">
        <v>558.37</v>
      </c>
      <c r="J2626" s="1038"/>
      <c r="K2626" s="8" t="s">
        <v>2716</v>
      </c>
      <c r="L2626" s="759">
        <v>45223</v>
      </c>
      <c r="M2626" s="1019"/>
      <c r="N2626" s="1035"/>
      <c r="O2626" s="8" t="s">
        <v>62</v>
      </c>
      <c r="P2626" s="3" t="s">
        <v>5874</v>
      </c>
      <c r="Q2626" s="1020"/>
      <c r="R2626" s="8"/>
      <c r="S2626" s="8"/>
      <c r="T2626" s="8"/>
      <c r="U2626" s="8"/>
      <c r="V2626" s="8"/>
      <c r="W2626" s="759"/>
      <c r="X2626" s="759"/>
      <c r="Y2626" s="759"/>
      <c r="Z2626" s="759"/>
      <c r="AA2626" s="35"/>
      <c r="AB2626" s="35"/>
      <c r="AC2626" s="35"/>
      <c r="AD2626" s="35"/>
      <c r="AE2626" s="35"/>
      <c r="AF2626" s="35"/>
      <c r="AG2626" s="35"/>
      <c r="AH2626" s="35"/>
      <c r="AI2626" s="35"/>
      <c r="AJ2626" s="35"/>
      <c r="AK2626" s="35"/>
      <c r="AL2626" s="35"/>
      <c r="AM2626" s="35"/>
    </row>
    <row r="2627" spans="1:39">
      <c r="B2627" s="1011">
        <v>11</v>
      </c>
      <c r="C2627" s="993" t="s">
        <v>5595</v>
      </c>
      <c r="D2627" s="3">
        <v>200103897</v>
      </c>
      <c r="E2627" s="3">
        <v>110473</v>
      </c>
      <c r="F2627" s="802">
        <v>11</v>
      </c>
      <c r="G2627" s="8" t="s">
        <v>60</v>
      </c>
      <c r="H2627" s="953"/>
      <c r="I2627" s="786">
        <v>549.46</v>
      </c>
      <c r="J2627" s="1038"/>
      <c r="K2627" s="8" t="s">
        <v>2716</v>
      </c>
      <c r="L2627" s="759">
        <v>45224</v>
      </c>
      <c r="M2627" s="1019"/>
      <c r="N2627" s="1035"/>
      <c r="O2627" s="8" t="s">
        <v>62</v>
      </c>
      <c r="P2627" s="3" t="s">
        <v>5875</v>
      </c>
      <c r="Q2627" s="1020"/>
      <c r="R2627" s="8"/>
      <c r="S2627" s="8"/>
      <c r="T2627" s="8"/>
      <c r="U2627" s="8"/>
      <c r="V2627" s="8"/>
      <c r="W2627" s="759"/>
      <c r="X2627" s="759"/>
      <c r="Y2627" s="759"/>
      <c r="Z2627" s="759"/>
      <c r="AA2627" s="35"/>
      <c r="AB2627" s="35"/>
      <c r="AC2627" s="35"/>
      <c r="AD2627" s="35"/>
      <c r="AE2627" s="35"/>
      <c r="AF2627" s="35"/>
      <c r="AG2627" s="35"/>
      <c r="AH2627" s="35"/>
      <c r="AI2627" s="35"/>
      <c r="AJ2627" s="35"/>
      <c r="AK2627" s="35"/>
      <c r="AL2627" s="35"/>
      <c r="AM2627" s="35"/>
    </row>
    <row r="2628" spans="1:39">
      <c r="B2628" s="1011">
        <v>11</v>
      </c>
      <c r="C2628" s="993" t="s">
        <v>5595</v>
      </c>
      <c r="D2628" s="3">
        <v>200103898</v>
      </c>
      <c r="E2628" s="3">
        <v>110483</v>
      </c>
      <c r="F2628" s="802">
        <v>12</v>
      </c>
      <c r="G2628" s="8" t="s">
        <v>60</v>
      </c>
      <c r="H2628" s="953"/>
      <c r="I2628" s="786">
        <v>552.29999999999995</v>
      </c>
      <c r="J2628" s="1038"/>
      <c r="K2628" s="8" t="s">
        <v>2716</v>
      </c>
      <c r="L2628" s="759">
        <v>45224</v>
      </c>
      <c r="M2628" s="1019"/>
      <c r="N2628" s="1035"/>
      <c r="O2628" s="8" t="s">
        <v>62</v>
      </c>
      <c r="P2628" s="3" t="s">
        <v>5876</v>
      </c>
      <c r="Q2628" s="1020"/>
      <c r="R2628" s="8"/>
      <c r="S2628" s="8"/>
      <c r="T2628" s="8"/>
      <c r="U2628" s="8"/>
      <c r="V2628" s="8"/>
      <c r="W2628" s="759"/>
      <c r="X2628" s="759"/>
      <c r="Y2628" s="759"/>
      <c r="Z2628" s="759"/>
      <c r="AA2628" s="35"/>
      <c r="AB2628" s="35"/>
      <c r="AC2628" s="35"/>
      <c r="AD2628" s="35"/>
      <c r="AE2628" s="35"/>
      <c r="AF2628" s="35"/>
      <c r="AG2628" s="35"/>
      <c r="AH2628" s="35"/>
      <c r="AI2628" s="35"/>
      <c r="AJ2628" s="35"/>
      <c r="AK2628" s="35"/>
      <c r="AL2628" s="35"/>
      <c r="AM2628" s="35"/>
    </row>
    <row r="2629" spans="1:39">
      <c r="B2629" s="1011">
        <v>11</v>
      </c>
      <c r="C2629" s="993" t="s">
        <v>5595</v>
      </c>
      <c r="D2629" s="3">
        <v>200103899</v>
      </c>
      <c r="E2629" s="3">
        <v>110493</v>
      </c>
      <c r="F2629" s="802">
        <v>13</v>
      </c>
      <c r="G2629" s="8" t="s">
        <v>60</v>
      </c>
      <c r="H2629" s="953"/>
      <c r="I2629" s="786">
        <v>559</v>
      </c>
      <c r="J2629" s="1038"/>
      <c r="K2629" s="8" t="s">
        <v>2716</v>
      </c>
      <c r="L2629" s="759">
        <v>45224</v>
      </c>
      <c r="M2629" s="1019"/>
      <c r="N2629" s="1035"/>
      <c r="O2629" s="8" t="s">
        <v>62</v>
      </c>
      <c r="P2629" s="3" t="s">
        <v>5877</v>
      </c>
      <c r="Q2629" s="1020"/>
      <c r="R2629" s="8"/>
      <c r="S2629" s="8"/>
      <c r="T2629" s="8"/>
      <c r="U2629" s="8"/>
      <c r="V2629" s="8"/>
      <c r="W2629" s="759"/>
      <c r="X2629" s="759"/>
      <c r="Y2629" s="759"/>
      <c r="Z2629" s="759"/>
      <c r="AA2629" s="35"/>
      <c r="AB2629" s="35"/>
      <c r="AC2629" s="35"/>
      <c r="AD2629" s="35"/>
      <c r="AE2629" s="35"/>
      <c r="AF2629" s="35"/>
      <c r="AG2629" s="35"/>
      <c r="AH2629" s="35"/>
      <c r="AI2629" s="35"/>
      <c r="AJ2629" s="35"/>
      <c r="AK2629" s="35"/>
      <c r="AL2629" s="35"/>
      <c r="AM2629" s="35"/>
    </row>
    <row r="2630" spans="1:39">
      <c r="B2630" s="1011">
        <v>11</v>
      </c>
      <c r="C2630" s="993" t="s">
        <v>5595</v>
      </c>
      <c r="D2630" s="3">
        <v>200103900</v>
      </c>
      <c r="E2630" s="3">
        <v>110503</v>
      </c>
      <c r="F2630" s="802">
        <v>14</v>
      </c>
      <c r="G2630" s="8" t="s">
        <v>60</v>
      </c>
      <c r="H2630" s="953"/>
      <c r="I2630" s="8">
        <v>550.69000000000005</v>
      </c>
      <c r="J2630" s="1038"/>
      <c r="K2630" s="8" t="s">
        <v>2716</v>
      </c>
      <c r="L2630" s="759">
        <v>45224</v>
      </c>
      <c r="M2630" s="1019"/>
      <c r="N2630" s="1035"/>
      <c r="O2630" s="8" t="s">
        <v>62</v>
      </c>
      <c r="P2630" s="8" t="s">
        <v>5878</v>
      </c>
      <c r="Q2630" s="1020"/>
      <c r="R2630" s="8"/>
      <c r="S2630" s="8"/>
      <c r="T2630" s="8"/>
      <c r="U2630" s="8"/>
      <c r="V2630" s="8"/>
      <c r="W2630" s="759"/>
      <c r="X2630" s="759"/>
      <c r="Y2630" s="759"/>
      <c r="Z2630" s="759"/>
      <c r="AA2630" s="35"/>
      <c r="AB2630" s="35"/>
      <c r="AC2630" s="35"/>
      <c r="AD2630" s="35"/>
      <c r="AE2630" s="35"/>
      <c r="AF2630" s="35"/>
      <c r="AG2630" s="35"/>
      <c r="AH2630" s="35"/>
      <c r="AI2630" s="35"/>
      <c r="AJ2630" s="35"/>
      <c r="AK2630" s="35"/>
      <c r="AL2630" s="35"/>
      <c r="AM2630" s="35"/>
    </row>
    <row r="2631" spans="1:39">
      <c r="B2631" s="1011">
        <v>11</v>
      </c>
      <c r="C2631" s="993" t="s">
        <v>5595</v>
      </c>
      <c r="D2631" s="3">
        <v>200103901</v>
      </c>
      <c r="E2631" s="3">
        <v>110513</v>
      </c>
      <c r="F2631" s="802">
        <v>15</v>
      </c>
      <c r="G2631" s="8" t="s">
        <v>60</v>
      </c>
      <c r="H2631" s="953"/>
      <c r="I2631" s="786">
        <v>546.94000000000005</v>
      </c>
      <c r="J2631" s="1038"/>
      <c r="K2631" s="8" t="s">
        <v>2716</v>
      </c>
      <c r="L2631" s="759">
        <v>45225</v>
      </c>
      <c r="M2631" s="1019"/>
      <c r="N2631" s="1035"/>
      <c r="O2631" s="8" t="s">
        <v>62</v>
      </c>
      <c r="P2631" s="784" t="s">
        <v>5879</v>
      </c>
      <c r="Q2631" s="1020"/>
      <c r="R2631" s="8"/>
      <c r="S2631" s="8"/>
      <c r="T2631" s="8"/>
      <c r="U2631" s="8"/>
      <c r="V2631" s="8"/>
      <c r="W2631" s="759"/>
      <c r="X2631" s="759"/>
      <c r="Y2631" s="759"/>
      <c r="Z2631" s="759"/>
      <c r="AA2631" s="35"/>
      <c r="AB2631" s="35"/>
      <c r="AC2631" s="35"/>
      <c r="AD2631" s="35"/>
      <c r="AE2631" s="35"/>
      <c r="AF2631" s="35"/>
      <c r="AG2631" s="35"/>
      <c r="AH2631" s="35"/>
      <c r="AI2631" s="35"/>
      <c r="AJ2631" s="35"/>
      <c r="AK2631" s="35"/>
      <c r="AL2631" s="35"/>
      <c r="AM2631" s="35"/>
    </row>
    <row r="2632" spans="1:39">
      <c r="B2632" s="1011">
        <v>11</v>
      </c>
      <c r="C2632" s="993" t="s">
        <v>5595</v>
      </c>
      <c r="D2632" s="3">
        <v>200103902</v>
      </c>
      <c r="E2632" s="3">
        <v>110523</v>
      </c>
      <c r="F2632" s="802">
        <v>16</v>
      </c>
      <c r="G2632" s="8" t="s">
        <v>60</v>
      </c>
      <c r="H2632" s="953"/>
      <c r="I2632" s="786">
        <v>552.87</v>
      </c>
      <c r="J2632" s="1038"/>
      <c r="K2632" s="8" t="s">
        <v>2716</v>
      </c>
      <c r="L2632" s="759">
        <v>45225</v>
      </c>
      <c r="M2632" s="1019"/>
      <c r="N2632" s="1035"/>
      <c r="O2632" s="8" t="s">
        <v>62</v>
      </c>
      <c r="P2632" s="3" t="s">
        <v>5880</v>
      </c>
      <c r="Q2632" s="1020"/>
      <c r="R2632" s="8"/>
      <c r="S2632" s="8"/>
      <c r="T2632" s="8"/>
      <c r="U2632" s="8"/>
      <c r="V2632" s="8"/>
      <c r="W2632" s="759"/>
      <c r="X2632" s="759"/>
      <c r="Y2632" s="759"/>
      <c r="Z2632" s="759"/>
      <c r="AA2632" s="35"/>
      <c r="AB2632" s="35"/>
      <c r="AC2632" s="35"/>
      <c r="AD2632" s="35"/>
      <c r="AE2632" s="35"/>
      <c r="AF2632" s="35"/>
      <c r="AG2632" s="35"/>
      <c r="AH2632" s="35"/>
      <c r="AI2632" s="35"/>
      <c r="AJ2632" s="35"/>
      <c r="AK2632" s="35"/>
      <c r="AL2632" s="35"/>
      <c r="AM2632" s="35"/>
    </row>
    <row r="2633" spans="1:39">
      <c r="B2633" s="1011">
        <v>11</v>
      </c>
      <c r="C2633" s="993" t="s">
        <v>5595</v>
      </c>
      <c r="D2633" s="3">
        <v>200103903</v>
      </c>
      <c r="E2633" s="3">
        <v>110533</v>
      </c>
      <c r="F2633" s="802">
        <v>17</v>
      </c>
      <c r="G2633" s="8" t="s">
        <v>60</v>
      </c>
      <c r="H2633" s="953"/>
      <c r="I2633" s="786">
        <v>557.84</v>
      </c>
      <c r="J2633" s="1038"/>
      <c r="K2633" s="8" t="s">
        <v>2716</v>
      </c>
      <c r="L2633" s="759">
        <v>45225</v>
      </c>
      <c r="M2633" s="1019"/>
      <c r="N2633" s="1035"/>
      <c r="O2633" s="8" t="s">
        <v>62</v>
      </c>
      <c r="P2633" s="784" t="s">
        <v>5881</v>
      </c>
      <c r="Q2633" s="1020"/>
      <c r="R2633" s="8"/>
      <c r="S2633" s="8"/>
      <c r="T2633" s="8"/>
      <c r="U2633" s="8"/>
      <c r="V2633" s="8"/>
      <c r="W2633" s="759"/>
      <c r="X2633" s="759"/>
      <c r="Y2633" s="759"/>
      <c r="Z2633" s="759"/>
      <c r="AA2633" s="35"/>
      <c r="AB2633" s="35"/>
      <c r="AC2633" s="35"/>
      <c r="AD2633" s="35"/>
      <c r="AE2633" s="35"/>
      <c r="AF2633" s="35"/>
      <c r="AG2633" s="35"/>
      <c r="AH2633" s="35"/>
      <c r="AI2633" s="35"/>
      <c r="AJ2633" s="35"/>
      <c r="AK2633" s="35"/>
      <c r="AL2633" s="35"/>
      <c r="AM2633" s="35"/>
    </row>
    <row r="2634" spans="1:39">
      <c r="B2634" s="1011">
        <v>11</v>
      </c>
      <c r="C2634" s="993" t="s">
        <v>5595</v>
      </c>
      <c r="D2634" s="3">
        <v>200103904</v>
      </c>
      <c r="E2634" s="3">
        <v>110543</v>
      </c>
      <c r="F2634" s="802">
        <v>18</v>
      </c>
      <c r="G2634" s="8" t="s">
        <v>60</v>
      </c>
      <c r="H2634" s="953"/>
      <c r="I2634" s="786">
        <v>545.89</v>
      </c>
      <c r="J2634" s="1038"/>
      <c r="K2634" s="8" t="s">
        <v>2716</v>
      </c>
      <c r="L2634" s="759">
        <v>45226</v>
      </c>
      <c r="M2634" s="1019"/>
      <c r="N2634" s="1035"/>
      <c r="O2634" s="8" t="s">
        <v>62</v>
      </c>
      <c r="P2634" s="3" t="s">
        <v>5882</v>
      </c>
      <c r="Q2634" s="1020"/>
      <c r="R2634" s="8"/>
      <c r="S2634" s="8"/>
      <c r="T2634" s="8"/>
      <c r="U2634" s="8"/>
      <c r="V2634" s="8"/>
      <c r="W2634" s="759"/>
      <c r="X2634" s="759"/>
      <c r="Y2634" s="759"/>
      <c r="Z2634" s="759"/>
      <c r="AA2634" s="35"/>
      <c r="AB2634" s="35"/>
      <c r="AC2634" s="35"/>
      <c r="AD2634" s="35"/>
      <c r="AE2634" s="35"/>
      <c r="AF2634" s="35"/>
      <c r="AG2634" s="35"/>
      <c r="AH2634" s="35"/>
      <c r="AI2634" s="35"/>
      <c r="AJ2634" s="35"/>
      <c r="AK2634" s="35"/>
      <c r="AL2634" s="35"/>
      <c r="AM2634" s="35"/>
    </row>
    <row r="2635" spans="1:39">
      <c r="B2635" s="1011">
        <v>11</v>
      </c>
      <c r="C2635" s="993" t="s">
        <v>5595</v>
      </c>
      <c r="D2635" s="3">
        <v>200103905</v>
      </c>
      <c r="E2635" s="3">
        <v>110553</v>
      </c>
      <c r="F2635" s="802">
        <v>19</v>
      </c>
      <c r="G2635" s="8" t="s">
        <v>128</v>
      </c>
      <c r="H2635" s="953"/>
      <c r="I2635" s="786">
        <v>549.74</v>
      </c>
      <c r="J2635" s="1038"/>
      <c r="K2635" s="8" t="s">
        <v>2716</v>
      </c>
      <c r="L2635" s="759">
        <v>45226</v>
      </c>
      <c r="M2635" s="1019"/>
      <c r="N2635" s="1035"/>
      <c r="O2635" s="8" t="s">
        <v>62</v>
      </c>
      <c r="P2635" s="3" t="s">
        <v>5883</v>
      </c>
      <c r="Q2635" s="1020"/>
      <c r="R2635" s="8"/>
      <c r="S2635" s="8"/>
      <c r="T2635" s="8"/>
      <c r="U2635" s="8"/>
      <c r="V2635" s="8"/>
      <c r="W2635" s="759"/>
      <c r="X2635" s="759"/>
      <c r="Y2635" s="759"/>
      <c r="Z2635" s="759"/>
      <c r="AA2635" s="35"/>
      <c r="AB2635" s="35"/>
      <c r="AC2635" s="35"/>
      <c r="AD2635" s="35"/>
      <c r="AE2635" s="35"/>
      <c r="AF2635" s="35"/>
      <c r="AG2635" s="35"/>
      <c r="AH2635" s="35"/>
      <c r="AI2635" s="35"/>
      <c r="AJ2635" s="35"/>
      <c r="AK2635" s="35"/>
      <c r="AL2635" s="35"/>
      <c r="AM2635" s="35"/>
    </row>
    <row r="2636" spans="1:39">
      <c r="B2636" s="1011">
        <v>11</v>
      </c>
      <c r="C2636" s="993" t="s">
        <v>5595</v>
      </c>
      <c r="D2636" s="3">
        <v>200103906</v>
      </c>
      <c r="E2636" s="3">
        <v>110563</v>
      </c>
      <c r="F2636" s="802">
        <v>20</v>
      </c>
      <c r="G2636" s="8" t="s">
        <v>60</v>
      </c>
      <c r="H2636" s="953"/>
      <c r="I2636" s="786">
        <v>557.04</v>
      </c>
      <c r="J2636" s="1038"/>
      <c r="K2636" s="8" t="s">
        <v>2716</v>
      </c>
      <c r="L2636" s="759">
        <v>45226</v>
      </c>
      <c r="M2636" s="1019"/>
      <c r="N2636" s="1035"/>
      <c r="O2636" s="8" t="s">
        <v>62</v>
      </c>
      <c r="P2636" s="3" t="s">
        <v>5884</v>
      </c>
      <c r="Q2636" s="1020"/>
      <c r="R2636" s="8"/>
      <c r="S2636" s="8"/>
      <c r="T2636" s="8"/>
      <c r="U2636" s="8"/>
      <c r="V2636" s="8"/>
      <c r="W2636" s="759"/>
      <c r="X2636" s="759"/>
      <c r="Y2636" s="759"/>
      <c r="Z2636" s="759"/>
      <c r="AA2636" s="35"/>
      <c r="AB2636" s="35"/>
      <c r="AC2636" s="35"/>
      <c r="AD2636" s="35"/>
      <c r="AE2636" s="35"/>
      <c r="AF2636" s="35"/>
      <c r="AG2636" s="35"/>
      <c r="AH2636" s="35"/>
      <c r="AI2636" s="35"/>
      <c r="AJ2636" s="35"/>
      <c r="AK2636" s="35"/>
      <c r="AL2636" s="35"/>
      <c r="AM2636" s="35"/>
    </row>
    <row r="2637" spans="1:39" s="707" customFormat="1">
      <c r="A2637"/>
      <c r="B2637" s="978"/>
      <c r="C2637" s="807" t="s">
        <v>1710</v>
      </c>
      <c r="D2637" s="807"/>
      <c r="E2637" s="875"/>
      <c r="F2637" s="808"/>
      <c r="G2637" s="807"/>
      <c r="H2637" s="807"/>
      <c r="I2637" s="807"/>
      <c r="J2637" s="820"/>
      <c r="K2637" s="807"/>
      <c r="L2637" s="807"/>
      <c r="M2637" s="819"/>
      <c r="N2637" s="1025"/>
      <c r="O2637" s="9"/>
      <c r="P2637" s="9"/>
      <c r="Q2637" s="9"/>
      <c r="R2637" s="9"/>
      <c r="S2637" s="9"/>
      <c r="T2637" s="9"/>
      <c r="U2637" s="9"/>
      <c r="V2637" s="9"/>
      <c r="W2637" s="1025"/>
      <c r="X2637" s="1025"/>
      <c r="Y2637" s="1025"/>
      <c r="Z2637" s="1025"/>
      <c r="AA2637" s="1016"/>
      <c r="AB2637" s="1016"/>
      <c r="AC2637" s="1016"/>
      <c r="AD2637" s="1016"/>
      <c r="AE2637" s="1016"/>
      <c r="AF2637" s="1016"/>
      <c r="AG2637" s="1016"/>
      <c r="AH2637" s="1016"/>
      <c r="AI2637" s="1016"/>
      <c r="AJ2637" s="1016"/>
      <c r="AK2637" s="1016"/>
      <c r="AL2637" s="1016"/>
      <c r="AM2637" s="1016"/>
    </row>
    <row r="2638" spans="1:39">
      <c r="B2638" s="1011">
        <v>12</v>
      </c>
      <c r="C2638" s="993" t="s">
        <v>5595</v>
      </c>
      <c r="D2638" s="3">
        <v>200104242</v>
      </c>
      <c r="E2638" s="3">
        <v>120503</v>
      </c>
      <c r="F2638" s="802">
        <v>1</v>
      </c>
      <c r="G2638" s="1038"/>
      <c r="H2638" s="8" t="s">
        <v>128</v>
      </c>
      <c r="I2638" s="1038"/>
      <c r="J2638" s="786">
        <v>121.91</v>
      </c>
      <c r="K2638" s="1019"/>
      <c r="L2638" s="1019"/>
      <c r="M2638" s="8" t="s">
        <v>5885</v>
      </c>
      <c r="N2638" s="759">
        <v>45258</v>
      </c>
      <c r="O2638" s="8" t="s">
        <v>62</v>
      </c>
      <c r="P2638" s="1020"/>
      <c r="Q2638" s="882">
        <v>3.57</v>
      </c>
      <c r="R2638" s="8"/>
      <c r="S2638" s="8"/>
      <c r="T2638" s="8"/>
      <c r="U2638" s="8"/>
      <c r="V2638" s="8"/>
      <c r="W2638" s="759"/>
      <c r="X2638" s="759"/>
      <c r="Y2638" s="759"/>
      <c r="Z2638" s="759"/>
      <c r="AA2638" s="35"/>
      <c r="AB2638" s="35"/>
      <c r="AC2638" s="35"/>
      <c r="AD2638" s="35"/>
      <c r="AE2638" s="35"/>
      <c r="AF2638" s="35"/>
      <c r="AG2638" s="35"/>
      <c r="AH2638" s="35"/>
      <c r="AI2638" s="35"/>
      <c r="AJ2638" s="35"/>
      <c r="AK2638" s="35"/>
      <c r="AL2638" s="35"/>
      <c r="AM2638" s="35"/>
    </row>
    <row r="2639" spans="1:39">
      <c r="B2639" s="1011">
        <v>12</v>
      </c>
      <c r="C2639" s="993" t="s">
        <v>5595</v>
      </c>
      <c r="D2639" s="3">
        <v>200104243</v>
      </c>
      <c r="E2639" s="3">
        <v>120513</v>
      </c>
      <c r="F2639" s="802">
        <v>2</v>
      </c>
      <c r="G2639" s="1038"/>
      <c r="H2639" s="8" t="s">
        <v>128</v>
      </c>
      <c r="I2639" s="1038"/>
      <c r="J2639" s="786">
        <v>122.15</v>
      </c>
      <c r="K2639" s="1019"/>
      <c r="L2639" s="1019"/>
      <c r="M2639" s="8" t="s">
        <v>5885</v>
      </c>
      <c r="N2639" s="759">
        <v>45258</v>
      </c>
      <c r="O2639" s="8" t="s">
        <v>62</v>
      </c>
      <c r="P2639" s="1020"/>
      <c r="Q2639" s="882">
        <v>3.78</v>
      </c>
      <c r="R2639" s="8"/>
      <c r="S2639" s="8"/>
      <c r="T2639" s="8"/>
      <c r="U2639" s="8"/>
      <c r="V2639" s="8"/>
      <c r="W2639" s="759"/>
      <c r="X2639" s="759"/>
      <c r="Y2639" s="759"/>
      <c r="Z2639" s="759"/>
      <c r="AA2639" s="35"/>
      <c r="AB2639" s="35"/>
      <c r="AC2639" s="35"/>
      <c r="AD2639" s="35"/>
      <c r="AE2639" s="35"/>
      <c r="AF2639" s="35"/>
      <c r="AG2639" s="35"/>
      <c r="AH2639" s="35"/>
      <c r="AI2639" s="35"/>
      <c r="AJ2639" s="35"/>
      <c r="AK2639" s="35"/>
      <c r="AL2639" s="35"/>
      <c r="AM2639" s="35"/>
    </row>
    <row r="2640" spans="1:39">
      <c r="B2640" s="1011">
        <v>12</v>
      </c>
      <c r="C2640" s="993" t="s">
        <v>5595</v>
      </c>
      <c r="D2640" s="3">
        <v>200104287</v>
      </c>
      <c r="E2640" s="3">
        <v>120753</v>
      </c>
      <c r="F2640" s="802">
        <v>3</v>
      </c>
      <c r="G2640" s="1038"/>
      <c r="H2640" s="8" t="s">
        <v>128</v>
      </c>
      <c r="I2640" s="1038"/>
      <c r="J2640" s="786">
        <v>124.28</v>
      </c>
      <c r="K2640" s="1019"/>
      <c r="L2640" s="1019"/>
      <c r="M2640" s="8" t="s">
        <v>5885</v>
      </c>
      <c r="N2640" s="759">
        <v>45258</v>
      </c>
      <c r="O2640" s="8" t="s">
        <v>62</v>
      </c>
      <c r="P2640" s="1020"/>
      <c r="Q2640" s="882">
        <v>3.47</v>
      </c>
      <c r="R2640" s="8"/>
      <c r="S2640" s="8"/>
      <c r="T2640" s="8"/>
      <c r="U2640" s="8"/>
      <c r="V2640" s="8"/>
      <c r="W2640" s="759"/>
      <c r="X2640" s="759"/>
      <c r="Y2640" s="759"/>
      <c r="Z2640" s="759"/>
      <c r="AA2640" s="35"/>
      <c r="AB2640" s="35"/>
      <c r="AC2640" s="35"/>
      <c r="AD2640" s="35"/>
      <c r="AE2640" s="35"/>
      <c r="AF2640" s="35"/>
      <c r="AG2640" s="35"/>
      <c r="AH2640" s="35"/>
      <c r="AI2640" s="35"/>
      <c r="AJ2640" s="35"/>
      <c r="AK2640" s="35"/>
      <c r="AL2640" s="35"/>
      <c r="AM2640" s="35"/>
    </row>
    <row r="2641" spans="1:39">
      <c r="B2641" s="1011">
        <v>12</v>
      </c>
      <c r="C2641" s="993" t="s">
        <v>5595</v>
      </c>
      <c r="D2641" s="3">
        <v>200104386</v>
      </c>
      <c r="E2641" s="3">
        <v>121323</v>
      </c>
      <c r="F2641" s="802">
        <v>4</v>
      </c>
      <c r="G2641" s="1039"/>
      <c r="H2641" s="8" t="s">
        <v>128</v>
      </c>
      <c r="I2641" s="1039"/>
      <c r="J2641" s="786">
        <v>122.47</v>
      </c>
      <c r="K2641" s="1019"/>
      <c r="L2641" s="1019"/>
      <c r="M2641" s="8" t="s">
        <v>2067</v>
      </c>
      <c r="N2641" s="759">
        <v>45268</v>
      </c>
      <c r="O2641" s="8" t="s">
        <v>62</v>
      </c>
      <c r="P2641" s="1019"/>
      <c r="Q2641" s="882">
        <v>3.72</v>
      </c>
      <c r="R2641" s="8"/>
      <c r="S2641" s="8"/>
      <c r="T2641" s="8"/>
      <c r="U2641" s="8"/>
      <c r="V2641" s="8"/>
      <c r="W2641" s="759"/>
      <c r="X2641" s="759"/>
      <c r="Y2641" s="759"/>
      <c r="Z2641" s="759"/>
      <c r="AA2641" s="35"/>
      <c r="AB2641" s="35"/>
      <c r="AC2641" s="35"/>
      <c r="AD2641" s="35"/>
      <c r="AE2641" s="35"/>
      <c r="AF2641" s="35"/>
      <c r="AG2641" s="35"/>
      <c r="AH2641" s="35"/>
      <c r="AI2641" s="35"/>
      <c r="AJ2641" s="35"/>
      <c r="AK2641" s="35"/>
      <c r="AL2641" s="35"/>
      <c r="AM2641" s="35"/>
    </row>
    <row r="2642" spans="1:39">
      <c r="B2642" s="1011">
        <v>12</v>
      </c>
      <c r="C2642" s="993" t="s">
        <v>5595</v>
      </c>
      <c r="D2642" s="3">
        <v>200104316</v>
      </c>
      <c r="E2642" s="3">
        <v>121333</v>
      </c>
      <c r="F2642" s="802">
        <v>5</v>
      </c>
      <c r="G2642" s="1039"/>
      <c r="H2642" s="8" t="s">
        <v>128</v>
      </c>
      <c r="I2642" s="1039"/>
      <c r="J2642" s="786">
        <v>122.91</v>
      </c>
      <c r="K2642" s="1019"/>
      <c r="L2642" s="1019"/>
      <c r="M2642" s="8" t="s">
        <v>2067</v>
      </c>
      <c r="N2642" s="759">
        <v>45268</v>
      </c>
      <c r="O2642" s="8" t="s">
        <v>62</v>
      </c>
      <c r="P2642" s="1019"/>
      <c r="Q2642" s="882">
        <v>3.41</v>
      </c>
      <c r="R2642" s="8"/>
      <c r="S2642" s="8"/>
      <c r="T2642" s="8"/>
      <c r="U2642" s="8"/>
      <c r="V2642" s="8"/>
      <c r="W2642" s="759"/>
      <c r="X2642" s="759"/>
      <c r="Y2642" s="759"/>
      <c r="Z2642" s="759"/>
      <c r="AA2642" s="35"/>
      <c r="AB2642" s="35"/>
      <c r="AC2642" s="35"/>
      <c r="AD2642" s="35"/>
      <c r="AE2642" s="35"/>
      <c r="AF2642" s="35"/>
      <c r="AG2642" s="35"/>
      <c r="AH2642" s="35"/>
      <c r="AI2642" s="35"/>
      <c r="AJ2642" s="35"/>
      <c r="AK2642" s="35"/>
      <c r="AL2642" s="35"/>
      <c r="AM2642" s="35"/>
    </row>
    <row r="2643" spans="1:39">
      <c r="B2643" s="1011">
        <v>12</v>
      </c>
      <c r="C2643" s="993" t="s">
        <v>5595</v>
      </c>
      <c r="D2643" s="3">
        <v>200104317</v>
      </c>
      <c r="E2643" s="3">
        <v>121343</v>
      </c>
      <c r="F2643" s="802">
        <v>6</v>
      </c>
      <c r="G2643" s="1039"/>
      <c r="H2643" s="8" t="s">
        <v>128</v>
      </c>
      <c r="I2643" s="1039"/>
      <c r="J2643" s="786">
        <v>124.49</v>
      </c>
      <c r="K2643" s="1019"/>
      <c r="L2643" s="1019"/>
      <c r="M2643" s="8" t="s">
        <v>2067</v>
      </c>
      <c r="N2643" s="759">
        <v>45268</v>
      </c>
      <c r="O2643" s="8" t="s">
        <v>62</v>
      </c>
      <c r="P2643" s="1019"/>
      <c r="Q2643" s="882">
        <v>3.4</v>
      </c>
      <c r="R2643" s="8"/>
      <c r="S2643" s="8"/>
      <c r="T2643" s="8"/>
      <c r="U2643" s="8"/>
      <c r="V2643" s="8"/>
      <c r="W2643" s="759"/>
      <c r="X2643" s="759"/>
      <c r="Y2643" s="759"/>
      <c r="Z2643" s="759"/>
      <c r="AA2643" s="35"/>
      <c r="AB2643" s="35"/>
      <c r="AC2643" s="35"/>
      <c r="AD2643" s="35"/>
      <c r="AE2643" s="35"/>
      <c r="AF2643" s="35"/>
      <c r="AG2643" s="35"/>
      <c r="AH2643" s="35"/>
      <c r="AI2643" s="35"/>
      <c r="AJ2643" s="35"/>
      <c r="AK2643" s="35"/>
      <c r="AL2643" s="35"/>
      <c r="AM2643" s="35"/>
    </row>
    <row r="2644" spans="1:39" s="707" customFormat="1">
      <c r="A2644"/>
      <c r="B2644" s="978"/>
      <c r="C2644" s="807">
        <v>2024</v>
      </c>
      <c r="D2644" s="807"/>
      <c r="E2644" s="875"/>
      <c r="F2644" s="808"/>
      <c r="G2644" s="807"/>
      <c r="H2644" s="807"/>
      <c r="I2644" s="807"/>
      <c r="J2644" s="820"/>
      <c r="K2644" s="807"/>
      <c r="L2644" s="807"/>
      <c r="M2644" s="819"/>
      <c r="N2644" s="1025"/>
      <c r="O2644" s="9"/>
      <c r="P2644" s="9"/>
      <c r="Q2644" s="9"/>
      <c r="R2644" s="9"/>
      <c r="S2644" s="9"/>
      <c r="T2644" s="9"/>
      <c r="U2644" s="9"/>
      <c r="V2644" s="9"/>
      <c r="W2644" s="1025"/>
      <c r="X2644" s="1025"/>
      <c r="Y2644" s="1025"/>
      <c r="Z2644" s="1025"/>
      <c r="AA2644" s="1016"/>
      <c r="AB2644" s="1016"/>
      <c r="AC2644" s="1016"/>
      <c r="AD2644" s="1016"/>
      <c r="AE2644" s="1016"/>
      <c r="AF2644" s="1016"/>
      <c r="AG2644" s="1016"/>
      <c r="AH2644" s="1016"/>
      <c r="AI2644" s="1016"/>
      <c r="AJ2644" s="1016"/>
      <c r="AK2644" s="1016"/>
      <c r="AL2644" s="1016"/>
      <c r="AM2644" s="1016"/>
    </row>
    <row r="2645" spans="1:39">
      <c r="B2645" s="1011">
        <v>1</v>
      </c>
      <c r="C2645" s="993" t="s">
        <v>5595</v>
      </c>
      <c r="D2645" s="3">
        <v>200104467</v>
      </c>
      <c r="E2645" s="1469" t="s">
        <v>5886</v>
      </c>
      <c r="F2645" s="802">
        <v>1</v>
      </c>
      <c r="G2645" s="1039"/>
      <c r="H2645" s="8" t="s">
        <v>60</v>
      </c>
      <c r="I2645" s="1039"/>
      <c r="J2645" s="762">
        <v>121.78</v>
      </c>
      <c r="K2645" s="1019"/>
      <c r="L2645" s="1019"/>
      <c r="M2645" s="8" t="s">
        <v>1710</v>
      </c>
      <c r="N2645" s="759">
        <v>45278</v>
      </c>
      <c r="O2645" s="8" t="s">
        <v>62</v>
      </c>
      <c r="P2645" s="1019"/>
      <c r="Q2645" s="764">
        <v>3.49</v>
      </c>
      <c r="R2645" s="8"/>
      <c r="S2645" s="8"/>
      <c r="T2645" s="8"/>
      <c r="U2645" s="8"/>
      <c r="V2645" s="8"/>
      <c r="W2645" s="759"/>
      <c r="X2645" s="759"/>
      <c r="Y2645" s="759"/>
      <c r="Z2645" s="759"/>
      <c r="AA2645" s="35"/>
      <c r="AB2645" s="35"/>
      <c r="AC2645" s="35"/>
      <c r="AD2645" s="35"/>
      <c r="AE2645" s="35"/>
      <c r="AF2645" s="35"/>
      <c r="AG2645" s="35"/>
      <c r="AH2645" s="35"/>
      <c r="AI2645" s="35"/>
      <c r="AJ2645" s="35"/>
      <c r="AK2645" s="35"/>
      <c r="AL2645" s="35"/>
      <c r="AM2645" s="35"/>
    </row>
    <row r="2646" spans="1:39">
      <c r="B2646" s="1011">
        <v>1</v>
      </c>
      <c r="C2646" s="993" t="s">
        <v>5595</v>
      </c>
      <c r="D2646" s="3">
        <v>200104468</v>
      </c>
      <c r="E2646" s="1469" t="s">
        <v>5887</v>
      </c>
      <c r="F2646" s="802">
        <v>2</v>
      </c>
      <c r="G2646" s="1039"/>
      <c r="H2646" s="8" t="s">
        <v>60</v>
      </c>
      <c r="I2646" s="1039"/>
      <c r="J2646" s="762">
        <v>101.6</v>
      </c>
      <c r="K2646" s="1019"/>
      <c r="L2646" s="1019"/>
      <c r="M2646" s="8" t="s">
        <v>1710</v>
      </c>
      <c r="N2646" s="759">
        <v>45278</v>
      </c>
      <c r="O2646" s="8" t="s">
        <v>62</v>
      </c>
      <c r="P2646" s="1019"/>
      <c r="Q2646" s="764">
        <v>3.71</v>
      </c>
      <c r="R2646" s="8"/>
      <c r="S2646" s="8"/>
      <c r="T2646" s="8"/>
      <c r="U2646" s="8"/>
      <c r="V2646" s="8"/>
      <c r="W2646" s="759"/>
      <c r="X2646" s="759"/>
      <c r="Y2646" s="759"/>
      <c r="Z2646" s="759"/>
      <c r="AA2646" s="35"/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5"/>
      <c r="AM2646" s="35"/>
    </row>
    <row r="2647" spans="1:39" s="707" customFormat="1">
      <c r="A2647"/>
      <c r="B2647" s="978"/>
      <c r="C2647" s="807" t="s">
        <v>3316</v>
      </c>
      <c r="D2647" s="807"/>
      <c r="E2647" s="875"/>
      <c r="F2647" s="808"/>
      <c r="G2647" s="807"/>
      <c r="H2647" s="807"/>
      <c r="I2647" s="807"/>
      <c r="J2647" s="820"/>
      <c r="K2647" s="807"/>
      <c r="L2647" s="807"/>
      <c r="M2647" s="819"/>
      <c r="N2647" s="1025"/>
      <c r="O2647" s="9"/>
      <c r="P2647" s="9"/>
      <c r="Q2647" s="9"/>
      <c r="R2647" s="9"/>
      <c r="S2647" s="9"/>
      <c r="T2647" s="9"/>
      <c r="U2647" s="9"/>
      <c r="V2647" s="9"/>
      <c r="W2647" s="1025"/>
      <c r="X2647" s="1025"/>
      <c r="Y2647" s="1025"/>
      <c r="Z2647" s="1025"/>
      <c r="AA2647" s="1016"/>
      <c r="AB2647" s="1016"/>
      <c r="AC2647" s="1016"/>
      <c r="AD2647" s="1016"/>
      <c r="AE2647" s="1016"/>
      <c r="AF2647" s="1016"/>
      <c r="AG2647" s="1016"/>
      <c r="AH2647" s="1016"/>
      <c r="AI2647" s="1016"/>
      <c r="AJ2647" s="1016"/>
      <c r="AK2647" s="1016"/>
      <c r="AL2647" s="1016"/>
      <c r="AM2647" s="1016"/>
    </row>
    <row r="2648" spans="1:39">
      <c r="B2648" s="1011" t="s">
        <v>213</v>
      </c>
      <c r="C2648" s="993" t="s">
        <v>5595</v>
      </c>
      <c r="D2648" s="3">
        <v>200105188</v>
      </c>
      <c r="E2648" s="1469" t="s">
        <v>1325</v>
      </c>
      <c r="F2648" s="802">
        <v>1</v>
      </c>
      <c r="G2648" s="8" t="s">
        <v>60</v>
      </c>
      <c r="H2648" s="8" t="s">
        <v>60</v>
      </c>
      <c r="I2648" s="3">
        <v>543.6</v>
      </c>
      <c r="J2648" s="762">
        <v>121.31</v>
      </c>
      <c r="K2648" s="1041" t="s">
        <v>1716</v>
      </c>
      <c r="L2648" s="1042">
        <v>45356</v>
      </c>
      <c r="M2648" s="8" t="s">
        <v>1716</v>
      </c>
      <c r="N2648" s="1042">
        <v>45358</v>
      </c>
      <c r="O2648" s="8" t="s">
        <v>62</v>
      </c>
      <c r="P2648" s="3" t="s">
        <v>1326</v>
      </c>
      <c r="Q2648" s="762">
        <v>3.74</v>
      </c>
      <c r="R2648" s="8"/>
      <c r="S2648" s="8"/>
      <c r="T2648" s="8"/>
      <c r="U2648" s="8"/>
      <c r="V2648" s="8"/>
      <c r="W2648" s="759"/>
      <c r="X2648" s="759"/>
      <c r="Y2648" s="759"/>
      <c r="Z2648" s="759"/>
      <c r="AA2648" s="35"/>
      <c r="AB2648" s="35"/>
      <c r="AC2648" s="35"/>
      <c r="AD2648" s="35"/>
      <c r="AE2648" s="35"/>
      <c r="AF2648" s="35"/>
      <c r="AG2648" s="35"/>
      <c r="AH2648" s="35"/>
      <c r="AI2648" s="35"/>
      <c r="AJ2648" s="35"/>
      <c r="AK2648" s="35"/>
      <c r="AL2648" s="35"/>
      <c r="AM2648" s="35"/>
    </row>
    <row r="2649" spans="1:39">
      <c r="B2649" s="1011" t="s">
        <v>213</v>
      </c>
      <c r="C2649" s="993" t="s">
        <v>5595</v>
      </c>
      <c r="D2649" s="3">
        <v>200105189</v>
      </c>
      <c r="E2649" s="1469" t="s">
        <v>1329</v>
      </c>
      <c r="F2649" s="802">
        <v>2</v>
      </c>
      <c r="G2649" s="8" t="s">
        <v>60</v>
      </c>
      <c r="H2649" s="8" t="s">
        <v>60</v>
      </c>
      <c r="I2649" s="762">
        <v>552.89</v>
      </c>
      <c r="J2649" s="762">
        <v>121.4</v>
      </c>
      <c r="K2649" s="1041" t="s">
        <v>1716</v>
      </c>
      <c r="L2649" s="1042">
        <v>45357</v>
      </c>
      <c r="M2649" s="8" t="s">
        <v>1716</v>
      </c>
      <c r="N2649" s="1042">
        <v>45358</v>
      </c>
      <c r="O2649" s="8" t="s">
        <v>62</v>
      </c>
      <c r="P2649" s="3" t="s">
        <v>1330</v>
      </c>
      <c r="Q2649" s="762">
        <v>3.51</v>
      </c>
      <c r="R2649" s="8"/>
      <c r="S2649" s="8"/>
      <c r="T2649" s="8"/>
      <c r="U2649" s="8"/>
      <c r="V2649" s="8"/>
      <c r="W2649" s="759"/>
      <c r="X2649" s="759"/>
      <c r="Y2649" s="759"/>
      <c r="Z2649" s="759"/>
      <c r="AA2649" s="35"/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5"/>
      <c r="AM2649" s="35"/>
    </row>
    <row r="2650" spans="1:39">
      <c r="B2650" s="1011" t="s">
        <v>213</v>
      </c>
      <c r="C2650" s="993" t="s">
        <v>5595</v>
      </c>
      <c r="D2650" s="3">
        <v>200105190</v>
      </c>
      <c r="E2650" s="1469" t="s">
        <v>1331</v>
      </c>
      <c r="F2650" s="802">
        <v>3</v>
      </c>
      <c r="G2650" s="8" t="s">
        <v>60</v>
      </c>
      <c r="H2650" s="8" t="s">
        <v>60</v>
      </c>
      <c r="I2650" s="762">
        <v>551.34</v>
      </c>
      <c r="J2650" s="762">
        <v>123.76</v>
      </c>
      <c r="K2650" s="1041" t="s">
        <v>1716</v>
      </c>
      <c r="L2650" s="1042">
        <v>45357</v>
      </c>
      <c r="M2650" s="8" t="s">
        <v>1716</v>
      </c>
      <c r="N2650" s="1042">
        <v>45358</v>
      </c>
      <c r="O2650" s="8" t="s">
        <v>62</v>
      </c>
      <c r="P2650" s="3" t="s">
        <v>1332</v>
      </c>
      <c r="Q2650" s="762">
        <v>3.67</v>
      </c>
      <c r="R2650" s="8"/>
      <c r="S2650" s="8"/>
      <c r="T2650" s="8"/>
      <c r="U2650" s="8"/>
      <c r="V2650" s="8"/>
      <c r="W2650" s="759"/>
      <c r="X2650" s="759"/>
      <c r="Y2650" s="759"/>
      <c r="Z2650" s="759"/>
      <c r="AA2650" s="35"/>
      <c r="AB2650" s="35"/>
      <c r="AC2650" s="35"/>
      <c r="AD2650" s="35"/>
      <c r="AE2650" s="35"/>
      <c r="AF2650" s="35"/>
      <c r="AG2650" s="35"/>
      <c r="AH2650" s="35"/>
      <c r="AI2650" s="35"/>
      <c r="AJ2650" s="35"/>
      <c r="AK2650" s="35"/>
      <c r="AL2650" s="35"/>
      <c r="AM2650" s="35"/>
    </row>
    <row r="2651" spans="1:39">
      <c r="B2651" s="1011" t="s">
        <v>213</v>
      </c>
      <c r="C2651" s="993" t="s">
        <v>5595</v>
      </c>
      <c r="D2651" s="3">
        <v>200105191</v>
      </c>
      <c r="E2651" s="1469" t="s">
        <v>1334</v>
      </c>
      <c r="F2651" s="802">
        <v>4</v>
      </c>
      <c r="G2651" s="8" t="s">
        <v>60</v>
      </c>
      <c r="H2651" s="8" t="s">
        <v>60</v>
      </c>
      <c r="I2651" s="786">
        <v>553.76</v>
      </c>
      <c r="J2651" s="762">
        <v>124.61</v>
      </c>
      <c r="K2651" s="1041" t="s">
        <v>1716</v>
      </c>
      <c r="L2651" s="1042">
        <v>45357</v>
      </c>
      <c r="M2651" s="8" t="s">
        <v>1716</v>
      </c>
      <c r="N2651" s="1042">
        <v>45358</v>
      </c>
      <c r="O2651" s="8" t="s">
        <v>62</v>
      </c>
      <c r="P2651" s="3" t="s">
        <v>1335</v>
      </c>
      <c r="Q2651" s="762">
        <v>3.55</v>
      </c>
      <c r="R2651" s="8"/>
      <c r="S2651" s="8"/>
      <c r="T2651" s="8"/>
      <c r="U2651" s="8"/>
      <c r="V2651" s="8"/>
      <c r="W2651" s="759"/>
      <c r="X2651" s="759"/>
      <c r="Y2651" s="759"/>
      <c r="Z2651" s="759"/>
      <c r="AA2651" s="35"/>
      <c r="AB2651" s="35"/>
      <c r="AC2651" s="35"/>
      <c r="AD2651" s="35"/>
      <c r="AE2651" s="35"/>
      <c r="AF2651" s="35"/>
      <c r="AG2651" s="35"/>
      <c r="AH2651" s="35"/>
      <c r="AI2651" s="35"/>
      <c r="AJ2651" s="35"/>
      <c r="AK2651" s="35"/>
      <c r="AL2651" s="35"/>
      <c r="AM2651" s="35"/>
    </row>
    <row r="2652" spans="1:39">
      <c r="B2652" s="1011" t="s">
        <v>213</v>
      </c>
      <c r="C2652" s="993" t="s">
        <v>5595</v>
      </c>
      <c r="D2652" s="3">
        <v>200105192</v>
      </c>
      <c r="E2652" s="1469" t="s">
        <v>1336</v>
      </c>
      <c r="F2652" s="802">
        <v>5</v>
      </c>
      <c r="G2652" s="8" t="s">
        <v>60</v>
      </c>
      <c r="H2652" s="8" t="s">
        <v>60</v>
      </c>
      <c r="I2652" s="786">
        <v>558.47</v>
      </c>
      <c r="J2652" s="786">
        <v>124.85</v>
      </c>
      <c r="K2652" s="1041" t="s">
        <v>1716</v>
      </c>
      <c r="L2652" s="1042">
        <v>45357</v>
      </c>
      <c r="M2652" s="8" t="s">
        <v>1716</v>
      </c>
      <c r="N2652" s="1042">
        <v>45358</v>
      </c>
      <c r="O2652" s="8" t="s">
        <v>62</v>
      </c>
      <c r="P2652" s="3" t="s">
        <v>1337</v>
      </c>
      <c r="Q2652" s="882">
        <v>3.74</v>
      </c>
      <c r="R2652" s="8"/>
      <c r="S2652" s="8"/>
      <c r="T2652" s="8"/>
      <c r="U2652" s="8"/>
      <c r="V2652" s="8"/>
      <c r="W2652" s="759"/>
      <c r="X2652" s="759"/>
      <c r="Y2652" s="759"/>
      <c r="Z2652" s="759"/>
      <c r="AA2652" s="35"/>
      <c r="AB2652" s="35"/>
      <c r="AC2652" s="35"/>
      <c r="AD2652" s="35"/>
      <c r="AE2652" s="35"/>
      <c r="AF2652" s="35"/>
      <c r="AG2652" s="35"/>
      <c r="AH2652" s="35"/>
      <c r="AI2652" s="35"/>
      <c r="AJ2652" s="35"/>
      <c r="AK2652" s="35"/>
      <c r="AL2652" s="35"/>
      <c r="AM2652" s="35"/>
    </row>
    <row r="2653" spans="1:39">
      <c r="B2653" s="1011" t="s">
        <v>213</v>
      </c>
      <c r="C2653" s="993" t="s">
        <v>5595</v>
      </c>
      <c r="D2653" s="3">
        <v>200105193</v>
      </c>
      <c r="E2653" s="1469" t="s">
        <v>1338</v>
      </c>
      <c r="F2653" s="802">
        <v>6</v>
      </c>
      <c r="G2653" s="8" t="s">
        <v>60</v>
      </c>
      <c r="H2653" s="8" t="s">
        <v>60</v>
      </c>
      <c r="I2653" s="786">
        <v>552.92999999999995</v>
      </c>
      <c r="J2653" s="786">
        <v>122.39</v>
      </c>
      <c r="K2653" s="1041" t="s">
        <v>1716</v>
      </c>
      <c r="L2653" s="1042">
        <v>45357</v>
      </c>
      <c r="M2653" s="8" t="s">
        <v>1716</v>
      </c>
      <c r="N2653" s="1042">
        <v>45358</v>
      </c>
      <c r="O2653" s="8" t="s">
        <v>62</v>
      </c>
      <c r="P2653" s="3" t="s">
        <v>1339</v>
      </c>
      <c r="Q2653" s="882">
        <v>3.46</v>
      </c>
      <c r="R2653" s="8"/>
      <c r="S2653" s="8"/>
      <c r="T2653" s="8"/>
      <c r="U2653" s="8"/>
      <c r="V2653" s="8"/>
      <c r="W2653" s="759"/>
      <c r="X2653" s="759"/>
      <c r="Y2653" s="759"/>
      <c r="Z2653" s="759"/>
      <c r="AA2653" s="35"/>
      <c r="AB2653" s="35"/>
      <c r="AC2653" s="35"/>
      <c r="AD2653" s="35"/>
      <c r="AE2653" s="35"/>
      <c r="AF2653" s="35"/>
      <c r="AG2653" s="35"/>
      <c r="AH2653" s="35"/>
      <c r="AI2653" s="35"/>
      <c r="AJ2653" s="35"/>
      <c r="AK2653" s="35"/>
      <c r="AL2653" s="35"/>
      <c r="AM2653" s="35"/>
    </row>
    <row r="2654" spans="1:39">
      <c r="B2654" s="1011" t="s">
        <v>213</v>
      </c>
      <c r="C2654" s="993" t="s">
        <v>5595</v>
      </c>
      <c r="D2654" s="3">
        <v>200105194</v>
      </c>
      <c r="E2654" s="1469" t="s">
        <v>1340</v>
      </c>
      <c r="F2654" s="802">
        <v>7</v>
      </c>
      <c r="G2654" s="8" t="s">
        <v>60</v>
      </c>
      <c r="H2654" s="8" t="s">
        <v>60</v>
      </c>
      <c r="I2654" s="762">
        <v>552.33000000000004</v>
      </c>
      <c r="J2654" s="786">
        <v>123.28</v>
      </c>
      <c r="K2654" s="1041" t="s">
        <v>1716</v>
      </c>
      <c r="L2654" s="1042">
        <v>45357</v>
      </c>
      <c r="M2654" s="8" t="s">
        <v>1716</v>
      </c>
      <c r="N2654" s="1042">
        <v>45358</v>
      </c>
      <c r="O2654" s="8" t="s">
        <v>62</v>
      </c>
      <c r="P2654" s="3" t="s">
        <v>1341</v>
      </c>
      <c r="Q2654" s="882">
        <v>3.78</v>
      </c>
      <c r="R2654" s="8"/>
      <c r="S2654" s="8"/>
      <c r="T2654" s="8"/>
      <c r="U2654" s="8"/>
      <c r="V2654" s="8"/>
      <c r="W2654" s="759"/>
      <c r="X2654" s="759"/>
      <c r="Y2654" s="759"/>
      <c r="Z2654" s="759"/>
      <c r="AA2654" s="35"/>
      <c r="AB2654" s="35"/>
      <c r="AC2654" s="35"/>
      <c r="AD2654" s="35"/>
      <c r="AE2654" s="35"/>
      <c r="AF2654" s="35"/>
      <c r="AG2654" s="35"/>
      <c r="AH2654" s="35"/>
      <c r="AI2654" s="35"/>
      <c r="AJ2654" s="35"/>
      <c r="AK2654" s="35"/>
      <c r="AL2654" s="35"/>
      <c r="AM2654" s="35"/>
    </row>
    <row r="2655" spans="1:39">
      <c r="B2655" s="1011" t="s">
        <v>213</v>
      </c>
      <c r="C2655" s="993" t="s">
        <v>5595</v>
      </c>
      <c r="D2655" s="3">
        <v>200105195</v>
      </c>
      <c r="E2655" s="1469" t="s">
        <v>1342</v>
      </c>
      <c r="F2655" s="802">
        <v>8</v>
      </c>
      <c r="G2655" s="8" t="s">
        <v>60</v>
      </c>
      <c r="H2655" s="8" t="s">
        <v>60</v>
      </c>
      <c r="I2655" s="762">
        <v>555.37</v>
      </c>
      <c r="J2655" s="786">
        <v>123.4</v>
      </c>
      <c r="K2655" s="8" t="s">
        <v>1716</v>
      </c>
      <c r="L2655" s="1042">
        <v>45358</v>
      </c>
      <c r="M2655" s="8" t="s">
        <v>1716</v>
      </c>
      <c r="N2655" s="1042">
        <v>45358</v>
      </c>
      <c r="O2655" s="8" t="s">
        <v>62</v>
      </c>
      <c r="P2655" s="785" t="s">
        <v>1343</v>
      </c>
      <c r="Q2655" s="882">
        <v>3.72</v>
      </c>
      <c r="R2655" s="8"/>
      <c r="S2655" s="8"/>
      <c r="T2655" s="8"/>
      <c r="U2655" s="8"/>
      <c r="V2655" s="8"/>
      <c r="W2655" s="759"/>
      <c r="X2655" s="759"/>
      <c r="Y2655" s="759"/>
      <c r="Z2655" s="759"/>
      <c r="AA2655" s="35"/>
      <c r="AB2655" s="35"/>
      <c r="AC2655" s="35"/>
      <c r="AD2655" s="35"/>
      <c r="AE2655" s="35"/>
      <c r="AF2655" s="35"/>
      <c r="AG2655" s="35"/>
      <c r="AH2655" s="35"/>
      <c r="AI2655" s="35"/>
      <c r="AJ2655" s="35"/>
      <c r="AK2655" s="35"/>
      <c r="AL2655" s="35"/>
      <c r="AM2655" s="35"/>
    </row>
    <row r="2656" spans="1:39">
      <c r="B2656" s="1011" t="s">
        <v>213</v>
      </c>
      <c r="C2656" s="993" t="s">
        <v>5595</v>
      </c>
      <c r="D2656" s="3">
        <v>200105196</v>
      </c>
      <c r="E2656" s="1469" t="s">
        <v>1345</v>
      </c>
      <c r="F2656" s="802">
        <v>9</v>
      </c>
      <c r="G2656" s="8" t="s">
        <v>60</v>
      </c>
      <c r="H2656" s="8" t="s">
        <v>60</v>
      </c>
      <c r="I2656" s="762">
        <v>558.25</v>
      </c>
      <c r="J2656" s="786">
        <v>124.03</v>
      </c>
      <c r="K2656" s="8" t="s">
        <v>1716</v>
      </c>
      <c r="L2656" s="1042">
        <v>45358</v>
      </c>
      <c r="M2656" s="8" t="s">
        <v>1716</v>
      </c>
      <c r="N2656" s="1042">
        <v>45358</v>
      </c>
      <c r="O2656" s="8" t="s">
        <v>62</v>
      </c>
      <c r="P2656" s="3" t="s">
        <v>1346</v>
      </c>
      <c r="Q2656" s="882">
        <v>3.46</v>
      </c>
      <c r="R2656" s="8"/>
      <c r="S2656" s="8"/>
      <c r="T2656" s="8"/>
      <c r="U2656" s="8"/>
      <c r="V2656" s="8"/>
      <c r="W2656" s="759"/>
      <c r="X2656" s="759"/>
      <c r="Y2656" s="759"/>
      <c r="Z2656" s="759"/>
      <c r="AA2656" s="35"/>
      <c r="AB2656" s="35"/>
      <c r="AC2656" s="35"/>
      <c r="AD2656" s="35"/>
      <c r="AE2656" s="35"/>
      <c r="AF2656" s="35"/>
      <c r="AG2656" s="35"/>
      <c r="AH2656" s="35"/>
      <c r="AI2656" s="35"/>
      <c r="AJ2656" s="35"/>
      <c r="AK2656" s="35"/>
      <c r="AL2656" s="35"/>
      <c r="AM2656" s="35"/>
    </row>
    <row r="2657" spans="1:39">
      <c r="B2657" s="1011" t="s">
        <v>213</v>
      </c>
      <c r="C2657" s="993" t="s">
        <v>5595</v>
      </c>
      <c r="D2657" s="3">
        <v>200105197</v>
      </c>
      <c r="E2657" s="1469" t="s">
        <v>1347</v>
      </c>
      <c r="F2657" s="802">
        <v>10</v>
      </c>
      <c r="G2657" s="8" t="s">
        <v>60</v>
      </c>
      <c r="H2657" s="8" t="s">
        <v>60</v>
      </c>
      <c r="I2657" s="762">
        <v>548.39</v>
      </c>
      <c r="J2657" s="786">
        <v>125.73</v>
      </c>
      <c r="K2657" s="8" t="s">
        <v>1716</v>
      </c>
      <c r="L2657" s="1042">
        <v>45358</v>
      </c>
      <c r="M2657" s="8" t="s">
        <v>1716</v>
      </c>
      <c r="N2657" s="1042">
        <v>45358</v>
      </c>
      <c r="O2657" s="8" t="s">
        <v>62</v>
      </c>
      <c r="P2657" s="4" t="s">
        <v>1348</v>
      </c>
      <c r="Q2657" s="882">
        <v>3.63</v>
      </c>
      <c r="R2657" s="8"/>
      <c r="S2657" s="8"/>
      <c r="T2657" s="8"/>
      <c r="U2657" s="8"/>
      <c r="V2657" s="8"/>
      <c r="W2657" s="759"/>
      <c r="X2657" s="759"/>
      <c r="Y2657" s="759"/>
      <c r="Z2657" s="759"/>
      <c r="AA2657" s="35"/>
      <c r="AB2657" s="35"/>
      <c r="AC2657" s="35"/>
      <c r="AD2657" s="35"/>
      <c r="AE2657" s="35"/>
      <c r="AF2657" s="35"/>
      <c r="AG2657" s="35"/>
      <c r="AH2657" s="35"/>
      <c r="AI2657" s="35"/>
      <c r="AJ2657" s="35"/>
      <c r="AK2657" s="35"/>
      <c r="AL2657" s="35"/>
      <c r="AM2657" s="35"/>
    </row>
    <row r="2658" spans="1:39">
      <c r="B2658" s="1011" t="s">
        <v>213</v>
      </c>
      <c r="C2658" s="993" t="s">
        <v>5595</v>
      </c>
      <c r="D2658" s="3">
        <v>200105276</v>
      </c>
      <c r="E2658" s="1469" t="s">
        <v>1349</v>
      </c>
      <c r="F2658" s="802">
        <v>11</v>
      </c>
      <c r="G2658" s="1040"/>
      <c r="H2658" s="8" t="s">
        <v>60</v>
      </c>
      <c r="I2658" s="1040"/>
      <c r="J2658" s="762">
        <v>122.9</v>
      </c>
      <c r="K2658" s="953"/>
      <c r="L2658" s="953"/>
      <c r="M2658" s="8" t="s">
        <v>1716</v>
      </c>
      <c r="N2658" s="1043">
        <v>45365</v>
      </c>
      <c r="O2658" s="8" t="s">
        <v>62</v>
      </c>
      <c r="P2658" s="953"/>
      <c r="Q2658" s="1044">
        <v>3.5</v>
      </c>
      <c r="R2658" s="8"/>
      <c r="S2658" s="8"/>
      <c r="T2658" s="8"/>
      <c r="U2658" s="8"/>
      <c r="V2658" s="8"/>
      <c r="W2658" s="759"/>
      <c r="X2658" s="759"/>
      <c r="Y2658" s="759"/>
      <c r="Z2658" s="759"/>
      <c r="AA2658" s="35"/>
      <c r="AB2658" s="35"/>
      <c r="AC2658" s="35"/>
      <c r="AD2658" s="35"/>
      <c r="AE2658" s="35"/>
      <c r="AF2658" s="35"/>
      <c r="AG2658" s="35"/>
      <c r="AH2658" s="35"/>
      <c r="AI2658" s="35"/>
      <c r="AJ2658" s="35"/>
      <c r="AK2658" s="35"/>
      <c r="AL2658" s="35"/>
      <c r="AM2658" s="35"/>
    </row>
    <row r="2659" spans="1:39">
      <c r="B2659" s="1011" t="s">
        <v>213</v>
      </c>
      <c r="C2659" s="993" t="s">
        <v>5595</v>
      </c>
      <c r="D2659" s="3">
        <v>200105277</v>
      </c>
      <c r="E2659" s="1469" t="s">
        <v>1350</v>
      </c>
      <c r="F2659" s="802">
        <v>12</v>
      </c>
      <c r="G2659" s="1040"/>
      <c r="H2659" s="8" t="s">
        <v>60</v>
      </c>
      <c r="I2659" s="1040"/>
      <c r="J2659" s="762">
        <v>122.44</v>
      </c>
      <c r="K2659" s="953"/>
      <c r="L2659" s="953"/>
      <c r="M2659" s="8" t="s">
        <v>1716</v>
      </c>
      <c r="N2659" s="1043">
        <v>45365</v>
      </c>
      <c r="O2659" s="8" t="s">
        <v>62</v>
      </c>
      <c r="P2659" s="953"/>
      <c r="Q2659" s="1044">
        <v>3.72</v>
      </c>
      <c r="R2659" s="8"/>
      <c r="S2659" s="8"/>
      <c r="T2659" s="8"/>
      <c r="U2659" s="8"/>
      <c r="V2659" s="8"/>
      <c r="W2659" s="759"/>
      <c r="X2659" s="759"/>
      <c r="Y2659" s="759"/>
      <c r="Z2659" s="759"/>
      <c r="AA2659" s="35"/>
      <c r="AB2659" s="35"/>
      <c r="AC2659" s="35"/>
      <c r="AD2659" s="35"/>
      <c r="AE2659" s="35"/>
      <c r="AF2659" s="35"/>
      <c r="AG2659" s="35"/>
      <c r="AH2659" s="35"/>
      <c r="AI2659" s="35"/>
      <c r="AJ2659" s="35"/>
      <c r="AK2659" s="35"/>
      <c r="AL2659" s="35"/>
      <c r="AM2659" s="35"/>
    </row>
    <row r="2660" spans="1:39">
      <c r="B2660" s="1011" t="s">
        <v>213</v>
      </c>
      <c r="C2660" s="993" t="s">
        <v>5595</v>
      </c>
      <c r="D2660" s="3">
        <v>200105278</v>
      </c>
      <c r="E2660" s="1469" t="s">
        <v>1351</v>
      </c>
      <c r="F2660" s="802">
        <v>13</v>
      </c>
      <c r="G2660" s="1040"/>
      <c r="H2660" s="8" t="s">
        <v>60</v>
      </c>
      <c r="I2660" s="1040"/>
      <c r="J2660" s="762">
        <v>122.93</v>
      </c>
      <c r="K2660" s="953"/>
      <c r="L2660" s="953"/>
      <c r="M2660" s="8" t="s">
        <v>1716</v>
      </c>
      <c r="N2660" s="1043">
        <v>45365</v>
      </c>
      <c r="O2660" s="8" t="s">
        <v>62</v>
      </c>
      <c r="P2660" s="953"/>
      <c r="Q2660" s="1044">
        <v>3.6</v>
      </c>
      <c r="R2660" s="8"/>
      <c r="S2660" s="8"/>
      <c r="T2660" s="8"/>
      <c r="U2660" s="8"/>
      <c r="V2660" s="8"/>
      <c r="W2660" s="759"/>
      <c r="X2660" s="759"/>
      <c r="Y2660" s="759"/>
      <c r="Z2660" s="759"/>
      <c r="AA2660" s="35"/>
      <c r="AB2660" s="35"/>
      <c r="AC2660" s="35"/>
      <c r="AD2660" s="35"/>
      <c r="AE2660" s="35"/>
      <c r="AF2660" s="35"/>
      <c r="AG2660" s="35"/>
      <c r="AH2660" s="35"/>
      <c r="AI2660" s="35"/>
      <c r="AJ2660" s="35"/>
      <c r="AK2660" s="35"/>
      <c r="AL2660" s="35"/>
      <c r="AM2660" s="35"/>
    </row>
    <row r="2661" spans="1:39">
      <c r="B2661" s="1011" t="s">
        <v>213</v>
      </c>
      <c r="C2661" s="993" t="s">
        <v>5595</v>
      </c>
      <c r="D2661" s="3">
        <v>200105344</v>
      </c>
      <c r="E2661" s="1469" t="s">
        <v>1352</v>
      </c>
      <c r="F2661" s="802">
        <v>14</v>
      </c>
      <c r="G2661" s="1040"/>
      <c r="H2661" s="8" t="s">
        <v>60</v>
      </c>
      <c r="I2661" s="1040"/>
      <c r="J2661" s="762">
        <v>125.9</v>
      </c>
      <c r="K2661" s="953"/>
      <c r="L2661" s="953"/>
      <c r="M2661" s="8" t="s">
        <v>1716</v>
      </c>
      <c r="N2661" s="1043">
        <v>45365</v>
      </c>
      <c r="O2661" s="8" t="s">
        <v>62</v>
      </c>
      <c r="P2661" s="953"/>
      <c r="Q2661" s="764">
        <v>3.72</v>
      </c>
      <c r="R2661" s="8"/>
      <c r="S2661" s="8"/>
      <c r="T2661" s="8"/>
      <c r="U2661" s="8"/>
      <c r="V2661" s="8"/>
      <c r="W2661" s="759"/>
      <c r="X2661" s="759"/>
      <c r="Y2661" s="759"/>
      <c r="Z2661" s="759"/>
      <c r="AA2661" s="35"/>
      <c r="AB2661" s="35"/>
      <c r="AC2661" s="35"/>
      <c r="AD2661" s="35"/>
      <c r="AE2661" s="35"/>
      <c r="AF2661" s="35"/>
      <c r="AG2661" s="35"/>
      <c r="AH2661" s="35"/>
      <c r="AI2661" s="35"/>
      <c r="AJ2661" s="35"/>
      <c r="AK2661" s="35"/>
      <c r="AL2661" s="35"/>
      <c r="AM2661" s="35"/>
    </row>
    <row r="2662" spans="1:39">
      <c r="B2662" s="1011" t="s">
        <v>213</v>
      </c>
      <c r="C2662" s="993" t="s">
        <v>5595</v>
      </c>
      <c r="D2662" s="3">
        <v>200105345</v>
      </c>
      <c r="E2662" s="1469" t="s">
        <v>1353</v>
      </c>
      <c r="F2662" s="802">
        <v>15</v>
      </c>
      <c r="G2662" s="1040"/>
      <c r="H2662" s="8" t="s">
        <v>60</v>
      </c>
      <c r="I2662" s="1040"/>
      <c r="J2662" s="762">
        <v>125.1</v>
      </c>
      <c r="K2662" s="953"/>
      <c r="L2662" s="953"/>
      <c r="M2662" s="8" t="s">
        <v>1716</v>
      </c>
      <c r="N2662" s="1043">
        <v>45365</v>
      </c>
      <c r="O2662" s="8" t="s">
        <v>62</v>
      </c>
      <c r="P2662" s="953"/>
      <c r="Q2662" s="764">
        <v>3.67</v>
      </c>
      <c r="R2662" s="8"/>
      <c r="S2662" s="8"/>
      <c r="T2662" s="8"/>
      <c r="U2662" s="8"/>
      <c r="V2662" s="8"/>
      <c r="W2662" s="759"/>
      <c r="X2662" s="759"/>
      <c r="Y2662" s="759"/>
      <c r="Z2662" s="759"/>
      <c r="AA2662" s="35"/>
      <c r="AB2662" s="35"/>
      <c r="AC2662" s="35"/>
      <c r="AD2662" s="35"/>
      <c r="AE2662" s="35"/>
      <c r="AF2662" s="35"/>
      <c r="AG2662" s="35"/>
      <c r="AH2662" s="35"/>
      <c r="AI2662" s="35"/>
      <c r="AJ2662" s="35"/>
      <c r="AK2662" s="35"/>
      <c r="AL2662" s="35"/>
      <c r="AM2662" s="35"/>
    </row>
    <row r="2663" spans="1:39">
      <c r="B2663" s="1011" t="s">
        <v>213</v>
      </c>
      <c r="C2663" s="993" t="s">
        <v>5595</v>
      </c>
      <c r="D2663" s="3">
        <v>200105346</v>
      </c>
      <c r="E2663" s="1469" t="s">
        <v>1354</v>
      </c>
      <c r="F2663" s="802">
        <v>16</v>
      </c>
      <c r="G2663" s="1040"/>
      <c r="H2663" s="8" t="s">
        <v>60</v>
      </c>
      <c r="I2663" s="1040"/>
      <c r="J2663" s="762">
        <f>58.97+64.49</f>
        <v>123.46</v>
      </c>
      <c r="K2663" s="953"/>
      <c r="L2663" s="953"/>
      <c r="M2663" s="8" t="s">
        <v>1716</v>
      </c>
      <c r="N2663" s="1043">
        <v>45365</v>
      </c>
      <c r="O2663" s="8" t="s">
        <v>62</v>
      </c>
      <c r="P2663" s="953"/>
      <c r="Q2663" s="764">
        <v>3.77</v>
      </c>
      <c r="R2663" s="8"/>
      <c r="S2663" s="8"/>
      <c r="T2663" s="8"/>
      <c r="U2663" s="8"/>
      <c r="V2663" s="8"/>
      <c r="W2663" s="759"/>
      <c r="X2663" s="759"/>
      <c r="Y2663" s="759"/>
      <c r="Z2663" s="759"/>
      <c r="AA2663" s="35"/>
      <c r="AB2663" s="35"/>
      <c r="AC2663" s="35"/>
      <c r="AD2663" s="35"/>
      <c r="AE2663" s="35"/>
      <c r="AF2663" s="35"/>
      <c r="AG2663" s="35"/>
      <c r="AH2663" s="35"/>
      <c r="AI2663" s="35"/>
      <c r="AJ2663" s="35"/>
      <c r="AK2663" s="35"/>
      <c r="AL2663" s="35"/>
      <c r="AM2663" s="35"/>
    </row>
    <row r="2664" spans="1:39">
      <c r="B2664" s="1011" t="s">
        <v>213</v>
      </c>
      <c r="C2664" s="993" t="s">
        <v>5595</v>
      </c>
      <c r="D2664" s="3">
        <v>200105347</v>
      </c>
      <c r="E2664" s="1469" t="s">
        <v>1355</v>
      </c>
      <c r="F2664" s="802">
        <v>17</v>
      </c>
      <c r="G2664" s="1040"/>
      <c r="H2664" s="8" t="s">
        <v>60</v>
      </c>
      <c r="I2664" s="1040"/>
      <c r="J2664" s="762">
        <f>62.45+61.85</f>
        <v>124.30000000000001</v>
      </c>
      <c r="K2664" s="953"/>
      <c r="L2664" s="953"/>
      <c r="M2664" s="8" t="s">
        <v>1716</v>
      </c>
      <c r="N2664" s="1043">
        <v>45365</v>
      </c>
      <c r="O2664" s="8" t="s">
        <v>62</v>
      </c>
      <c r="P2664" s="953"/>
      <c r="Q2664" s="764">
        <v>3.76</v>
      </c>
      <c r="R2664" s="8"/>
      <c r="S2664" s="8"/>
      <c r="T2664" s="8"/>
      <c r="U2664" s="8"/>
      <c r="V2664" s="8"/>
      <c r="W2664" s="759"/>
      <c r="X2664" s="759"/>
      <c r="Y2664" s="759"/>
      <c r="Z2664" s="759"/>
      <c r="AA2664" s="35"/>
      <c r="AB2664" s="35"/>
      <c r="AC2664" s="35"/>
      <c r="AD2664" s="35"/>
      <c r="AE2664" s="35"/>
      <c r="AF2664" s="35"/>
      <c r="AG2664" s="35"/>
      <c r="AH2664" s="35"/>
      <c r="AI2664" s="35"/>
      <c r="AJ2664" s="35"/>
      <c r="AK2664" s="35"/>
      <c r="AL2664" s="35"/>
      <c r="AM2664" s="35"/>
    </row>
    <row r="2665" spans="1:39">
      <c r="B2665" s="1011" t="s">
        <v>213</v>
      </c>
      <c r="C2665" s="993" t="s">
        <v>5595</v>
      </c>
      <c r="D2665" s="3">
        <v>200105348</v>
      </c>
      <c r="E2665" s="1469" t="s">
        <v>1356</v>
      </c>
      <c r="F2665" s="802">
        <v>18</v>
      </c>
      <c r="G2665" s="1040"/>
      <c r="H2665" s="8" t="s">
        <v>60</v>
      </c>
      <c r="I2665" s="1040"/>
      <c r="J2665" s="762">
        <v>125.28</v>
      </c>
      <c r="K2665" s="953"/>
      <c r="L2665" s="953"/>
      <c r="M2665" s="8" t="s">
        <v>1716</v>
      </c>
      <c r="N2665" s="1043">
        <v>45365</v>
      </c>
      <c r="O2665" s="8" t="s">
        <v>62</v>
      </c>
      <c r="P2665" s="953"/>
      <c r="Q2665" s="764">
        <v>3.76</v>
      </c>
      <c r="R2665" s="8"/>
      <c r="S2665" s="8"/>
      <c r="T2665" s="8"/>
      <c r="U2665" s="8"/>
      <c r="V2665" s="8"/>
      <c r="W2665" s="759"/>
      <c r="X2665" s="759"/>
      <c r="Y2665" s="759"/>
      <c r="Z2665" s="759"/>
      <c r="AA2665" s="35"/>
      <c r="AB2665" s="35"/>
      <c r="AC2665" s="35"/>
      <c r="AD2665" s="35"/>
      <c r="AE2665" s="35"/>
      <c r="AF2665" s="35"/>
      <c r="AG2665" s="35"/>
      <c r="AH2665" s="35"/>
      <c r="AI2665" s="35"/>
      <c r="AJ2665" s="35"/>
      <c r="AK2665" s="35"/>
      <c r="AL2665" s="35"/>
      <c r="AM2665" s="35"/>
    </row>
    <row r="2666" spans="1:39">
      <c r="B2666" s="1011" t="s">
        <v>213</v>
      </c>
      <c r="C2666" s="993" t="s">
        <v>5595</v>
      </c>
      <c r="D2666" s="3">
        <v>200105349</v>
      </c>
      <c r="E2666" s="1469" t="s">
        <v>1357</v>
      </c>
      <c r="F2666" s="802">
        <v>19</v>
      </c>
      <c r="G2666" s="1040"/>
      <c r="H2666" s="8" t="s">
        <v>60</v>
      </c>
      <c r="I2666" s="1040"/>
      <c r="J2666" s="786">
        <v>122.25</v>
      </c>
      <c r="K2666" s="953"/>
      <c r="L2666" s="953"/>
      <c r="M2666" s="8" t="s">
        <v>1716</v>
      </c>
      <c r="N2666" s="1043">
        <v>45371</v>
      </c>
      <c r="O2666" s="8" t="s">
        <v>62</v>
      </c>
      <c r="P2666" s="953"/>
      <c r="Q2666" s="786">
        <v>3.69</v>
      </c>
      <c r="R2666" s="8"/>
      <c r="S2666" s="8"/>
      <c r="T2666" s="8"/>
      <c r="U2666" s="8"/>
      <c r="V2666" s="8"/>
      <c r="W2666" s="759"/>
      <c r="X2666" s="759"/>
      <c r="Y2666" s="759"/>
      <c r="Z2666" s="759"/>
      <c r="AA2666" s="35"/>
      <c r="AB2666" s="35"/>
      <c r="AC2666" s="35"/>
      <c r="AD2666" s="35"/>
      <c r="AE2666" s="35"/>
      <c r="AF2666" s="35"/>
      <c r="AG2666" s="35"/>
      <c r="AH2666" s="35"/>
      <c r="AI2666" s="35"/>
      <c r="AJ2666" s="35"/>
      <c r="AK2666" s="35"/>
      <c r="AL2666" s="35"/>
      <c r="AM2666" s="35"/>
    </row>
    <row r="2667" spans="1:39">
      <c r="B2667" s="1011" t="s">
        <v>213</v>
      </c>
      <c r="C2667" s="993" t="s">
        <v>5595</v>
      </c>
      <c r="D2667" s="3">
        <v>200105350</v>
      </c>
      <c r="E2667" s="1469" t="s">
        <v>1358</v>
      </c>
      <c r="F2667" s="802">
        <v>20</v>
      </c>
      <c r="G2667" s="1040"/>
      <c r="H2667" s="8" t="s">
        <v>60</v>
      </c>
      <c r="I2667" s="1040"/>
      <c r="J2667" s="786">
        <v>124.72</v>
      </c>
      <c r="K2667" s="953"/>
      <c r="L2667" s="953"/>
      <c r="M2667" s="8" t="s">
        <v>1716</v>
      </c>
      <c r="N2667" s="1043">
        <v>45371</v>
      </c>
      <c r="O2667" s="8" t="s">
        <v>62</v>
      </c>
      <c r="P2667" s="953"/>
      <c r="Q2667" s="786">
        <v>3.52</v>
      </c>
      <c r="R2667" s="8"/>
      <c r="S2667" s="8"/>
      <c r="T2667" s="8"/>
      <c r="U2667" s="8"/>
      <c r="V2667" s="8"/>
      <c r="W2667" s="759"/>
      <c r="X2667" s="759"/>
      <c r="Y2667" s="759"/>
      <c r="Z2667" s="759"/>
      <c r="AA2667" s="35"/>
      <c r="AB2667" s="35"/>
      <c r="AC2667" s="35"/>
      <c r="AD2667" s="35"/>
      <c r="AE2667" s="35"/>
      <c r="AF2667" s="35"/>
      <c r="AG2667" s="35"/>
      <c r="AH2667" s="35"/>
      <c r="AI2667" s="35"/>
      <c r="AJ2667" s="35"/>
      <c r="AK2667" s="35"/>
      <c r="AL2667" s="35"/>
      <c r="AM2667" s="35"/>
    </row>
    <row r="2668" spans="1:39" s="707" customFormat="1">
      <c r="A2668"/>
      <c r="B2668" s="978"/>
      <c r="C2668" s="807" t="s">
        <v>3317</v>
      </c>
      <c r="D2668" s="807"/>
      <c r="E2668" s="875"/>
      <c r="F2668" s="808"/>
      <c r="G2668" s="807"/>
      <c r="H2668" s="807"/>
      <c r="I2668" s="807"/>
      <c r="J2668" s="820"/>
      <c r="K2668" s="807"/>
      <c r="L2668" s="807"/>
      <c r="M2668" s="819"/>
      <c r="N2668" s="1025"/>
      <c r="O2668" s="9"/>
      <c r="P2668" s="9"/>
      <c r="Q2668" s="9"/>
      <c r="R2668" s="9"/>
      <c r="S2668" s="9"/>
      <c r="T2668" s="9"/>
      <c r="U2668" s="9"/>
      <c r="V2668" s="9"/>
      <c r="W2668" s="1025"/>
      <c r="X2668" s="1025"/>
      <c r="Y2668" s="1025"/>
      <c r="Z2668" s="1025"/>
      <c r="AA2668" s="1016"/>
      <c r="AB2668" s="1016"/>
      <c r="AC2668" s="1016"/>
      <c r="AD2668" s="1016"/>
      <c r="AE2668" s="1016"/>
      <c r="AF2668" s="1016"/>
      <c r="AG2668" s="1016"/>
      <c r="AH2668" s="1016"/>
      <c r="AI2668" s="1016"/>
      <c r="AJ2668" s="1016"/>
      <c r="AK2668" s="1016"/>
      <c r="AL2668" s="1016"/>
      <c r="AM2668" s="1016"/>
    </row>
    <row r="2669" spans="1:39">
      <c r="B2669" s="1011" t="s">
        <v>277</v>
      </c>
      <c r="C2669" s="993" t="s">
        <v>5595</v>
      </c>
      <c r="D2669" s="3">
        <v>200105359</v>
      </c>
      <c r="E2669" s="1469" t="s">
        <v>1359</v>
      </c>
      <c r="F2669" s="802">
        <v>1</v>
      </c>
      <c r="G2669" s="1040"/>
      <c r="H2669" s="8" t="s">
        <v>60</v>
      </c>
      <c r="I2669" s="1040"/>
      <c r="J2669" s="762">
        <v>121.85</v>
      </c>
      <c r="K2669" s="953"/>
      <c r="L2669" s="953"/>
      <c r="M2669" s="1041" t="s">
        <v>2185</v>
      </c>
      <c r="N2669" s="1043">
        <v>45373</v>
      </c>
      <c r="O2669" s="8" t="s">
        <v>62</v>
      </c>
      <c r="P2669" s="953"/>
      <c r="Q2669" s="764">
        <v>3.57</v>
      </c>
      <c r="R2669" s="8"/>
      <c r="S2669" s="8"/>
      <c r="T2669" s="8"/>
      <c r="U2669" s="8"/>
      <c r="V2669" s="8"/>
      <c r="W2669" s="759"/>
      <c r="X2669" s="759"/>
      <c r="Y2669" s="759"/>
      <c r="Z2669" s="759"/>
      <c r="AA2669" s="35"/>
      <c r="AB2669" s="35"/>
      <c r="AC2669" s="35"/>
      <c r="AD2669" s="35"/>
      <c r="AE2669" s="35"/>
      <c r="AF2669" s="35"/>
      <c r="AG2669" s="35"/>
      <c r="AH2669" s="35"/>
      <c r="AI2669" s="35"/>
      <c r="AJ2669" s="35"/>
      <c r="AK2669" s="35"/>
      <c r="AL2669" s="35"/>
      <c r="AM2669" s="35"/>
    </row>
    <row r="2670" spans="1:39">
      <c r="B2670" s="1011" t="s">
        <v>277</v>
      </c>
      <c r="C2670" s="993" t="s">
        <v>5595</v>
      </c>
      <c r="D2670" s="3">
        <v>200105360</v>
      </c>
      <c r="E2670" s="1469" t="s">
        <v>1361</v>
      </c>
      <c r="F2670" s="802">
        <f t="shared" ref="F2670:F2687" si="40">F2669+1</f>
        <v>2</v>
      </c>
      <c r="G2670" s="1040"/>
      <c r="H2670" s="8" t="s">
        <v>60</v>
      </c>
      <c r="I2670" s="1040"/>
      <c r="J2670" s="762">
        <v>123.52</v>
      </c>
      <c r="K2670" s="953"/>
      <c r="L2670" s="953"/>
      <c r="M2670" s="1041" t="s">
        <v>2185</v>
      </c>
      <c r="N2670" s="1043">
        <v>45373</v>
      </c>
      <c r="O2670" s="8" t="s">
        <v>62</v>
      </c>
      <c r="P2670" s="953"/>
      <c r="Q2670" s="764">
        <v>3.62</v>
      </c>
      <c r="R2670" s="8"/>
      <c r="S2670" s="8"/>
      <c r="T2670" s="8"/>
      <c r="U2670" s="8"/>
      <c r="V2670" s="8"/>
      <c r="W2670" s="759"/>
      <c r="X2670" s="759"/>
      <c r="Y2670" s="759"/>
      <c r="Z2670" s="759"/>
      <c r="AA2670" s="35"/>
      <c r="AB2670" s="35"/>
      <c r="AC2670" s="35"/>
      <c r="AD2670" s="35"/>
      <c r="AE2670" s="35"/>
      <c r="AF2670" s="35"/>
      <c r="AG2670" s="35"/>
      <c r="AH2670" s="35"/>
      <c r="AI2670" s="35"/>
      <c r="AJ2670" s="35"/>
      <c r="AK2670" s="35"/>
      <c r="AL2670" s="35"/>
      <c r="AM2670" s="35"/>
    </row>
    <row r="2671" spans="1:39">
      <c r="B2671" s="1011" t="s">
        <v>277</v>
      </c>
      <c r="C2671" s="993" t="s">
        <v>5595</v>
      </c>
      <c r="D2671" s="3">
        <v>200105361</v>
      </c>
      <c r="E2671" s="1469" t="s">
        <v>1362</v>
      </c>
      <c r="F2671" s="802">
        <f t="shared" si="40"/>
        <v>3</v>
      </c>
      <c r="G2671" s="1040"/>
      <c r="H2671" s="8" t="s">
        <v>60</v>
      </c>
      <c r="I2671" s="1040"/>
      <c r="J2671" s="762">
        <v>124.35</v>
      </c>
      <c r="K2671" s="953"/>
      <c r="L2671" s="953"/>
      <c r="M2671" s="1041" t="s">
        <v>2185</v>
      </c>
      <c r="N2671" s="1043">
        <v>45373</v>
      </c>
      <c r="O2671" s="8" t="s">
        <v>62</v>
      </c>
      <c r="P2671" s="953"/>
      <c r="Q2671" s="764">
        <v>3.52</v>
      </c>
      <c r="R2671" s="8"/>
      <c r="S2671" s="8"/>
      <c r="T2671" s="8"/>
      <c r="U2671" s="8"/>
      <c r="V2671" s="8"/>
      <c r="W2671" s="759"/>
      <c r="X2671" s="759"/>
      <c r="Y2671" s="759"/>
      <c r="Z2671" s="759"/>
      <c r="AA2671" s="35"/>
      <c r="AB2671" s="35"/>
      <c r="AC2671" s="35"/>
      <c r="AD2671" s="35"/>
      <c r="AE2671" s="35"/>
      <c r="AF2671" s="35"/>
      <c r="AG2671" s="35"/>
      <c r="AH2671" s="35"/>
      <c r="AI2671" s="35"/>
      <c r="AJ2671" s="35"/>
      <c r="AK2671" s="35"/>
      <c r="AL2671" s="35"/>
      <c r="AM2671" s="35"/>
    </row>
    <row r="2672" spans="1:39">
      <c r="B2672" s="1011" t="s">
        <v>277</v>
      </c>
      <c r="C2672" s="993" t="s">
        <v>5595</v>
      </c>
      <c r="D2672" s="3">
        <v>200105362</v>
      </c>
      <c r="E2672" s="1469" t="s">
        <v>1363</v>
      </c>
      <c r="F2672" s="802">
        <f t="shared" si="40"/>
        <v>4</v>
      </c>
      <c r="G2672" s="1040"/>
      <c r="H2672" s="8" t="s">
        <v>60</v>
      </c>
      <c r="I2672" s="1040"/>
      <c r="J2672" s="762">
        <v>123.91</v>
      </c>
      <c r="K2672" s="953"/>
      <c r="L2672" s="953"/>
      <c r="M2672" s="1041" t="s">
        <v>2185</v>
      </c>
      <c r="N2672" s="1043">
        <v>45373</v>
      </c>
      <c r="O2672" s="8" t="s">
        <v>62</v>
      </c>
      <c r="P2672" s="953"/>
      <c r="Q2672" s="764">
        <v>3.44</v>
      </c>
      <c r="R2672" s="8"/>
      <c r="S2672" s="8"/>
      <c r="T2672" s="8"/>
      <c r="U2672" s="8"/>
      <c r="V2672" s="8"/>
      <c r="W2672" s="759"/>
      <c r="X2672" s="759"/>
      <c r="Y2672" s="759"/>
      <c r="Z2672" s="759"/>
      <c r="AA2672" s="35"/>
      <c r="AB2672" s="35"/>
      <c r="AC2672" s="35"/>
      <c r="AD2672" s="35"/>
      <c r="AE2672" s="35"/>
      <c r="AF2672" s="35"/>
      <c r="AG2672" s="35"/>
      <c r="AH2672" s="35"/>
      <c r="AI2672" s="35"/>
      <c r="AJ2672" s="35"/>
      <c r="AK2672" s="35"/>
      <c r="AL2672" s="35"/>
      <c r="AM2672" s="35"/>
    </row>
    <row r="2673" spans="2:39">
      <c r="B2673" s="1011" t="s">
        <v>277</v>
      </c>
      <c r="C2673" s="993" t="s">
        <v>5595</v>
      </c>
      <c r="D2673" s="3">
        <v>200105363</v>
      </c>
      <c r="E2673" s="1469" t="s">
        <v>1364</v>
      </c>
      <c r="F2673" s="802">
        <f t="shared" si="40"/>
        <v>5</v>
      </c>
      <c r="G2673" s="1040"/>
      <c r="H2673" s="8" t="s">
        <v>60</v>
      </c>
      <c r="I2673" s="1040"/>
      <c r="J2673" s="762">
        <v>121.92</v>
      </c>
      <c r="K2673" s="953"/>
      <c r="L2673" s="953"/>
      <c r="M2673" s="1041" t="s">
        <v>2185</v>
      </c>
      <c r="N2673" s="1043">
        <v>45373</v>
      </c>
      <c r="O2673" s="8" t="s">
        <v>62</v>
      </c>
      <c r="P2673" s="953"/>
      <c r="Q2673" s="764">
        <v>3.44</v>
      </c>
      <c r="R2673" s="8"/>
      <c r="S2673" s="8"/>
      <c r="T2673" s="8"/>
      <c r="U2673" s="8"/>
      <c r="V2673" s="8"/>
      <c r="W2673" s="759"/>
      <c r="X2673" s="759"/>
      <c r="Y2673" s="759"/>
      <c r="Z2673" s="759"/>
      <c r="AA2673" s="35"/>
      <c r="AB2673" s="35"/>
      <c r="AC2673" s="35"/>
      <c r="AD2673" s="35"/>
      <c r="AE2673" s="35"/>
      <c r="AF2673" s="35"/>
      <c r="AG2673" s="35"/>
      <c r="AH2673" s="35"/>
      <c r="AI2673" s="35"/>
      <c r="AJ2673" s="35"/>
      <c r="AK2673" s="35"/>
      <c r="AL2673" s="35"/>
      <c r="AM2673" s="35"/>
    </row>
    <row r="2674" spans="2:39">
      <c r="B2674" s="1011" t="s">
        <v>277</v>
      </c>
      <c r="C2674" s="993" t="s">
        <v>5595</v>
      </c>
      <c r="D2674" s="3">
        <v>200105364</v>
      </c>
      <c r="E2674" s="1469" t="s">
        <v>1365</v>
      </c>
      <c r="F2674" s="802">
        <f t="shared" si="40"/>
        <v>6</v>
      </c>
      <c r="G2674" s="1040"/>
      <c r="H2674" s="8" t="s">
        <v>60</v>
      </c>
      <c r="I2674" s="1040"/>
      <c r="J2674" s="762">
        <v>123.09</v>
      </c>
      <c r="K2674" s="953"/>
      <c r="L2674" s="953"/>
      <c r="M2674" s="1041" t="s">
        <v>2185</v>
      </c>
      <c r="N2674" s="1043">
        <v>45373</v>
      </c>
      <c r="O2674" s="8" t="s">
        <v>62</v>
      </c>
      <c r="P2674" s="953"/>
      <c r="Q2674" s="764">
        <v>3.77</v>
      </c>
      <c r="R2674" s="8"/>
      <c r="S2674" s="8"/>
      <c r="T2674" s="8"/>
      <c r="U2674" s="8"/>
      <c r="V2674" s="8"/>
      <c r="W2674" s="759"/>
      <c r="X2674" s="759"/>
      <c r="Y2674" s="759"/>
      <c r="Z2674" s="759"/>
      <c r="AA2674" s="35"/>
      <c r="AB2674" s="35"/>
      <c r="AC2674" s="35"/>
      <c r="AD2674" s="35"/>
      <c r="AE2674" s="35"/>
      <c r="AF2674" s="35"/>
      <c r="AG2674" s="35"/>
      <c r="AH2674" s="35"/>
      <c r="AI2674" s="35"/>
      <c r="AJ2674" s="35"/>
      <c r="AK2674" s="35"/>
      <c r="AL2674" s="35"/>
      <c r="AM2674" s="35"/>
    </row>
    <row r="2675" spans="2:39">
      <c r="B2675" s="1011" t="s">
        <v>277</v>
      </c>
      <c r="C2675" s="993" t="s">
        <v>5595</v>
      </c>
      <c r="D2675" s="3">
        <v>200105365</v>
      </c>
      <c r="E2675" s="1469" t="s">
        <v>1366</v>
      </c>
      <c r="F2675" s="802">
        <f t="shared" si="40"/>
        <v>7</v>
      </c>
      <c r="G2675" s="1040"/>
      <c r="H2675" s="8" t="s">
        <v>60</v>
      </c>
      <c r="I2675" s="1040"/>
      <c r="J2675" s="762">
        <v>123.74</v>
      </c>
      <c r="K2675" s="953"/>
      <c r="L2675" s="953"/>
      <c r="M2675" s="1041" t="s">
        <v>2185</v>
      </c>
      <c r="N2675" s="1043">
        <v>45373</v>
      </c>
      <c r="O2675" s="8" t="s">
        <v>62</v>
      </c>
      <c r="P2675" s="953"/>
      <c r="Q2675" s="764">
        <v>3.59</v>
      </c>
      <c r="R2675" s="8"/>
      <c r="S2675" s="8"/>
      <c r="T2675" s="8"/>
      <c r="U2675" s="8"/>
      <c r="V2675" s="8"/>
      <c r="W2675" s="759"/>
      <c r="X2675" s="759"/>
      <c r="Y2675" s="759"/>
      <c r="Z2675" s="759"/>
      <c r="AA2675" s="35"/>
      <c r="AB2675" s="35"/>
      <c r="AC2675" s="35"/>
      <c r="AD2675" s="35"/>
      <c r="AE2675" s="35"/>
      <c r="AF2675" s="35"/>
      <c r="AG2675" s="35"/>
      <c r="AH2675" s="35"/>
      <c r="AI2675" s="35"/>
      <c r="AJ2675" s="35"/>
      <c r="AK2675" s="35"/>
      <c r="AL2675" s="35"/>
      <c r="AM2675" s="35"/>
    </row>
    <row r="2676" spans="2:39">
      <c r="B2676" s="1011" t="s">
        <v>277</v>
      </c>
      <c r="C2676" s="993" t="s">
        <v>5595</v>
      </c>
      <c r="D2676" s="3">
        <v>200105366</v>
      </c>
      <c r="E2676" s="1469" t="s">
        <v>1367</v>
      </c>
      <c r="F2676" s="802">
        <f t="shared" si="40"/>
        <v>8</v>
      </c>
      <c r="G2676" s="1040"/>
      <c r="H2676" s="8" t="s">
        <v>60</v>
      </c>
      <c r="I2676" s="1040"/>
      <c r="J2676" s="762">
        <v>123.89</v>
      </c>
      <c r="K2676" s="953"/>
      <c r="L2676" s="953"/>
      <c r="M2676" s="1041" t="s">
        <v>2185</v>
      </c>
      <c r="N2676" s="1043">
        <v>45373</v>
      </c>
      <c r="O2676" s="8" t="s">
        <v>62</v>
      </c>
      <c r="P2676" s="953"/>
      <c r="Q2676" s="764">
        <v>3.62</v>
      </c>
      <c r="R2676" s="8"/>
      <c r="S2676" s="8"/>
      <c r="T2676" s="8"/>
      <c r="U2676" s="8"/>
      <c r="V2676" s="8"/>
      <c r="W2676" s="759"/>
      <c r="X2676" s="759"/>
      <c r="Y2676" s="759"/>
      <c r="Z2676" s="759"/>
      <c r="AA2676" s="35"/>
      <c r="AB2676" s="35"/>
      <c r="AC2676" s="35"/>
      <c r="AD2676" s="35"/>
      <c r="AE2676" s="35"/>
      <c r="AF2676" s="35"/>
      <c r="AG2676" s="35"/>
      <c r="AH2676" s="35"/>
      <c r="AI2676" s="35"/>
      <c r="AJ2676" s="35"/>
      <c r="AK2676" s="35"/>
      <c r="AL2676" s="35"/>
      <c r="AM2676" s="35"/>
    </row>
    <row r="2677" spans="2:39">
      <c r="B2677" s="1011" t="s">
        <v>277</v>
      </c>
      <c r="C2677" s="993" t="s">
        <v>5595</v>
      </c>
      <c r="D2677" s="3">
        <v>200105367</v>
      </c>
      <c r="E2677" s="1469" t="s">
        <v>1368</v>
      </c>
      <c r="F2677" s="802">
        <f t="shared" si="40"/>
        <v>9</v>
      </c>
      <c r="G2677" s="1040"/>
      <c r="H2677" s="8" t="s">
        <v>60</v>
      </c>
      <c r="I2677" s="1040"/>
      <c r="J2677" s="762">
        <v>125.19</v>
      </c>
      <c r="K2677" s="953"/>
      <c r="L2677" s="953"/>
      <c r="M2677" s="1041" t="s">
        <v>2185</v>
      </c>
      <c r="N2677" s="1043">
        <v>45373</v>
      </c>
      <c r="O2677" s="8" t="s">
        <v>62</v>
      </c>
      <c r="P2677" s="953"/>
      <c r="Q2677" s="764">
        <v>3.58</v>
      </c>
      <c r="R2677" s="8"/>
      <c r="S2677" s="8"/>
      <c r="T2677" s="8"/>
      <c r="U2677" s="8"/>
      <c r="V2677" s="8"/>
      <c r="W2677" s="759"/>
      <c r="X2677" s="759"/>
      <c r="Y2677" s="759"/>
      <c r="Z2677" s="759"/>
      <c r="AA2677" s="35"/>
      <c r="AB2677" s="35"/>
      <c r="AC2677" s="35"/>
      <c r="AD2677" s="35"/>
      <c r="AE2677" s="35"/>
      <c r="AF2677" s="35"/>
      <c r="AG2677" s="35"/>
      <c r="AH2677" s="35"/>
      <c r="AI2677" s="35"/>
      <c r="AJ2677" s="35"/>
      <c r="AK2677" s="35"/>
      <c r="AL2677" s="35"/>
      <c r="AM2677" s="35"/>
    </row>
    <row r="2678" spans="2:39">
      <c r="B2678" s="1011" t="s">
        <v>277</v>
      </c>
      <c r="C2678" s="993" t="s">
        <v>5595</v>
      </c>
      <c r="D2678" s="3">
        <v>200105392</v>
      </c>
      <c r="E2678" s="1469" t="s">
        <v>1369</v>
      </c>
      <c r="F2678" s="802">
        <f t="shared" si="40"/>
        <v>10</v>
      </c>
      <c r="G2678" s="1040"/>
      <c r="H2678" s="8" t="s">
        <v>60</v>
      </c>
      <c r="I2678" s="1040"/>
      <c r="J2678" s="786">
        <v>122.39</v>
      </c>
      <c r="K2678" s="953"/>
      <c r="L2678" s="953"/>
      <c r="M2678" s="1041" t="s">
        <v>2185</v>
      </c>
      <c r="N2678" s="1043">
        <v>45377</v>
      </c>
      <c r="O2678" s="8" t="s">
        <v>62</v>
      </c>
      <c r="P2678" s="953"/>
      <c r="Q2678" s="882">
        <v>3.55</v>
      </c>
      <c r="R2678" s="8"/>
      <c r="S2678" s="8"/>
      <c r="T2678" s="8"/>
      <c r="U2678" s="8"/>
      <c r="V2678" s="8"/>
      <c r="W2678" s="759"/>
      <c r="X2678" s="759"/>
      <c r="Y2678" s="759"/>
      <c r="Z2678" s="759"/>
      <c r="AA2678" s="35"/>
      <c r="AB2678" s="35"/>
      <c r="AC2678" s="35"/>
      <c r="AD2678" s="35"/>
      <c r="AE2678" s="35"/>
      <c r="AF2678" s="35"/>
      <c r="AG2678" s="35"/>
      <c r="AH2678" s="35"/>
      <c r="AI2678" s="35"/>
      <c r="AJ2678" s="35"/>
      <c r="AK2678" s="35"/>
      <c r="AL2678" s="35"/>
      <c r="AM2678" s="35"/>
    </row>
    <row r="2679" spans="2:39">
      <c r="B2679" s="1011" t="s">
        <v>277</v>
      </c>
      <c r="C2679" s="993" t="s">
        <v>5595</v>
      </c>
      <c r="D2679" s="3">
        <v>200105393</v>
      </c>
      <c r="E2679" s="1469" t="s">
        <v>1370</v>
      </c>
      <c r="F2679" s="802">
        <f t="shared" si="40"/>
        <v>11</v>
      </c>
      <c r="G2679" s="1040"/>
      <c r="H2679" s="8" t="s">
        <v>60</v>
      </c>
      <c r="I2679" s="1040"/>
      <c r="J2679" s="786">
        <v>122.27</v>
      </c>
      <c r="K2679" s="953"/>
      <c r="L2679" s="953"/>
      <c r="M2679" s="1041" t="s">
        <v>2185</v>
      </c>
      <c r="N2679" s="1043">
        <v>45377</v>
      </c>
      <c r="O2679" s="8" t="s">
        <v>62</v>
      </c>
      <c r="P2679" s="953"/>
      <c r="Q2679" s="882">
        <v>3.73</v>
      </c>
      <c r="R2679" s="8"/>
      <c r="S2679" s="8"/>
      <c r="T2679" s="8"/>
      <c r="U2679" s="8"/>
      <c r="V2679" s="8"/>
      <c r="W2679" s="759"/>
      <c r="X2679" s="759"/>
      <c r="Y2679" s="759"/>
      <c r="Z2679" s="759"/>
      <c r="AA2679" s="35"/>
      <c r="AB2679" s="35"/>
      <c r="AC2679" s="35"/>
      <c r="AD2679" s="35"/>
      <c r="AE2679" s="35"/>
      <c r="AF2679" s="35"/>
      <c r="AG2679" s="35"/>
      <c r="AH2679" s="35"/>
      <c r="AI2679" s="35"/>
      <c r="AJ2679" s="35"/>
      <c r="AK2679" s="35"/>
      <c r="AL2679" s="35"/>
      <c r="AM2679" s="35"/>
    </row>
    <row r="2680" spans="2:39">
      <c r="B2680" s="1011" t="s">
        <v>277</v>
      </c>
      <c r="C2680" s="993" t="s">
        <v>5595</v>
      </c>
      <c r="D2680" s="3">
        <v>200105394</v>
      </c>
      <c r="E2680" s="1469" t="s">
        <v>1371</v>
      </c>
      <c r="F2680" s="802">
        <f t="shared" si="40"/>
        <v>12</v>
      </c>
      <c r="G2680" s="1040"/>
      <c r="H2680" s="8" t="s">
        <v>60</v>
      </c>
      <c r="I2680" s="1040"/>
      <c r="J2680" s="786">
        <v>122.49</v>
      </c>
      <c r="K2680" s="953"/>
      <c r="L2680" s="953"/>
      <c r="M2680" s="1041" t="s">
        <v>2185</v>
      </c>
      <c r="N2680" s="1043">
        <v>45377</v>
      </c>
      <c r="O2680" s="8" t="s">
        <v>62</v>
      </c>
      <c r="P2680" s="953"/>
      <c r="Q2680" s="882">
        <v>3.57</v>
      </c>
      <c r="R2680" s="8"/>
      <c r="S2680" s="8"/>
      <c r="T2680" s="8"/>
      <c r="U2680" s="8"/>
      <c r="V2680" s="8"/>
      <c r="W2680" s="759"/>
      <c r="X2680" s="759"/>
      <c r="Y2680" s="759"/>
      <c r="Z2680" s="759"/>
      <c r="AA2680" s="35"/>
      <c r="AB2680" s="35"/>
      <c r="AC2680" s="35"/>
      <c r="AD2680" s="35"/>
      <c r="AE2680" s="35"/>
      <c r="AF2680" s="35"/>
      <c r="AG2680" s="35"/>
      <c r="AH2680" s="35"/>
      <c r="AI2680" s="35"/>
      <c r="AJ2680" s="35"/>
      <c r="AK2680" s="35"/>
      <c r="AL2680" s="35"/>
      <c r="AM2680" s="35"/>
    </row>
    <row r="2681" spans="2:39">
      <c r="B2681" s="1011" t="s">
        <v>277</v>
      </c>
      <c r="C2681" s="993" t="s">
        <v>5595</v>
      </c>
      <c r="D2681" s="3">
        <v>200105395</v>
      </c>
      <c r="E2681" s="1469" t="s">
        <v>1372</v>
      </c>
      <c r="F2681" s="802">
        <f t="shared" si="40"/>
        <v>13</v>
      </c>
      <c r="G2681" s="1040"/>
      <c r="H2681" s="8" t="s">
        <v>60</v>
      </c>
      <c r="I2681" s="1040"/>
      <c r="J2681" s="786">
        <v>122.5</v>
      </c>
      <c r="K2681" s="953"/>
      <c r="L2681" s="953"/>
      <c r="M2681" s="1041" t="s">
        <v>2185</v>
      </c>
      <c r="N2681" s="1043">
        <v>45377</v>
      </c>
      <c r="O2681" s="8" t="s">
        <v>62</v>
      </c>
      <c r="P2681" s="953"/>
      <c r="Q2681" s="882">
        <v>3.72</v>
      </c>
      <c r="R2681" s="8"/>
      <c r="S2681" s="8"/>
      <c r="T2681" s="8"/>
      <c r="U2681" s="8"/>
      <c r="V2681" s="8"/>
      <c r="W2681" s="759"/>
      <c r="X2681" s="759"/>
      <c r="Y2681" s="759"/>
      <c r="Z2681" s="759"/>
      <c r="AA2681" s="35"/>
      <c r="AB2681" s="35"/>
      <c r="AC2681" s="35"/>
      <c r="AD2681" s="35"/>
      <c r="AE2681" s="35"/>
      <c r="AF2681" s="35"/>
      <c r="AG2681" s="35"/>
      <c r="AH2681" s="35"/>
      <c r="AI2681" s="35"/>
      <c r="AJ2681" s="35"/>
      <c r="AK2681" s="35"/>
      <c r="AL2681" s="35"/>
      <c r="AM2681" s="35"/>
    </row>
    <row r="2682" spans="2:39">
      <c r="B2682" s="1011" t="s">
        <v>277</v>
      </c>
      <c r="C2682" s="993" t="s">
        <v>5595</v>
      </c>
      <c r="D2682" s="3">
        <v>200105396</v>
      </c>
      <c r="E2682" s="1469" t="s">
        <v>1373</v>
      </c>
      <c r="F2682" s="802">
        <f t="shared" si="40"/>
        <v>14</v>
      </c>
      <c r="G2682" s="1040"/>
      <c r="H2682" s="8" t="s">
        <v>60</v>
      </c>
      <c r="I2682" s="1040"/>
      <c r="J2682" s="762">
        <v>123.7</v>
      </c>
      <c r="K2682" s="953"/>
      <c r="L2682" s="953"/>
      <c r="M2682" s="1041" t="s">
        <v>2185</v>
      </c>
      <c r="N2682" s="1043">
        <v>45378</v>
      </c>
      <c r="O2682" s="8" t="s">
        <v>62</v>
      </c>
      <c r="P2682" s="953"/>
      <c r="Q2682" s="1044">
        <v>3.64</v>
      </c>
      <c r="R2682" s="8"/>
      <c r="S2682" s="8"/>
      <c r="T2682" s="8"/>
      <c r="U2682" s="8"/>
      <c r="V2682" s="8"/>
      <c r="W2682" s="759"/>
      <c r="X2682" s="759"/>
      <c r="Y2682" s="759"/>
      <c r="Z2682" s="759"/>
      <c r="AA2682" s="35"/>
      <c r="AB2682" s="35"/>
      <c r="AC2682" s="35"/>
      <c r="AD2682" s="35"/>
      <c r="AE2682" s="35"/>
      <c r="AF2682" s="35"/>
      <c r="AG2682" s="35"/>
      <c r="AH2682" s="35"/>
      <c r="AI2682" s="35"/>
      <c r="AJ2682" s="35"/>
      <c r="AK2682" s="35"/>
      <c r="AL2682" s="35"/>
      <c r="AM2682" s="35"/>
    </row>
    <row r="2683" spans="2:39">
      <c r="B2683" s="1011" t="s">
        <v>277</v>
      </c>
      <c r="C2683" s="993" t="s">
        <v>5595</v>
      </c>
      <c r="D2683" s="3">
        <v>200105397</v>
      </c>
      <c r="E2683" s="1469" t="s">
        <v>1374</v>
      </c>
      <c r="F2683" s="802">
        <f t="shared" si="40"/>
        <v>15</v>
      </c>
      <c r="G2683" s="1040"/>
      <c r="H2683" s="8" t="s">
        <v>60</v>
      </c>
      <c r="I2683" s="1040"/>
      <c r="J2683" s="762">
        <v>124.92</v>
      </c>
      <c r="K2683" s="953"/>
      <c r="L2683" s="953"/>
      <c r="M2683" s="1041" t="s">
        <v>2185</v>
      </c>
      <c r="N2683" s="1043">
        <v>45378</v>
      </c>
      <c r="O2683" s="8" t="s">
        <v>62</v>
      </c>
      <c r="P2683" s="953"/>
      <c r="Q2683" s="1044">
        <v>3.69</v>
      </c>
      <c r="R2683" s="8"/>
      <c r="S2683" s="8"/>
      <c r="T2683" s="8"/>
      <c r="U2683" s="8"/>
      <c r="V2683" s="8"/>
      <c r="W2683" s="759"/>
      <c r="X2683" s="759"/>
      <c r="Y2683" s="759"/>
      <c r="Z2683" s="759"/>
      <c r="AA2683" s="35"/>
      <c r="AB2683" s="35"/>
      <c r="AC2683" s="35"/>
      <c r="AD2683" s="35"/>
      <c r="AE2683" s="35"/>
      <c r="AF2683" s="35"/>
      <c r="AG2683" s="35"/>
      <c r="AH2683" s="35"/>
      <c r="AI2683" s="35"/>
      <c r="AJ2683" s="35"/>
      <c r="AK2683" s="35"/>
      <c r="AL2683" s="35"/>
      <c r="AM2683" s="35"/>
    </row>
    <row r="2684" spans="2:39">
      <c r="B2684" s="1011" t="s">
        <v>277</v>
      </c>
      <c r="C2684" s="993" t="s">
        <v>5595</v>
      </c>
      <c r="D2684" s="3">
        <v>200105398</v>
      </c>
      <c r="E2684" s="1469" t="s">
        <v>1375</v>
      </c>
      <c r="F2684" s="802">
        <f t="shared" si="40"/>
        <v>16</v>
      </c>
      <c r="G2684" s="1040"/>
      <c r="H2684" s="8" t="s">
        <v>60</v>
      </c>
      <c r="I2684" s="1040"/>
      <c r="J2684" s="762">
        <v>124.2</v>
      </c>
      <c r="K2684" s="953"/>
      <c r="L2684" s="953"/>
      <c r="M2684" s="1041" t="s">
        <v>2185</v>
      </c>
      <c r="N2684" s="1043">
        <v>45378</v>
      </c>
      <c r="O2684" s="8" t="s">
        <v>62</v>
      </c>
      <c r="P2684" s="953"/>
      <c r="Q2684" s="1044">
        <v>3.68</v>
      </c>
      <c r="R2684" s="8"/>
      <c r="S2684" s="8"/>
      <c r="T2684" s="8"/>
      <c r="U2684" s="8"/>
      <c r="V2684" s="8"/>
      <c r="W2684" s="759"/>
      <c r="X2684" s="759"/>
      <c r="Y2684" s="759"/>
      <c r="Z2684" s="759"/>
      <c r="AA2684" s="35"/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5"/>
      <c r="AM2684" s="35"/>
    </row>
    <row r="2685" spans="2:39">
      <c r="B2685" s="1011" t="s">
        <v>277</v>
      </c>
      <c r="C2685" s="993" t="s">
        <v>5595</v>
      </c>
      <c r="D2685" s="3">
        <v>200105399</v>
      </c>
      <c r="E2685" s="1469" t="s">
        <v>1376</v>
      </c>
      <c r="F2685" s="802">
        <f t="shared" si="40"/>
        <v>17</v>
      </c>
      <c r="G2685" s="1040"/>
      <c r="H2685" s="8" t="s">
        <v>60</v>
      </c>
      <c r="I2685" s="1040"/>
      <c r="J2685" s="762">
        <v>125.89</v>
      </c>
      <c r="K2685" s="953"/>
      <c r="L2685" s="953"/>
      <c r="M2685" s="1041" t="s">
        <v>2185</v>
      </c>
      <c r="N2685" s="1043">
        <v>45378</v>
      </c>
      <c r="O2685" s="8" t="s">
        <v>62</v>
      </c>
      <c r="P2685" s="953"/>
      <c r="Q2685" s="1044">
        <v>3.72</v>
      </c>
      <c r="R2685" s="8"/>
      <c r="S2685" s="8"/>
      <c r="T2685" s="8"/>
      <c r="U2685" s="8"/>
      <c r="V2685" s="8"/>
      <c r="W2685" s="759"/>
      <c r="X2685" s="759"/>
      <c r="Y2685" s="759"/>
      <c r="Z2685" s="759"/>
      <c r="AA2685" s="35"/>
      <c r="AB2685" s="35"/>
      <c r="AC2685" s="35"/>
      <c r="AD2685" s="35"/>
      <c r="AE2685" s="35"/>
      <c r="AF2685" s="35"/>
      <c r="AG2685" s="35"/>
      <c r="AH2685" s="35"/>
      <c r="AI2685" s="35"/>
      <c r="AJ2685" s="35"/>
      <c r="AK2685" s="35"/>
      <c r="AL2685" s="35"/>
      <c r="AM2685" s="35"/>
    </row>
    <row r="2686" spans="2:39">
      <c r="B2686" s="1011" t="s">
        <v>277</v>
      </c>
      <c r="C2686" s="993" t="s">
        <v>5595</v>
      </c>
      <c r="D2686" s="3">
        <v>200105420</v>
      </c>
      <c r="E2686" s="1469" t="s">
        <v>1377</v>
      </c>
      <c r="F2686" s="802">
        <f t="shared" si="40"/>
        <v>18</v>
      </c>
      <c r="G2686" s="1040"/>
      <c r="H2686" s="8" t="s">
        <v>60</v>
      </c>
      <c r="I2686" s="1040"/>
      <c r="J2686" s="762">
        <v>126.38</v>
      </c>
      <c r="K2686" s="953"/>
      <c r="L2686" s="953"/>
      <c r="M2686" s="1041" t="s">
        <v>2185</v>
      </c>
      <c r="N2686" s="1043">
        <v>45378</v>
      </c>
      <c r="O2686" s="8" t="s">
        <v>62</v>
      </c>
      <c r="P2686" s="953"/>
      <c r="Q2686" s="1044">
        <v>3.69</v>
      </c>
      <c r="R2686" s="8"/>
      <c r="S2686" s="8"/>
      <c r="T2686" s="8"/>
      <c r="U2686" s="8"/>
      <c r="V2686" s="8"/>
      <c r="W2686" s="759"/>
      <c r="X2686" s="759"/>
      <c r="Y2686" s="759"/>
      <c r="Z2686" s="759"/>
      <c r="AA2686" s="35"/>
      <c r="AB2686" s="35"/>
      <c r="AC2686" s="35"/>
      <c r="AD2686" s="35"/>
      <c r="AE2686" s="35"/>
      <c r="AF2686" s="35"/>
      <c r="AG2686" s="35"/>
      <c r="AH2686" s="35"/>
      <c r="AI2686" s="35"/>
      <c r="AJ2686" s="35"/>
      <c r="AK2686" s="35"/>
      <c r="AL2686" s="35"/>
      <c r="AM2686" s="35"/>
    </row>
    <row r="2687" spans="2:39">
      <c r="B2687" s="1011" t="s">
        <v>277</v>
      </c>
      <c r="C2687" s="993" t="s">
        <v>5595</v>
      </c>
      <c r="D2687" s="3">
        <v>200105421</v>
      </c>
      <c r="E2687" s="1469" t="s">
        <v>1378</v>
      </c>
      <c r="F2687" s="802">
        <f t="shared" si="40"/>
        <v>19</v>
      </c>
      <c r="G2687" s="1040"/>
      <c r="H2687" s="8" t="s">
        <v>60</v>
      </c>
      <c r="I2687" s="1040"/>
      <c r="J2687" s="786">
        <v>122.5</v>
      </c>
      <c r="K2687" s="953"/>
      <c r="L2687" s="953"/>
      <c r="M2687" s="1041" t="s">
        <v>2185</v>
      </c>
      <c r="N2687" s="1043">
        <v>45379</v>
      </c>
      <c r="O2687" s="8" t="s">
        <v>62</v>
      </c>
      <c r="P2687" s="953"/>
      <c r="Q2687" s="882">
        <v>3.68</v>
      </c>
      <c r="R2687" s="8"/>
      <c r="S2687" s="8"/>
      <c r="T2687" s="8"/>
      <c r="U2687" s="8"/>
      <c r="V2687" s="8"/>
      <c r="W2687" s="759"/>
      <c r="X2687" s="759"/>
      <c r="Y2687" s="759"/>
      <c r="Z2687" s="759"/>
      <c r="AA2687" s="35"/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5"/>
      <c r="AM2687" s="35"/>
    </row>
    <row r="2688" spans="2:39">
      <c r="B2688" s="1011" t="s">
        <v>277</v>
      </c>
      <c r="C2688" s="993" t="s">
        <v>5595</v>
      </c>
      <c r="D2688" s="3">
        <v>200105234</v>
      </c>
      <c r="E2688" s="1469" t="s">
        <v>1379</v>
      </c>
      <c r="F2688" s="802">
        <f t="shared" ref="F2688:F2702" si="41">F2687+1</f>
        <v>20</v>
      </c>
      <c r="G2688" s="1040"/>
      <c r="H2688" s="8" t="s">
        <v>60</v>
      </c>
      <c r="I2688" s="1040"/>
      <c r="J2688" s="786">
        <v>122.91</v>
      </c>
      <c r="K2688" s="953"/>
      <c r="L2688" s="953"/>
      <c r="M2688" s="1041" t="s">
        <v>2185</v>
      </c>
      <c r="N2688" s="1043">
        <v>45379</v>
      </c>
      <c r="O2688" s="8" t="s">
        <v>62</v>
      </c>
      <c r="P2688" s="953"/>
      <c r="Q2688" s="882">
        <v>3.67</v>
      </c>
      <c r="R2688" s="8"/>
      <c r="S2688" s="8"/>
      <c r="T2688" s="8"/>
      <c r="U2688" s="8"/>
      <c r="V2688" s="8"/>
      <c r="W2688" s="759"/>
      <c r="X2688" s="759"/>
      <c r="Y2688" s="759"/>
      <c r="Z2688" s="759"/>
      <c r="AA2688" s="35"/>
      <c r="AB2688" s="35"/>
      <c r="AC2688" s="35"/>
      <c r="AD2688" s="35"/>
      <c r="AE2688" s="35"/>
      <c r="AF2688" s="35"/>
      <c r="AG2688" s="35"/>
      <c r="AH2688" s="35"/>
      <c r="AI2688" s="35"/>
      <c r="AJ2688" s="35"/>
      <c r="AK2688" s="35"/>
      <c r="AL2688" s="35"/>
      <c r="AM2688" s="35"/>
    </row>
    <row r="2689" spans="2:39">
      <c r="B2689" s="1011" t="s">
        <v>277</v>
      </c>
      <c r="C2689" s="993" t="s">
        <v>5595</v>
      </c>
      <c r="D2689" s="3">
        <v>200105235</v>
      </c>
      <c r="E2689" s="1469" t="s">
        <v>1380</v>
      </c>
      <c r="F2689" s="802">
        <f t="shared" si="41"/>
        <v>21</v>
      </c>
      <c r="G2689" s="1040"/>
      <c r="H2689" s="8" t="s">
        <v>60</v>
      </c>
      <c r="I2689" s="1040"/>
      <c r="J2689" s="786">
        <v>122.73</v>
      </c>
      <c r="K2689" s="953"/>
      <c r="L2689" s="953"/>
      <c r="M2689" s="1041" t="s">
        <v>2185</v>
      </c>
      <c r="N2689" s="1043">
        <v>45379</v>
      </c>
      <c r="O2689" s="8" t="s">
        <v>62</v>
      </c>
      <c r="P2689" s="953"/>
      <c r="Q2689" s="882">
        <v>3.67</v>
      </c>
      <c r="R2689" s="8"/>
      <c r="S2689" s="8"/>
      <c r="T2689" s="8"/>
      <c r="U2689" s="8"/>
      <c r="V2689" s="8"/>
      <c r="W2689" s="759"/>
      <c r="X2689" s="759"/>
      <c r="Y2689" s="759"/>
      <c r="Z2689" s="759"/>
      <c r="AA2689" s="35"/>
      <c r="AB2689" s="35"/>
      <c r="AC2689" s="35"/>
      <c r="AD2689" s="35"/>
      <c r="AE2689" s="35"/>
      <c r="AF2689" s="35"/>
      <c r="AG2689" s="35"/>
      <c r="AH2689" s="35"/>
      <c r="AI2689" s="35"/>
      <c r="AJ2689" s="35"/>
      <c r="AK2689" s="35"/>
      <c r="AL2689" s="35"/>
      <c r="AM2689" s="35"/>
    </row>
    <row r="2690" spans="2:39">
      <c r="B2690" s="1011" t="s">
        <v>277</v>
      </c>
      <c r="C2690" s="993" t="s">
        <v>5595</v>
      </c>
      <c r="D2690" s="3">
        <v>200105236</v>
      </c>
      <c r="E2690" s="1469" t="s">
        <v>1381</v>
      </c>
      <c r="F2690" s="802">
        <f t="shared" si="41"/>
        <v>22</v>
      </c>
      <c r="G2690" s="1040"/>
      <c r="H2690" s="8" t="s">
        <v>60</v>
      </c>
      <c r="I2690" s="1040"/>
      <c r="J2690" s="786">
        <v>125.49</v>
      </c>
      <c r="K2690" s="953"/>
      <c r="L2690" s="953"/>
      <c r="M2690" s="1041" t="s">
        <v>2185</v>
      </c>
      <c r="N2690" s="1043">
        <v>45379</v>
      </c>
      <c r="O2690" s="8" t="s">
        <v>62</v>
      </c>
      <c r="P2690" s="953"/>
      <c r="Q2690" s="882">
        <v>3.4</v>
      </c>
      <c r="R2690" s="8"/>
      <c r="S2690" s="8"/>
      <c r="T2690" s="8"/>
      <c r="U2690" s="8"/>
      <c r="V2690" s="8"/>
      <c r="W2690" s="759"/>
      <c r="X2690" s="759"/>
      <c r="Y2690" s="759"/>
      <c r="Z2690" s="759"/>
      <c r="AA2690" s="35"/>
      <c r="AB2690" s="35"/>
      <c r="AC2690" s="35"/>
      <c r="AD2690" s="35"/>
      <c r="AE2690" s="35"/>
      <c r="AF2690" s="35"/>
      <c r="AG2690" s="35"/>
      <c r="AH2690" s="35"/>
      <c r="AI2690" s="35"/>
      <c r="AJ2690" s="35"/>
      <c r="AK2690" s="35"/>
      <c r="AL2690" s="35"/>
      <c r="AM2690" s="35"/>
    </row>
    <row r="2691" spans="2:39">
      <c r="B2691" s="1011" t="s">
        <v>277</v>
      </c>
      <c r="C2691" s="993" t="s">
        <v>5595</v>
      </c>
      <c r="D2691" s="3">
        <v>200105237</v>
      </c>
      <c r="E2691" s="1469" t="s">
        <v>1383</v>
      </c>
      <c r="F2691" s="802">
        <f t="shared" si="41"/>
        <v>23</v>
      </c>
      <c r="G2691" s="1040"/>
      <c r="H2691" s="8" t="s">
        <v>60</v>
      </c>
      <c r="I2691" s="1040"/>
      <c r="J2691" s="786">
        <v>125.51</v>
      </c>
      <c r="K2691" s="953"/>
      <c r="L2691" s="953"/>
      <c r="M2691" s="1041" t="s">
        <v>2185</v>
      </c>
      <c r="N2691" s="1043">
        <v>45379</v>
      </c>
      <c r="O2691" s="8" t="s">
        <v>62</v>
      </c>
      <c r="P2691" s="953"/>
      <c r="Q2691" s="882">
        <v>3.77</v>
      </c>
      <c r="R2691" s="8"/>
      <c r="S2691" s="8"/>
      <c r="T2691" s="8"/>
      <c r="U2691" s="8"/>
      <c r="V2691" s="8"/>
      <c r="W2691" s="759"/>
      <c r="X2691" s="759"/>
      <c r="Y2691" s="759"/>
      <c r="Z2691" s="759"/>
      <c r="AA2691" s="35"/>
      <c r="AB2691" s="35"/>
      <c r="AC2691" s="35"/>
      <c r="AD2691" s="35"/>
      <c r="AE2691" s="35"/>
      <c r="AF2691" s="35"/>
      <c r="AG2691" s="35"/>
      <c r="AH2691" s="35"/>
      <c r="AI2691" s="35"/>
      <c r="AJ2691" s="35"/>
      <c r="AK2691" s="35"/>
      <c r="AL2691" s="35"/>
      <c r="AM2691" s="35"/>
    </row>
    <row r="2692" spans="2:39">
      <c r="B2692" s="1011" t="s">
        <v>277</v>
      </c>
      <c r="C2692" s="993" t="s">
        <v>5595</v>
      </c>
      <c r="D2692" s="3">
        <v>200105238</v>
      </c>
      <c r="E2692" s="1469" t="s">
        <v>1384</v>
      </c>
      <c r="F2692" s="802">
        <f t="shared" si="41"/>
        <v>24</v>
      </c>
      <c r="G2692" s="1040"/>
      <c r="H2692" s="8" t="s">
        <v>60</v>
      </c>
      <c r="I2692" s="1040"/>
      <c r="J2692" s="786">
        <v>123.34</v>
      </c>
      <c r="K2692" s="953"/>
      <c r="L2692" s="953"/>
      <c r="M2692" s="8" t="s">
        <v>2272</v>
      </c>
      <c r="N2692" s="1043">
        <v>45383</v>
      </c>
      <c r="O2692" s="8" t="s">
        <v>62</v>
      </c>
      <c r="P2692" s="953"/>
      <c r="Q2692" s="882">
        <v>3.79</v>
      </c>
      <c r="R2692" s="8"/>
      <c r="S2692" s="8"/>
      <c r="T2692" s="8"/>
      <c r="U2692" s="8"/>
      <c r="V2692" s="8"/>
      <c r="W2692" s="759"/>
      <c r="X2692" s="759"/>
      <c r="Y2692" s="759"/>
      <c r="Z2692" s="759"/>
      <c r="AA2692" s="35"/>
      <c r="AB2692" s="35"/>
      <c r="AC2692" s="35"/>
      <c r="AD2692" s="35"/>
      <c r="AE2692" s="35"/>
      <c r="AF2692" s="35"/>
      <c r="AG2692" s="35"/>
      <c r="AH2692" s="35"/>
      <c r="AI2692" s="35"/>
      <c r="AJ2692" s="35"/>
      <c r="AK2692" s="35"/>
      <c r="AL2692" s="35"/>
      <c r="AM2692" s="35"/>
    </row>
    <row r="2693" spans="2:39">
      <c r="B2693" s="1011" t="s">
        <v>277</v>
      </c>
      <c r="C2693" s="993" t="s">
        <v>5595</v>
      </c>
      <c r="D2693" s="3">
        <v>200105457</v>
      </c>
      <c r="E2693" s="1469" t="s">
        <v>1385</v>
      </c>
      <c r="F2693" s="802">
        <f t="shared" si="41"/>
        <v>25</v>
      </c>
      <c r="G2693" s="1040"/>
      <c r="H2693" s="8" t="s">
        <v>60</v>
      </c>
      <c r="I2693" s="1040"/>
      <c r="J2693" s="3">
        <v>121.47</v>
      </c>
      <c r="K2693" s="953"/>
      <c r="L2693" s="953"/>
      <c r="M2693" s="8" t="s">
        <v>2272</v>
      </c>
      <c r="N2693" s="1043">
        <v>45383</v>
      </c>
      <c r="O2693" s="8" t="s">
        <v>62</v>
      </c>
      <c r="P2693" s="953"/>
      <c r="Q2693" s="786">
        <v>3.78</v>
      </c>
      <c r="R2693" s="8"/>
      <c r="S2693" s="8"/>
      <c r="T2693" s="8"/>
      <c r="U2693" s="8"/>
      <c r="V2693" s="8"/>
      <c r="W2693" s="759"/>
      <c r="X2693" s="759"/>
      <c r="Y2693" s="759"/>
      <c r="Z2693" s="759"/>
      <c r="AA2693" s="35"/>
      <c r="AB2693" s="35"/>
      <c r="AC2693" s="35"/>
      <c r="AD2693" s="35"/>
      <c r="AE2693" s="35"/>
      <c r="AF2693" s="35"/>
      <c r="AG2693" s="35"/>
      <c r="AH2693" s="35"/>
      <c r="AI2693" s="35"/>
      <c r="AJ2693" s="35"/>
      <c r="AK2693" s="35"/>
      <c r="AL2693" s="35"/>
      <c r="AM2693" s="35"/>
    </row>
    <row r="2694" spans="2:39">
      <c r="B2694" s="1011" t="s">
        <v>277</v>
      </c>
      <c r="C2694" s="993" t="s">
        <v>5595</v>
      </c>
      <c r="D2694" s="3">
        <v>200105458</v>
      </c>
      <c r="E2694" s="1469" t="s">
        <v>1386</v>
      </c>
      <c r="F2694" s="802">
        <f t="shared" si="41"/>
        <v>26</v>
      </c>
      <c r="G2694" s="1040"/>
      <c r="H2694" s="8" t="s">
        <v>60</v>
      </c>
      <c r="I2694" s="1040"/>
      <c r="J2694" s="785">
        <v>122.51</v>
      </c>
      <c r="K2694" s="953"/>
      <c r="L2694" s="953"/>
      <c r="M2694" s="8" t="s">
        <v>2272</v>
      </c>
      <c r="N2694" s="1043">
        <v>45384</v>
      </c>
      <c r="O2694" s="8" t="s">
        <v>62</v>
      </c>
      <c r="P2694" s="953"/>
      <c r="Q2694" s="786">
        <v>3.46</v>
      </c>
      <c r="R2694" s="8"/>
      <c r="S2694" s="8"/>
      <c r="T2694" s="8"/>
      <c r="U2694" s="8"/>
      <c r="V2694" s="8"/>
      <c r="W2694" s="759"/>
      <c r="X2694" s="759"/>
      <c r="Y2694" s="759"/>
      <c r="Z2694" s="759"/>
      <c r="AA2694" s="35"/>
      <c r="AB2694" s="35"/>
      <c r="AC2694" s="35"/>
      <c r="AD2694" s="35"/>
      <c r="AE2694" s="35"/>
      <c r="AF2694" s="35"/>
      <c r="AG2694" s="35"/>
      <c r="AH2694" s="35"/>
      <c r="AI2694" s="35"/>
      <c r="AJ2694" s="35"/>
      <c r="AK2694" s="35"/>
      <c r="AL2694" s="35"/>
      <c r="AM2694" s="35"/>
    </row>
    <row r="2695" spans="2:39">
      <c r="B2695" s="1011" t="s">
        <v>277</v>
      </c>
      <c r="C2695" s="993" t="s">
        <v>5595</v>
      </c>
      <c r="D2695" s="3">
        <v>200105459</v>
      </c>
      <c r="E2695" s="1469" t="s">
        <v>1387</v>
      </c>
      <c r="F2695" s="802">
        <f t="shared" si="41"/>
        <v>27</v>
      </c>
      <c r="G2695" s="1040"/>
      <c r="H2695" s="8" t="s">
        <v>60</v>
      </c>
      <c r="I2695" s="1040"/>
      <c r="J2695" s="785">
        <v>121.5</v>
      </c>
      <c r="K2695" s="953"/>
      <c r="L2695" s="953"/>
      <c r="M2695" s="8" t="s">
        <v>2272</v>
      </c>
      <c r="N2695" s="1043">
        <v>45384</v>
      </c>
      <c r="O2695" s="8" t="s">
        <v>62</v>
      </c>
      <c r="P2695" s="953"/>
      <c r="Q2695" s="786">
        <v>3.63</v>
      </c>
      <c r="R2695" s="8"/>
      <c r="S2695" s="8"/>
      <c r="T2695" s="8"/>
      <c r="U2695" s="8"/>
      <c r="V2695" s="8"/>
      <c r="W2695" s="759"/>
      <c r="X2695" s="759"/>
      <c r="Y2695" s="759"/>
      <c r="Z2695" s="759"/>
      <c r="AA2695" s="35"/>
      <c r="AB2695" s="35"/>
      <c r="AC2695" s="35"/>
      <c r="AD2695" s="35"/>
      <c r="AE2695" s="35"/>
      <c r="AF2695" s="35"/>
      <c r="AG2695" s="35"/>
      <c r="AH2695" s="35"/>
      <c r="AI2695" s="35"/>
      <c r="AJ2695" s="35"/>
      <c r="AK2695" s="35"/>
      <c r="AL2695" s="35"/>
      <c r="AM2695" s="35"/>
    </row>
    <row r="2696" spans="2:39">
      <c r="B2696" s="1011" t="s">
        <v>277</v>
      </c>
      <c r="C2696" s="993" t="s">
        <v>5595</v>
      </c>
      <c r="D2696" s="3">
        <v>200105480</v>
      </c>
      <c r="E2696" s="1469" t="s">
        <v>1388</v>
      </c>
      <c r="F2696" s="802">
        <f t="shared" si="41"/>
        <v>28</v>
      </c>
      <c r="G2696" s="1040"/>
      <c r="H2696" s="8" t="s">
        <v>60</v>
      </c>
      <c r="I2696" s="1040"/>
      <c r="J2696" s="785">
        <v>121.79</v>
      </c>
      <c r="K2696" s="953"/>
      <c r="L2696" s="953"/>
      <c r="M2696" s="8" t="s">
        <v>2272</v>
      </c>
      <c r="N2696" s="1043">
        <v>45384</v>
      </c>
      <c r="O2696" s="8" t="s">
        <v>62</v>
      </c>
      <c r="P2696" s="953"/>
      <c r="Q2696" s="786">
        <v>3.41</v>
      </c>
      <c r="R2696" s="8"/>
      <c r="S2696" s="8"/>
      <c r="T2696" s="8"/>
      <c r="U2696" s="8"/>
      <c r="V2696" s="8"/>
      <c r="W2696" s="759"/>
      <c r="X2696" s="759"/>
      <c r="Y2696" s="759"/>
      <c r="Z2696" s="759"/>
      <c r="AA2696" s="35"/>
      <c r="AB2696" s="35"/>
      <c r="AC2696" s="35"/>
      <c r="AD2696" s="35"/>
      <c r="AE2696" s="35"/>
      <c r="AF2696" s="35"/>
      <c r="AG2696" s="35"/>
      <c r="AH2696" s="35"/>
      <c r="AI2696" s="35"/>
      <c r="AJ2696" s="35"/>
      <c r="AK2696" s="35"/>
      <c r="AL2696" s="35"/>
      <c r="AM2696" s="35"/>
    </row>
    <row r="2697" spans="2:39">
      <c r="B2697" s="1011" t="s">
        <v>277</v>
      </c>
      <c r="C2697" s="993" t="s">
        <v>5595</v>
      </c>
      <c r="D2697" s="3">
        <v>200105481</v>
      </c>
      <c r="E2697" s="1469" t="s">
        <v>1389</v>
      </c>
      <c r="F2697" s="802">
        <f t="shared" si="41"/>
        <v>29</v>
      </c>
      <c r="G2697" s="1040"/>
      <c r="H2697" s="8" t="s">
        <v>60</v>
      </c>
      <c r="I2697" s="1040"/>
      <c r="J2697" s="785">
        <v>125.47</v>
      </c>
      <c r="K2697" s="953"/>
      <c r="L2697" s="953"/>
      <c r="M2697" s="8" t="s">
        <v>2272</v>
      </c>
      <c r="N2697" s="1043">
        <v>45384</v>
      </c>
      <c r="O2697" s="8" t="s">
        <v>62</v>
      </c>
      <c r="P2697" s="953"/>
      <c r="Q2697" s="786">
        <v>3.77</v>
      </c>
      <c r="R2697" s="8"/>
      <c r="S2697" s="8"/>
      <c r="T2697" s="8"/>
      <c r="U2697" s="8"/>
      <c r="V2697" s="8"/>
      <c r="W2697" s="759"/>
      <c r="X2697" s="759"/>
      <c r="Y2697" s="759"/>
      <c r="Z2697" s="759"/>
      <c r="AA2697" s="35"/>
      <c r="AB2697" s="35"/>
      <c r="AC2697" s="35"/>
      <c r="AD2697" s="35"/>
      <c r="AE2697" s="35"/>
      <c r="AF2697" s="35"/>
      <c r="AG2697" s="35"/>
      <c r="AH2697" s="35"/>
      <c r="AI2697" s="35"/>
      <c r="AJ2697" s="35"/>
      <c r="AK2697" s="35"/>
      <c r="AL2697" s="35"/>
      <c r="AM2697" s="35"/>
    </row>
    <row r="2698" spans="2:39">
      <c r="B2698" s="1011" t="s">
        <v>277</v>
      </c>
      <c r="C2698" s="993" t="s">
        <v>5595</v>
      </c>
      <c r="D2698" s="3">
        <v>200105482</v>
      </c>
      <c r="E2698" s="1469" t="s">
        <v>1390</v>
      </c>
      <c r="F2698" s="802">
        <f t="shared" si="41"/>
        <v>30</v>
      </c>
      <c r="G2698" s="1040"/>
      <c r="H2698" s="8" t="s">
        <v>60</v>
      </c>
      <c r="I2698" s="1040"/>
      <c r="J2698" s="786">
        <v>122.6</v>
      </c>
      <c r="K2698" s="953"/>
      <c r="L2698" s="953"/>
      <c r="M2698" s="8" t="s">
        <v>2272</v>
      </c>
      <c r="N2698" s="1043">
        <v>45384</v>
      </c>
      <c r="O2698" s="8" t="s">
        <v>62</v>
      </c>
      <c r="P2698" s="953"/>
      <c r="Q2698" s="882">
        <v>3.75</v>
      </c>
      <c r="R2698" s="8"/>
      <c r="S2698" s="8"/>
      <c r="T2698" s="8"/>
      <c r="U2698" s="8"/>
      <c r="V2698" s="8"/>
      <c r="W2698" s="759"/>
      <c r="X2698" s="759"/>
      <c r="Y2698" s="759"/>
      <c r="Z2698" s="759"/>
      <c r="AA2698" s="35"/>
      <c r="AB2698" s="35"/>
      <c r="AC2698" s="35"/>
      <c r="AD2698" s="35"/>
      <c r="AE2698" s="35"/>
      <c r="AF2698" s="35"/>
      <c r="AG2698" s="35"/>
      <c r="AH2698" s="35"/>
      <c r="AI2698" s="35"/>
      <c r="AJ2698" s="35"/>
      <c r="AK2698" s="35"/>
      <c r="AL2698" s="35"/>
      <c r="AM2698" s="35"/>
    </row>
    <row r="2699" spans="2:39">
      <c r="B2699" s="1011" t="s">
        <v>277</v>
      </c>
      <c r="C2699" s="993" t="s">
        <v>5595</v>
      </c>
      <c r="D2699" s="3">
        <v>200105483</v>
      </c>
      <c r="E2699" s="1469" t="s">
        <v>1391</v>
      </c>
      <c r="F2699" s="802">
        <f t="shared" si="41"/>
        <v>31</v>
      </c>
      <c r="G2699" s="1040"/>
      <c r="H2699" s="8" t="s">
        <v>60</v>
      </c>
      <c r="I2699" s="1040"/>
      <c r="J2699" s="786">
        <v>123.4</v>
      </c>
      <c r="K2699" s="953"/>
      <c r="L2699" s="953"/>
      <c r="M2699" s="8" t="s">
        <v>2272</v>
      </c>
      <c r="N2699" s="1043">
        <v>45384</v>
      </c>
      <c r="O2699" s="8" t="s">
        <v>62</v>
      </c>
      <c r="P2699" s="953"/>
      <c r="Q2699" s="882">
        <v>3.71</v>
      </c>
      <c r="R2699" s="8"/>
      <c r="S2699" s="8"/>
      <c r="T2699" s="8"/>
      <c r="U2699" s="8"/>
      <c r="V2699" s="8"/>
      <c r="W2699" s="759"/>
      <c r="X2699" s="759"/>
      <c r="Y2699" s="759"/>
      <c r="Z2699" s="759"/>
      <c r="AA2699" s="35"/>
      <c r="AB2699" s="35"/>
      <c r="AC2699" s="35"/>
      <c r="AD2699" s="35"/>
      <c r="AE2699" s="35"/>
      <c r="AF2699" s="35"/>
      <c r="AG2699" s="35"/>
      <c r="AH2699" s="35"/>
      <c r="AI2699" s="35"/>
      <c r="AJ2699" s="35"/>
      <c r="AK2699" s="35"/>
      <c r="AL2699" s="35"/>
      <c r="AM2699" s="35"/>
    </row>
    <row r="2700" spans="2:39">
      <c r="B2700" s="1011" t="s">
        <v>277</v>
      </c>
      <c r="C2700" s="993" t="s">
        <v>5595</v>
      </c>
      <c r="D2700" s="3">
        <v>200105484</v>
      </c>
      <c r="E2700" s="1469" t="s">
        <v>1392</v>
      </c>
      <c r="F2700" s="802">
        <f t="shared" si="41"/>
        <v>32</v>
      </c>
      <c r="G2700" s="1040"/>
      <c r="H2700" s="8" t="s">
        <v>60</v>
      </c>
      <c r="I2700" s="1040"/>
      <c r="J2700" s="786">
        <v>123.96</v>
      </c>
      <c r="K2700" s="953"/>
      <c r="L2700" s="953"/>
      <c r="M2700" s="8" t="s">
        <v>2272</v>
      </c>
      <c r="N2700" s="1043">
        <v>45384</v>
      </c>
      <c r="O2700" s="8" t="s">
        <v>62</v>
      </c>
      <c r="P2700" s="953"/>
      <c r="Q2700" s="882">
        <v>3.72</v>
      </c>
      <c r="R2700" s="8"/>
      <c r="S2700" s="8"/>
      <c r="T2700" s="8"/>
      <c r="U2700" s="8"/>
      <c r="V2700" s="8"/>
      <c r="W2700" s="759"/>
      <c r="X2700" s="759"/>
      <c r="Y2700" s="759"/>
      <c r="Z2700" s="759"/>
      <c r="AA2700" s="35"/>
      <c r="AB2700" s="35"/>
      <c r="AC2700" s="35"/>
      <c r="AD2700" s="35"/>
      <c r="AE2700" s="35"/>
      <c r="AF2700" s="35"/>
      <c r="AG2700" s="35"/>
      <c r="AH2700" s="35"/>
      <c r="AI2700" s="35"/>
      <c r="AJ2700" s="35"/>
      <c r="AK2700" s="35"/>
      <c r="AL2700" s="35"/>
      <c r="AM2700" s="35"/>
    </row>
    <row r="2701" spans="2:39">
      <c r="B2701" s="1011" t="s">
        <v>277</v>
      </c>
      <c r="C2701" s="993" t="s">
        <v>5595</v>
      </c>
      <c r="D2701" s="3">
        <v>200105500</v>
      </c>
      <c r="E2701" s="1469" t="s">
        <v>1393</v>
      </c>
      <c r="F2701" s="802">
        <f t="shared" si="41"/>
        <v>33</v>
      </c>
      <c r="G2701" s="1040"/>
      <c r="H2701" s="8" t="s">
        <v>60</v>
      </c>
      <c r="I2701" s="1040"/>
      <c r="J2701" s="786">
        <v>125</v>
      </c>
      <c r="K2701" s="953"/>
      <c r="L2701" s="953"/>
      <c r="M2701" s="8" t="s">
        <v>2272</v>
      </c>
      <c r="N2701" s="1043">
        <v>45384</v>
      </c>
      <c r="O2701" s="8" t="s">
        <v>62</v>
      </c>
      <c r="P2701" s="953"/>
      <c r="Q2701" s="882">
        <v>3.6</v>
      </c>
      <c r="R2701" s="8"/>
      <c r="S2701" s="8"/>
      <c r="T2701" s="8"/>
      <c r="U2701" s="8"/>
      <c r="V2701" s="8"/>
      <c r="W2701" s="759"/>
      <c r="X2701" s="759"/>
      <c r="Y2701" s="759"/>
      <c r="Z2701" s="759"/>
      <c r="AA2701" s="35"/>
      <c r="AB2701" s="35"/>
      <c r="AC2701" s="35"/>
      <c r="AD2701" s="35"/>
      <c r="AE2701" s="35"/>
      <c r="AF2701" s="35"/>
      <c r="AG2701" s="35"/>
      <c r="AH2701" s="35"/>
      <c r="AI2701" s="35"/>
      <c r="AJ2701" s="35"/>
      <c r="AK2701" s="35"/>
      <c r="AL2701" s="35"/>
      <c r="AM2701" s="35"/>
    </row>
    <row r="2702" spans="2:39">
      <c r="B2702" s="1011" t="s">
        <v>277</v>
      </c>
      <c r="C2702" s="993" t="s">
        <v>5595</v>
      </c>
      <c r="D2702" s="3">
        <v>200105501</v>
      </c>
      <c r="E2702" s="1469" t="s">
        <v>1394</v>
      </c>
      <c r="F2702" s="802">
        <f t="shared" si="41"/>
        <v>34</v>
      </c>
      <c r="G2702" s="1040"/>
      <c r="H2702" s="8" t="s">
        <v>60</v>
      </c>
      <c r="I2702" s="1040"/>
      <c r="J2702" s="762">
        <v>120.76</v>
      </c>
      <c r="K2702" s="953"/>
      <c r="L2702" s="953"/>
      <c r="M2702" s="8" t="s">
        <v>2272</v>
      </c>
      <c r="N2702" s="1043">
        <v>45397</v>
      </c>
      <c r="O2702" s="8" t="s">
        <v>62</v>
      </c>
      <c r="P2702" s="953"/>
      <c r="Q2702" s="764">
        <v>3.59</v>
      </c>
      <c r="R2702" s="8"/>
      <c r="S2702" s="8"/>
      <c r="T2702" s="8"/>
      <c r="U2702" s="8"/>
      <c r="V2702" s="8"/>
      <c r="W2702" s="759"/>
      <c r="X2702" s="759"/>
      <c r="Y2702" s="759"/>
      <c r="Z2702" s="759"/>
      <c r="AA2702" s="35"/>
      <c r="AB2702" s="35"/>
      <c r="AC2702" s="35"/>
      <c r="AD2702" s="35"/>
      <c r="AE2702" s="35"/>
      <c r="AF2702" s="35"/>
      <c r="AG2702" s="35"/>
      <c r="AH2702" s="35"/>
      <c r="AI2702" s="35"/>
      <c r="AJ2702" s="35"/>
      <c r="AK2702" s="35"/>
      <c r="AL2702" s="35"/>
      <c r="AM2702" s="35"/>
    </row>
    <row r="2703" spans="2:39">
      <c r="B2703" s="1011" t="s">
        <v>277</v>
      </c>
      <c r="C2703" s="993" t="s">
        <v>5595</v>
      </c>
      <c r="D2703" s="3">
        <v>200105477</v>
      </c>
      <c r="E2703" s="1469" t="s">
        <v>1395</v>
      </c>
      <c r="F2703" s="802">
        <f t="shared" ref="F2703:F2713" si="42">F2702+1</f>
        <v>35</v>
      </c>
      <c r="G2703" s="1040"/>
      <c r="H2703" s="8" t="s">
        <v>60</v>
      </c>
      <c r="I2703" s="1040"/>
      <c r="J2703" s="762">
        <v>122.93</v>
      </c>
      <c r="K2703" s="953"/>
      <c r="L2703" s="953"/>
      <c r="M2703" s="8" t="s">
        <v>2272</v>
      </c>
      <c r="N2703" s="1043">
        <v>45397</v>
      </c>
      <c r="O2703" s="8" t="s">
        <v>62</v>
      </c>
      <c r="P2703" s="953"/>
      <c r="Q2703" s="764">
        <v>3.41</v>
      </c>
      <c r="R2703" s="8"/>
      <c r="S2703" s="8"/>
      <c r="T2703" s="8"/>
      <c r="U2703" s="8"/>
      <c r="V2703" s="8"/>
      <c r="W2703" s="759"/>
      <c r="X2703" s="759"/>
      <c r="Y2703" s="759"/>
      <c r="Z2703" s="759"/>
      <c r="AA2703" s="35"/>
      <c r="AB2703" s="35"/>
      <c r="AC2703" s="35"/>
      <c r="AD2703" s="35"/>
      <c r="AE2703" s="35"/>
      <c r="AF2703" s="35"/>
      <c r="AG2703" s="35"/>
      <c r="AH2703" s="35"/>
      <c r="AI2703" s="35"/>
      <c r="AJ2703" s="35"/>
      <c r="AK2703" s="35"/>
      <c r="AL2703" s="35"/>
      <c r="AM2703" s="35"/>
    </row>
    <row r="2704" spans="2:39">
      <c r="B2704" s="1011" t="s">
        <v>277</v>
      </c>
      <c r="C2704" s="993" t="s">
        <v>5595</v>
      </c>
      <c r="D2704" s="3">
        <v>200105478</v>
      </c>
      <c r="E2704" s="1469" t="s">
        <v>1396</v>
      </c>
      <c r="F2704" s="802">
        <f t="shared" si="42"/>
        <v>36</v>
      </c>
      <c r="G2704" s="1040"/>
      <c r="H2704" s="8" t="s">
        <v>60</v>
      </c>
      <c r="I2704" s="1040"/>
      <c r="J2704" s="762">
        <v>124.37</v>
      </c>
      <c r="K2704" s="953"/>
      <c r="L2704" s="953"/>
      <c r="M2704" s="8" t="s">
        <v>2272</v>
      </c>
      <c r="N2704" s="1043">
        <v>45397</v>
      </c>
      <c r="O2704" s="8" t="s">
        <v>62</v>
      </c>
      <c r="P2704" s="953"/>
      <c r="Q2704" s="764">
        <v>3.79</v>
      </c>
      <c r="R2704" s="8"/>
      <c r="S2704" s="8"/>
      <c r="T2704" s="8"/>
      <c r="U2704" s="8"/>
      <c r="V2704" s="8"/>
      <c r="W2704" s="759"/>
      <c r="X2704" s="759"/>
      <c r="Y2704" s="759"/>
      <c r="Z2704" s="759"/>
      <c r="AA2704" s="35"/>
      <c r="AB2704" s="35"/>
      <c r="AC2704" s="35"/>
      <c r="AD2704" s="35"/>
      <c r="AE2704" s="35"/>
      <c r="AF2704" s="35"/>
      <c r="AG2704" s="35"/>
      <c r="AH2704" s="35"/>
      <c r="AI2704" s="35"/>
      <c r="AJ2704" s="35"/>
      <c r="AK2704" s="35"/>
      <c r="AL2704" s="35"/>
      <c r="AM2704" s="35"/>
    </row>
    <row r="2705" spans="1:39">
      <c r="B2705" s="1011" t="s">
        <v>277</v>
      </c>
      <c r="C2705" s="993" t="s">
        <v>5595</v>
      </c>
      <c r="D2705" s="3">
        <v>200105479</v>
      </c>
      <c r="E2705" s="1469" t="s">
        <v>1397</v>
      </c>
      <c r="F2705" s="802">
        <f t="shared" si="42"/>
        <v>37</v>
      </c>
      <c r="G2705" s="1040"/>
      <c r="H2705" s="8" t="s">
        <v>60</v>
      </c>
      <c r="I2705" s="1040"/>
      <c r="J2705" s="762">
        <v>123.75</v>
      </c>
      <c r="K2705" s="953"/>
      <c r="L2705" s="953"/>
      <c r="M2705" s="8" t="s">
        <v>2272</v>
      </c>
      <c r="N2705" s="1043">
        <v>45397</v>
      </c>
      <c r="O2705" s="8" t="s">
        <v>62</v>
      </c>
      <c r="P2705" s="953"/>
      <c r="Q2705" s="764">
        <v>3.4</v>
      </c>
      <c r="R2705" s="8"/>
      <c r="S2705" s="8"/>
      <c r="T2705" s="8"/>
      <c r="U2705" s="8"/>
      <c r="V2705" s="8"/>
      <c r="W2705" s="759"/>
      <c r="X2705" s="759"/>
      <c r="Y2705" s="759"/>
      <c r="Z2705" s="759"/>
      <c r="AA2705" s="35"/>
      <c r="AB2705" s="35"/>
      <c r="AC2705" s="35"/>
      <c r="AD2705" s="35"/>
      <c r="AE2705" s="35"/>
      <c r="AF2705" s="35"/>
      <c r="AG2705" s="35"/>
      <c r="AH2705" s="35"/>
      <c r="AI2705" s="35"/>
      <c r="AJ2705" s="35"/>
      <c r="AK2705" s="35"/>
      <c r="AL2705" s="35"/>
      <c r="AM2705" s="35"/>
    </row>
    <row r="2706" spans="1:39">
      <c r="B2706" s="1011" t="s">
        <v>277</v>
      </c>
      <c r="C2706" s="993" t="s">
        <v>5595</v>
      </c>
      <c r="D2706" s="3">
        <v>200105560</v>
      </c>
      <c r="E2706" s="1469" t="s">
        <v>1398</v>
      </c>
      <c r="F2706" s="802">
        <f t="shared" si="42"/>
        <v>38</v>
      </c>
      <c r="G2706" s="1040"/>
      <c r="H2706" s="8" t="s">
        <v>60</v>
      </c>
      <c r="I2706" s="1040"/>
      <c r="J2706" s="3">
        <v>124.41</v>
      </c>
      <c r="K2706" s="953"/>
      <c r="L2706" s="953"/>
      <c r="M2706" s="8" t="s">
        <v>2272</v>
      </c>
      <c r="N2706" s="1043">
        <v>45397</v>
      </c>
      <c r="O2706" s="8" t="s">
        <v>62</v>
      </c>
      <c r="P2706" s="953"/>
      <c r="Q2706" s="3">
        <v>3.42</v>
      </c>
      <c r="R2706" s="8"/>
      <c r="S2706" s="8"/>
      <c r="T2706" s="8"/>
      <c r="U2706" s="8"/>
      <c r="V2706" s="8"/>
      <c r="W2706" s="759"/>
      <c r="X2706" s="759"/>
      <c r="Y2706" s="759"/>
      <c r="Z2706" s="759"/>
      <c r="AA2706" s="35"/>
      <c r="AB2706" s="35"/>
      <c r="AC2706" s="35"/>
      <c r="AD2706" s="35"/>
      <c r="AE2706" s="35"/>
      <c r="AF2706" s="35"/>
      <c r="AG2706" s="35"/>
      <c r="AH2706" s="35"/>
      <c r="AI2706" s="35"/>
      <c r="AJ2706" s="35"/>
      <c r="AK2706" s="35"/>
      <c r="AL2706" s="35"/>
      <c r="AM2706" s="35"/>
    </row>
    <row r="2707" spans="1:39">
      <c r="B2707" s="1011" t="s">
        <v>277</v>
      </c>
      <c r="C2707" s="993" t="s">
        <v>5595</v>
      </c>
      <c r="D2707" s="3">
        <v>200105561</v>
      </c>
      <c r="E2707" s="1469" t="s">
        <v>1399</v>
      </c>
      <c r="F2707" s="802">
        <f t="shared" si="42"/>
        <v>39</v>
      </c>
      <c r="G2707" s="1040"/>
      <c r="H2707" s="8" t="s">
        <v>60</v>
      </c>
      <c r="I2707" s="1040"/>
      <c r="J2707" s="3">
        <v>122.54</v>
      </c>
      <c r="K2707" s="953"/>
      <c r="L2707" s="953"/>
      <c r="M2707" s="8" t="s">
        <v>2272</v>
      </c>
      <c r="N2707" s="1043">
        <v>45397</v>
      </c>
      <c r="O2707" s="8" t="s">
        <v>62</v>
      </c>
      <c r="P2707" s="953"/>
      <c r="Q2707" s="3">
        <v>3.52</v>
      </c>
      <c r="R2707" s="8"/>
      <c r="S2707" s="8"/>
      <c r="T2707" s="8"/>
      <c r="U2707" s="8"/>
      <c r="V2707" s="8"/>
      <c r="W2707" s="759"/>
      <c r="X2707" s="759"/>
      <c r="Y2707" s="759"/>
      <c r="Z2707" s="759"/>
      <c r="AA2707" s="35"/>
      <c r="AB2707" s="35"/>
      <c r="AC2707" s="35"/>
      <c r="AD2707" s="35"/>
      <c r="AE2707" s="35"/>
      <c r="AF2707" s="35"/>
      <c r="AG2707" s="35"/>
      <c r="AH2707" s="35"/>
      <c r="AI2707" s="35"/>
      <c r="AJ2707" s="35"/>
      <c r="AK2707" s="35"/>
      <c r="AL2707" s="35"/>
      <c r="AM2707" s="35"/>
    </row>
    <row r="2708" spans="1:39">
      <c r="B2708" s="1011" t="s">
        <v>277</v>
      </c>
      <c r="C2708" s="993" t="s">
        <v>5595</v>
      </c>
      <c r="D2708" s="3">
        <v>200105562</v>
      </c>
      <c r="E2708" s="1469" t="s">
        <v>1400</v>
      </c>
      <c r="F2708" s="802">
        <f t="shared" si="42"/>
        <v>40</v>
      </c>
      <c r="G2708" s="1040"/>
      <c r="H2708" s="8" t="s">
        <v>60</v>
      </c>
      <c r="I2708" s="1040"/>
      <c r="J2708" s="3">
        <v>124.25</v>
      </c>
      <c r="K2708" s="953"/>
      <c r="L2708" s="953"/>
      <c r="M2708" s="8" t="s">
        <v>2272</v>
      </c>
      <c r="N2708" s="1043">
        <v>45397</v>
      </c>
      <c r="O2708" s="8" t="s">
        <v>62</v>
      </c>
      <c r="P2708" s="953"/>
      <c r="Q2708" s="3">
        <v>3.69</v>
      </c>
      <c r="R2708" s="8"/>
      <c r="S2708" s="8"/>
      <c r="T2708" s="8"/>
      <c r="U2708" s="8"/>
      <c r="V2708" s="8"/>
      <c r="W2708" s="759"/>
      <c r="X2708" s="759"/>
      <c r="Y2708" s="759"/>
      <c r="Z2708" s="759"/>
      <c r="AA2708" s="35"/>
      <c r="AB2708" s="35"/>
      <c r="AC2708" s="35"/>
      <c r="AD2708" s="35"/>
      <c r="AE2708" s="35"/>
      <c r="AF2708" s="35"/>
      <c r="AG2708" s="35"/>
      <c r="AH2708" s="35"/>
      <c r="AI2708" s="35"/>
      <c r="AJ2708" s="35"/>
      <c r="AK2708" s="35"/>
      <c r="AL2708" s="35"/>
      <c r="AM2708" s="35"/>
    </row>
    <row r="2709" spans="1:39">
      <c r="B2709" s="1011" t="s">
        <v>277</v>
      </c>
      <c r="C2709" s="993" t="s">
        <v>5595</v>
      </c>
      <c r="D2709" s="3">
        <v>200105563</v>
      </c>
      <c r="E2709" s="1469" t="s">
        <v>1401</v>
      </c>
      <c r="F2709" s="802">
        <f t="shared" si="42"/>
        <v>41</v>
      </c>
      <c r="G2709" s="1040"/>
      <c r="H2709" s="8" t="s">
        <v>60</v>
      </c>
      <c r="I2709" s="1040"/>
      <c r="J2709" s="13">
        <v>125.68</v>
      </c>
      <c r="K2709" s="953"/>
      <c r="L2709" s="953"/>
      <c r="M2709" s="8" t="s">
        <v>2272</v>
      </c>
      <c r="N2709" s="1043">
        <v>45397</v>
      </c>
      <c r="O2709" s="8" t="s">
        <v>62</v>
      </c>
      <c r="P2709" s="953"/>
      <c r="Q2709" s="13">
        <v>3.73</v>
      </c>
      <c r="R2709" s="8"/>
      <c r="S2709" s="8"/>
      <c r="T2709" s="8"/>
      <c r="U2709" s="8"/>
      <c r="V2709" s="8"/>
      <c r="W2709" s="759"/>
      <c r="X2709" s="759"/>
      <c r="Y2709" s="759"/>
      <c r="Z2709" s="759"/>
      <c r="AA2709" s="35"/>
      <c r="AB2709" s="35"/>
      <c r="AC2709" s="35"/>
      <c r="AD2709" s="35"/>
      <c r="AE2709" s="35"/>
      <c r="AF2709" s="35"/>
      <c r="AG2709" s="35"/>
      <c r="AH2709" s="35"/>
      <c r="AI2709" s="35"/>
      <c r="AJ2709" s="35"/>
      <c r="AK2709" s="35"/>
      <c r="AL2709" s="35"/>
      <c r="AM2709" s="35"/>
    </row>
    <row r="2710" spans="1:39">
      <c r="B2710" s="1011" t="s">
        <v>277</v>
      </c>
      <c r="C2710" s="993" t="s">
        <v>5595</v>
      </c>
      <c r="D2710" s="3">
        <v>200105564</v>
      </c>
      <c r="E2710" s="1469" t="s">
        <v>1402</v>
      </c>
      <c r="F2710" s="802">
        <f t="shared" si="42"/>
        <v>42</v>
      </c>
      <c r="G2710" s="1040"/>
      <c r="H2710" s="8" t="s">
        <v>60</v>
      </c>
      <c r="I2710" s="1040"/>
      <c r="J2710" s="3">
        <v>124.93</v>
      </c>
      <c r="K2710" s="953"/>
      <c r="L2710" s="953"/>
      <c r="M2710" s="8" t="s">
        <v>2272</v>
      </c>
      <c r="N2710" s="1043">
        <v>45397</v>
      </c>
      <c r="O2710" s="8" t="s">
        <v>62</v>
      </c>
      <c r="P2710" s="953"/>
      <c r="Q2710" s="3">
        <v>3.59</v>
      </c>
      <c r="R2710" s="8"/>
      <c r="S2710" s="8"/>
      <c r="T2710" s="8"/>
      <c r="U2710" s="8"/>
      <c r="V2710" s="8"/>
      <c r="W2710" s="759"/>
      <c r="X2710" s="759"/>
      <c r="Y2710" s="759"/>
      <c r="Z2710" s="759"/>
      <c r="AA2710" s="35"/>
      <c r="AB2710" s="35"/>
      <c r="AC2710" s="35"/>
      <c r="AD2710" s="35"/>
      <c r="AE2710" s="35"/>
      <c r="AF2710" s="35"/>
      <c r="AG2710" s="35"/>
      <c r="AH2710" s="35"/>
      <c r="AI2710" s="35"/>
      <c r="AJ2710" s="35"/>
      <c r="AK2710" s="35"/>
      <c r="AL2710" s="35"/>
      <c r="AM2710" s="35"/>
    </row>
    <row r="2711" spans="1:39">
      <c r="B2711" s="1011" t="s">
        <v>277</v>
      </c>
      <c r="C2711" s="993" t="s">
        <v>5595</v>
      </c>
      <c r="D2711" s="3">
        <v>200105565</v>
      </c>
      <c r="E2711" s="1469" t="s">
        <v>1405</v>
      </c>
      <c r="F2711" s="802">
        <f t="shared" si="42"/>
        <v>43</v>
      </c>
      <c r="G2711" s="1040"/>
      <c r="H2711" s="8" t="s">
        <v>60</v>
      </c>
      <c r="I2711" s="1040"/>
      <c r="J2711" s="786">
        <f>58.3+64.32</f>
        <v>122.61999999999999</v>
      </c>
      <c r="K2711" s="953"/>
      <c r="L2711" s="953"/>
      <c r="M2711" s="8" t="s">
        <v>2272</v>
      </c>
      <c r="N2711" s="1043">
        <v>45398</v>
      </c>
      <c r="O2711" s="8" t="s">
        <v>62</v>
      </c>
      <c r="P2711" s="953"/>
      <c r="Q2711" s="882">
        <v>3.8</v>
      </c>
      <c r="R2711" s="8"/>
      <c r="S2711" s="8"/>
      <c r="T2711" s="8"/>
      <c r="U2711" s="8"/>
      <c r="V2711" s="8"/>
      <c r="W2711" s="759"/>
      <c r="X2711" s="759"/>
      <c r="Y2711" s="759"/>
      <c r="Z2711" s="759"/>
      <c r="AA2711" s="35"/>
      <c r="AB2711" s="35"/>
      <c r="AC2711" s="35"/>
      <c r="AD2711" s="35"/>
      <c r="AE2711" s="35"/>
      <c r="AF2711" s="35"/>
      <c r="AG2711" s="35"/>
      <c r="AH2711" s="35"/>
      <c r="AI2711" s="35"/>
      <c r="AJ2711" s="35"/>
      <c r="AK2711" s="35"/>
      <c r="AL2711" s="35"/>
      <c r="AM2711" s="35"/>
    </row>
    <row r="2712" spans="1:39">
      <c r="B2712" s="1011" t="s">
        <v>277</v>
      </c>
      <c r="C2712" s="993" t="s">
        <v>5595</v>
      </c>
      <c r="D2712" s="3">
        <v>200105566</v>
      </c>
      <c r="E2712" s="1469" t="s">
        <v>1406</v>
      </c>
      <c r="F2712" s="802">
        <f t="shared" si="42"/>
        <v>44</v>
      </c>
      <c r="G2712" s="1040"/>
      <c r="H2712" s="8" t="s">
        <v>60</v>
      </c>
      <c r="I2712" s="1040"/>
      <c r="J2712" s="786">
        <v>123.05</v>
      </c>
      <c r="K2712" s="953"/>
      <c r="L2712" s="953"/>
      <c r="M2712" s="8" t="s">
        <v>2272</v>
      </c>
      <c r="N2712" s="1043">
        <v>45398</v>
      </c>
      <c r="O2712" s="8" t="s">
        <v>62</v>
      </c>
      <c r="P2712" s="953"/>
      <c r="Q2712" s="882">
        <v>3.51</v>
      </c>
      <c r="R2712" s="8"/>
      <c r="S2712" s="8"/>
      <c r="T2712" s="8"/>
      <c r="U2712" s="8"/>
      <c r="V2712" s="8"/>
      <c r="W2712" s="759"/>
      <c r="X2712" s="759"/>
      <c r="Y2712" s="759"/>
      <c r="Z2712" s="759"/>
      <c r="AA2712" s="35"/>
      <c r="AB2712" s="35"/>
      <c r="AC2712" s="35"/>
      <c r="AD2712" s="35"/>
      <c r="AE2712" s="35"/>
      <c r="AF2712" s="35"/>
      <c r="AG2712" s="35"/>
      <c r="AH2712" s="35"/>
      <c r="AI2712" s="35"/>
      <c r="AJ2712" s="35"/>
      <c r="AK2712" s="35"/>
      <c r="AL2712" s="35"/>
      <c r="AM2712" s="35"/>
    </row>
    <row r="2713" spans="1:39">
      <c r="B2713" s="1011" t="s">
        <v>277</v>
      </c>
      <c r="C2713" s="993" t="s">
        <v>5595</v>
      </c>
      <c r="D2713" s="3">
        <v>200105567</v>
      </c>
      <c r="E2713" s="1469" t="s">
        <v>1407</v>
      </c>
      <c r="F2713" s="802">
        <f t="shared" si="42"/>
        <v>45</v>
      </c>
      <c r="G2713" s="1040"/>
      <c r="H2713" s="8" t="s">
        <v>60</v>
      </c>
      <c r="I2713" s="1040"/>
      <c r="J2713" s="786">
        <v>121.29</v>
      </c>
      <c r="K2713" s="953"/>
      <c r="L2713" s="953"/>
      <c r="M2713" s="8" t="s">
        <v>2272</v>
      </c>
      <c r="N2713" s="1043">
        <v>45398</v>
      </c>
      <c r="O2713" s="8" t="s">
        <v>62</v>
      </c>
      <c r="P2713" s="953"/>
      <c r="Q2713" s="882">
        <v>3.74</v>
      </c>
      <c r="R2713" s="8"/>
      <c r="S2713" s="8"/>
      <c r="T2713" s="8"/>
      <c r="U2713" s="8"/>
      <c r="V2713" s="8"/>
      <c r="W2713" s="759"/>
      <c r="X2713" s="759"/>
      <c r="Y2713" s="759"/>
      <c r="Z2713" s="759"/>
      <c r="AA2713" s="35"/>
      <c r="AB2713" s="35"/>
      <c r="AC2713" s="35"/>
      <c r="AD2713" s="35"/>
      <c r="AE2713" s="35"/>
      <c r="AF2713" s="35"/>
      <c r="AG2713" s="35"/>
      <c r="AH2713" s="35"/>
      <c r="AI2713" s="35"/>
      <c r="AJ2713" s="35"/>
      <c r="AK2713" s="35"/>
      <c r="AL2713" s="35"/>
      <c r="AM2713" s="35"/>
    </row>
    <row r="2714" spans="1:39" s="707" customFormat="1">
      <c r="A2714"/>
      <c r="B2714" s="978"/>
      <c r="C2714" s="807" t="s">
        <v>3318</v>
      </c>
      <c r="D2714" s="807"/>
      <c r="E2714" s="875"/>
      <c r="F2714" s="808"/>
      <c r="G2714" s="807"/>
      <c r="H2714" s="807"/>
      <c r="I2714" s="807"/>
      <c r="J2714" s="820"/>
      <c r="K2714" s="807"/>
      <c r="L2714" s="807"/>
      <c r="M2714" s="819"/>
      <c r="N2714" s="1025"/>
      <c r="O2714" s="9"/>
      <c r="P2714" s="9"/>
      <c r="Q2714" s="9"/>
      <c r="R2714" s="9"/>
      <c r="S2714" s="9"/>
      <c r="T2714" s="9"/>
      <c r="U2714" s="9"/>
      <c r="V2714" s="9"/>
      <c r="W2714" s="1025"/>
      <c r="X2714" s="1025"/>
      <c r="Y2714" s="1025"/>
      <c r="Z2714" s="1025"/>
      <c r="AA2714" s="1016"/>
      <c r="AB2714" s="1016"/>
      <c r="AC2714" s="1016"/>
      <c r="AD2714" s="1016"/>
      <c r="AE2714" s="1016"/>
      <c r="AF2714" s="1016"/>
      <c r="AG2714" s="1016"/>
      <c r="AH2714" s="1016"/>
      <c r="AI2714" s="1016"/>
      <c r="AJ2714" s="1016"/>
      <c r="AK2714" s="1016"/>
      <c r="AL2714" s="1016"/>
      <c r="AM2714" s="1016"/>
    </row>
    <row r="2715" spans="1:39">
      <c r="B2715" s="1011" t="s">
        <v>57</v>
      </c>
      <c r="C2715" s="993" t="s">
        <v>5595</v>
      </c>
      <c r="D2715" s="3">
        <v>200105626</v>
      </c>
      <c r="E2715" s="1469" t="s">
        <v>1408</v>
      </c>
      <c r="F2715" s="802">
        <v>1</v>
      </c>
      <c r="G2715" s="1040"/>
      <c r="H2715" s="8" t="s">
        <v>60</v>
      </c>
      <c r="I2715" s="1040"/>
      <c r="J2715" s="786">
        <v>125.86</v>
      </c>
      <c r="K2715" s="953"/>
      <c r="L2715" s="953"/>
      <c r="M2715" s="8" t="s">
        <v>2272</v>
      </c>
      <c r="N2715" s="1043">
        <v>45398</v>
      </c>
      <c r="O2715" s="8" t="s">
        <v>62</v>
      </c>
      <c r="P2715" s="953"/>
      <c r="Q2715" s="882">
        <v>3.54</v>
      </c>
      <c r="R2715" s="8"/>
      <c r="S2715" s="8"/>
      <c r="T2715" s="8"/>
      <c r="U2715" s="8"/>
      <c r="V2715" s="8"/>
      <c r="W2715" s="759"/>
      <c r="X2715" s="759"/>
      <c r="Y2715" s="759"/>
      <c r="Z2715" s="759"/>
      <c r="AA2715" s="35"/>
      <c r="AB2715" s="35"/>
      <c r="AC2715" s="35"/>
      <c r="AD2715" s="35"/>
      <c r="AE2715" s="35"/>
      <c r="AF2715" s="35"/>
      <c r="AG2715" s="35"/>
      <c r="AH2715" s="35"/>
      <c r="AI2715" s="35"/>
      <c r="AJ2715" s="35"/>
      <c r="AK2715" s="35"/>
      <c r="AL2715" s="35"/>
      <c r="AM2715" s="35"/>
    </row>
    <row r="2716" spans="1:39">
      <c r="B2716" s="1011" t="s">
        <v>57</v>
      </c>
      <c r="C2716" s="993" t="s">
        <v>5595</v>
      </c>
      <c r="D2716" s="3">
        <v>200105627</v>
      </c>
      <c r="E2716" s="1469" t="s">
        <v>1410</v>
      </c>
      <c r="F2716" s="802">
        <f t="shared" ref="F2716:F2735" si="43">F2715+1</f>
        <v>2</v>
      </c>
      <c r="G2716" s="1040"/>
      <c r="H2716" s="8" t="s">
        <v>60</v>
      </c>
      <c r="I2716" s="1040"/>
      <c r="J2716" s="762">
        <v>124.69</v>
      </c>
      <c r="K2716" s="953"/>
      <c r="L2716" s="953"/>
      <c r="M2716" s="8" t="s">
        <v>2272</v>
      </c>
      <c r="N2716" s="1043">
        <v>45398</v>
      </c>
      <c r="O2716" s="8" t="s">
        <v>62</v>
      </c>
      <c r="P2716" s="953"/>
      <c r="Q2716" s="764">
        <v>3.73</v>
      </c>
      <c r="R2716" s="8"/>
      <c r="S2716" s="8"/>
      <c r="T2716" s="8"/>
      <c r="U2716" s="8"/>
      <c r="V2716" s="8"/>
      <c r="W2716" s="759"/>
      <c r="X2716" s="759"/>
      <c r="Y2716" s="759"/>
      <c r="Z2716" s="759"/>
      <c r="AA2716" s="35"/>
      <c r="AB2716" s="35"/>
      <c r="AC2716" s="35"/>
      <c r="AD2716" s="35"/>
      <c r="AE2716" s="35"/>
      <c r="AF2716" s="35"/>
      <c r="AG2716" s="35"/>
      <c r="AH2716" s="35"/>
      <c r="AI2716" s="35"/>
      <c r="AJ2716" s="35"/>
      <c r="AK2716" s="35"/>
      <c r="AL2716" s="35"/>
      <c r="AM2716" s="35"/>
    </row>
    <row r="2717" spans="1:39">
      <c r="B2717" s="1011" t="s">
        <v>57</v>
      </c>
      <c r="C2717" s="993" t="s">
        <v>5595</v>
      </c>
      <c r="D2717" s="3">
        <v>200105628</v>
      </c>
      <c r="E2717" s="1469" t="s">
        <v>1411</v>
      </c>
      <c r="F2717" s="802">
        <f t="shared" si="43"/>
        <v>3</v>
      </c>
      <c r="G2717" s="1040"/>
      <c r="H2717" s="8" t="s">
        <v>60</v>
      </c>
      <c r="I2717" s="1040"/>
      <c r="J2717" s="3">
        <v>123.06</v>
      </c>
      <c r="K2717" s="953"/>
      <c r="L2717" s="953"/>
      <c r="M2717" s="8" t="s">
        <v>2272</v>
      </c>
      <c r="N2717" s="1043">
        <v>45399</v>
      </c>
      <c r="O2717" s="8" t="s">
        <v>62</v>
      </c>
      <c r="P2717" s="953"/>
      <c r="Q2717" s="762">
        <v>3.72</v>
      </c>
      <c r="R2717" s="8"/>
      <c r="S2717" s="8"/>
      <c r="T2717" s="8"/>
      <c r="U2717" s="8"/>
      <c r="V2717" s="8"/>
      <c r="W2717" s="759"/>
      <c r="X2717" s="759"/>
      <c r="Y2717" s="759"/>
      <c r="Z2717" s="759"/>
      <c r="AA2717" s="35"/>
      <c r="AB2717" s="35"/>
      <c r="AC2717" s="35"/>
      <c r="AD2717" s="35"/>
      <c r="AE2717" s="35"/>
      <c r="AF2717" s="35"/>
      <c r="AG2717" s="35"/>
      <c r="AH2717" s="35"/>
      <c r="AI2717" s="35"/>
      <c r="AJ2717" s="35"/>
      <c r="AK2717" s="35"/>
      <c r="AL2717" s="35"/>
      <c r="AM2717" s="35"/>
    </row>
    <row r="2718" spans="1:39">
      <c r="B2718" s="1011" t="s">
        <v>57</v>
      </c>
      <c r="C2718" s="993" t="s">
        <v>5595</v>
      </c>
      <c r="D2718" s="3">
        <v>200105629</v>
      </c>
      <c r="E2718" s="1469" t="s">
        <v>1412</v>
      </c>
      <c r="F2718" s="802">
        <f t="shared" si="43"/>
        <v>4</v>
      </c>
      <c r="G2718" s="1040"/>
      <c r="H2718" s="8" t="s">
        <v>60</v>
      </c>
      <c r="I2718" s="1040"/>
      <c r="J2718" s="3">
        <v>122.47</v>
      </c>
      <c r="K2718" s="953"/>
      <c r="L2718" s="953"/>
      <c r="M2718" s="8" t="s">
        <v>2272</v>
      </c>
      <c r="N2718" s="1043">
        <v>45399</v>
      </c>
      <c r="O2718" s="8" t="s">
        <v>62</v>
      </c>
      <c r="P2718" s="953"/>
      <c r="Q2718" s="762">
        <v>3.7</v>
      </c>
      <c r="R2718" s="8"/>
      <c r="S2718" s="8"/>
      <c r="T2718" s="8"/>
      <c r="U2718" s="8"/>
      <c r="V2718" s="8"/>
      <c r="W2718" s="759"/>
      <c r="X2718" s="759"/>
      <c r="Y2718" s="759"/>
      <c r="Z2718" s="759"/>
      <c r="AA2718" s="35"/>
      <c r="AB2718" s="35"/>
      <c r="AC2718" s="35"/>
      <c r="AD2718" s="35"/>
      <c r="AE2718" s="35"/>
      <c r="AF2718" s="35"/>
      <c r="AG2718" s="35"/>
      <c r="AH2718" s="35"/>
      <c r="AI2718" s="35"/>
      <c r="AJ2718" s="35"/>
      <c r="AK2718" s="35"/>
      <c r="AL2718" s="35"/>
      <c r="AM2718" s="35"/>
    </row>
    <row r="2719" spans="1:39">
      <c r="B2719" s="1011" t="s">
        <v>57</v>
      </c>
      <c r="C2719" s="993" t="s">
        <v>5595</v>
      </c>
      <c r="D2719" s="3">
        <v>200105630</v>
      </c>
      <c r="E2719" s="1469" t="s">
        <v>1413</v>
      </c>
      <c r="F2719" s="802">
        <f t="shared" si="43"/>
        <v>5</v>
      </c>
      <c r="G2719" s="1040"/>
      <c r="H2719" s="8" t="s">
        <v>60</v>
      </c>
      <c r="I2719" s="1040"/>
      <c r="J2719" s="3">
        <v>123.03</v>
      </c>
      <c r="K2719" s="953"/>
      <c r="L2719" s="953"/>
      <c r="M2719" s="8" t="s">
        <v>2272</v>
      </c>
      <c r="N2719" s="1043">
        <v>45399</v>
      </c>
      <c r="O2719" s="8" t="s">
        <v>62</v>
      </c>
      <c r="P2719" s="953"/>
      <c r="Q2719" s="762">
        <v>3.55</v>
      </c>
      <c r="R2719" s="8"/>
      <c r="S2719" s="8"/>
      <c r="T2719" s="8"/>
      <c r="U2719" s="8"/>
      <c r="V2719" s="8"/>
      <c r="W2719" s="759"/>
      <c r="X2719" s="759"/>
      <c r="Y2719" s="759"/>
      <c r="Z2719" s="759"/>
      <c r="AA2719" s="35"/>
      <c r="AB2719" s="35"/>
      <c r="AC2719" s="35"/>
      <c r="AD2719" s="35"/>
      <c r="AE2719" s="35"/>
      <c r="AF2719" s="35"/>
      <c r="AG2719" s="35"/>
      <c r="AH2719" s="35"/>
      <c r="AI2719" s="35"/>
      <c r="AJ2719" s="35"/>
      <c r="AK2719" s="35"/>
      <c r="AL2719" s="35"/>
      <c r="AM2719" s="35"/>
    </row>
    <row r="2720" spans="1:39">
      <c r="B2720" s="1011" t="s">
        <v>57</v>
      </c>
      <c r="C2720" s="993" t="s">
        <v>5595</v>
      </c>
      <c r="D2720" s="3">
        <v>200105631</v>
      </c>
      <c r="E2720" s="1469" t="s">
        <v>1414</v>
      </c>
      <c r="F2720" s="802">
        <f t="shared" si="43"/>
        <v>6</v>
      </c>
      <c r="G2720" s="1040"/>
      <c r="H2720" s="8" t="s">
        <v>60</v>
      </c>
      <c r="I2720" s="1040"/>
      <c r="J2720" s="3">
        <v>123.42</v>
      </c>
      <c r="K2720" s="953"/>
      <c r="L2720" s="953"/>
      <c r="M2720" s="8" t="s">
        <v>2272</v>
      </c>
      <c r="N2720" s="1043">
        <v>45399</v>
      </c>
      <c r="O2720" s="8" t="s">
        <v>62</v>
      </c>
      <c r="P2720" s="953"/>
      <c r="Q2720" s="762">
        <v>3.4</v>
      </c>
      <c r="R2720" s="8"/>
      <c r="S2720" s="8"/>
      <c r="T2720" s="8"/>
      <c r="U2720" s="8"/>
      <c r="V2720" s="8"/>
      <c r="W2720" s="759"/>
      <c r="X2720" s="759"/>
      <c r="Y2720" s="759"/>
      <c r="Z2720" s="759"/>
      <c r="AA2720" s="35"/>
      <c r="AB2720" s="35"/>
      <c r="AC2720" s="35"/>
      <c r="AD2720" s="35"/>
      <c r="AE2720" s="35"/>
      <c r="AF2720" s="35"/>
      <c r="AG2720" s="35"/>
      <c r="AH2720" s="35"/>
      <c r="AI2720" s="35"/>
      <c r="AJ2720" s="35"/>
      <c r="AK2720" s="35"/>
      <c r="AL2720" s="35"/>
      <c r="AM2720" s="35"/>
    </row>
    <row r="2721" spans="2:39">
      <c r="B2721" s="1011" t="s">
        <v>57</v>
      </c>
      <c r="C2721" s="993" t="s">
        <v>5595</v>
      </c>
      <c r="D2721" s="3">
        <v>200105632</v>
      </c>
      <c r="E2721" s="1469" t="s">
        <v>1416</v>
      </c>
      <c r="F2721" s="802">
        <f t="shared" si="43"/>
        <v>7</v>
      </c>
      <c r="G2721" s="1040"/>
      <c r="H2721" s="8" t="s">
        <v>60</v>
      </c>
      <c r="I2721" s="1040"/>
      <c r="J2721" s="786">
        <v>122.8</v>
      </c>
      <c r="K2721" s="953"/>
      <c r="L2721" s="953"/>
      <c r="M2721" s="8" t="s">
        <v>2272</v>
      </c>
      <c r="N2721" s="1043">
        <v>45401</v>
      </c>
      <c r="O2721" s="8" t="s">
        <v>62</v>
      </c>
      <c r="P2721" s="953"/>
      <c r="Q2721" s="882">
        <v>3.77</v>
      </c>
      <c r="R2721" s="8"/>
      <c r="S2721" s="8"/>
      <c r="T2721" s="8"/>
      <c r="U2721" s="8"/>
      <c r="V2721" s="8"/>
      <c r="W2721" s="759"/>
      <c r="X2721" s="759"/>
      <c r="Y2721" s="759"/>
      <c r="Z2721" s="759"/>
      <c r="AA2721" s="35"/>
      <c r="AB2721" s="35"/>
      <c r="AC2721" s="35"/>
      <c r="AD2721" s="35"/>
      <c r="AE2721" s="35"/>
      <c r="AF2721" s="35"/>
      <c r="AG2721" s="35"/>
      <c r="AH2721" s="35"/>
      <c r="AI2721" s="35"/>
      <c r="AJ2721" s="35"/>
      <c r="AK2721" s="35"/>
      <c r="AL2721" s="35"/>
      <c r="AM2721" s="35"/>
    </row>
    <row r="2722" spans="2:39">
      <c r="B2722" s="1011" t="s">
        <v>57</v>
      </c>
      <c r="C2722" s="993" t="s">
        <v>5595</v>
      </c>
      <c r="D2722" s="3">
        <v>200105633</v>
      </c>
      <c r="E2722" s="1469" t="s">
        <v>1417</v>
      </c>
      <c r="F2722" s="802">
        <f t="shared" si="43"/>
        <v>8</v>
      </c>
      <c r="G2722" s="1040"/>
      <c r="H2722" s="8" t="s">
        <v>60</v>
      </c>
      <c r="I2722" s="1040"/>
      <c r="J2722" s="786">
        <v>122.37</v>
      </c>
      <c r="K2722" s="953"/>
      <c r="L2722" s="953"/>
      <c r="M2722" s="8" t="s">
        <v>2272</v>
      </c>
      <c r="N2722" s="1043">
        <v>45401</v>
      </c>
      <c r="O2722" s="8" t="s">
        <v>62</v>
      </c>
      <c r="P2722" s="953"/>
      <c r="Q2722" s="882">
        <v>3.54</v>
      </c>
      <c r="R2722" s="8"/>
      <c r="S2722" s="8"/>
      <c r="T2722" s="8"/>
      <c r="U2722" s="8"/>
      <c r="V2722" s="8"/>
      <c r="W2722" s="759"/>
      <c r="X2722" s="759"/>
      <c r="Y2722" s="759"/>
      <c r="Z2722" s="759"/>
      <c r="AA2722" s="35"/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5"/>
      <c r="AM2722" s="35"/>
    </row>
    <row r="2723" spans="2:39">
      <c r="B2723" s="1011" t="s">
        <v>57</v>
      </c>
      <c r="C2723" s="993" t="s">
        <v>5595</v>
      </c>
      <c r="D2723" s="3">
        <v>200105634</v>
      </c>
      <c r="E2723" s="1469" t="s">
        <v>1418</v>
      </c>
      <c r="F2723" s="802">
        <f t="shared" si="43"/>
        <v>9</v>
      </c>
      <c r="G2723" s="1040"/>
      <c r="H2723" s="8" t="s">
        <v>60</v>
      </c>
      <c r="I2723" s="1040"/>
      <c r="J2723" s="786">
        <v>124.09</v>
      </c>
      <c r="K2723" s="953"/>
      <c r="L2723" s="953"/>
      <c r="M2723" s="8" t="s">
        <v>2272</v>
      </c>
      <c r="N2723" s="1043">
        <v>45401</v>
      </c>
      <c r="O2723" s="8" t="s">
        <v>62</v>
      </c>
      <c r="P2723" s="953"/>
      <c r="Q2723" s="882">
        <v>3.72</v>
      </c>
      <c r="R2723" s="8"/>
      <c r="S2723" s="8"/>
      <c r="T2723" s="8"/>
      <c r="U2723" s="8"/>
      <c r="V2723" s="8"/>
      <c r="W2723" s="759"/>
      <c r="X2723" s="759"/>
      <c r="Y2723" s="759"/>
      <c r="Z2723" s="759"/>
      <c r="AA2723" s="35"/>
      <c r="AB2723" s="35"/>
      <c r="AC2723" s="35"/>
      <c r="AD2723" s="35"/>
      <c r="AE2723" s="35"/>
      <c r="AF2723" s="35"/>
      <c r="AG2723" s="35"/>
      <c r="AH2723" s="35"/>
      <c r="AI2723" s="35"/>
      <c r="AJ2723" s="35"/>
      <c r="AK2723" s="35"/>
      <c r="AL2723" s="35"/>
      <c r="AM2723" s="35"/>
    </row>
    <row r="2724" spans="2:39">
      <c r="B2724" s="1011" t="s">
        <v>57</v>
      </c>
      <c r="C2724" s="993" t="s">
        <v>5595</v>
      </c>
      <c r="D2724" s="3">
        <v>200105635</v>
      </c>
      <c r="E2724" s="1469" t="s">
        <v>1419</v>
      </c>
      <c r="F2724" s="802">
        <f t="shared" si="43"/>
        <v>10</v>
      </c>
      <c r="G2724" s="1040"/>
      <c r="H2724" s="8" t="s">
        <v>60</v>
      </c>
      <c r="I2724" s="1040"/>
      <c r="J2724" s="762">
        <v>125.16</v>
      </c>
      <c r="K2724" s="953"/>
      <c r="L2724" s="953"/>
      <c r="M2724" s="8" t="s">
        <v>2272</v>
      </c>
      <c r="N2724" s="1043">
        <v>45401</v>
      </c>
      <c r="O2724" s="8" t="s">
        <v>62</v>
      </c>
      <c r="P2724" s="953"/>
      <c r="Q2724" s="764">
        <v>3.65</v>
      </c>
      <c r="R2724" s="8"/>
      <c r="S2724" s="8"/>
      <c r="T2724" s="8"/>
      <c r="U2724" s="8"/>
      <c r="V2724" s="8"/>
      <c r="W2724" s="759"/>
      <c r="X2724" s="759"/>
      <c r="Y2724" s="759"/>
      <c r="Z2724" s="759"/>
      <c r="AA2724" s="35"/>
      <c r="AB2724" s="35"/>
      <c r="AC2724" s="35"/>
      <c r="AD2724" s="35"/>
      <c r="AE2724" s="35"/>
      <c r="AF2724" s="35"/>
      <c r="AG2724" s="35"/>
      <c r="AH2724" s="35"/>
      <c r="AI2724" s="35"/>
      <c r="AJ2724" s="35"/>
      <c r="AK2724" s="35"/>
      <c r="AL2724" s="35"/>
      <c r="AM2724" s="35"/>
    </row>
    <row r="2725" spans="2:39">
      <c r="B2725" s="1011" t="s">
        <v>57</v>
      </c>
      <c r="C2725" s="993" t="s">
        <v>5595</v>
      </c>
      <c r="D2725" s="3">
        <v>200105636</v>
      </c>
      <c r="E2725" s="1469" t="s">
        <v>1420</v>
      </c>
      <c r="F2725" s="1028">
        <f t="shared" si="43"/>
        <v>11</v>
      </c>
      <c r="G2725" s="1030"/>
      <c r="H2725" s="1029"/>
      <c r="I2725" s="1030"/>
      <c r="J2725" s="1030"/>
      <c r="K2725" s="1029"/>
      <c r="L2725" s="1029"/>
      <c r="M2725" s="1029"/>
      <c r="N2725" s="832"/>
      <c r="O2725" s="1029"/>
      <c r="P2725" s="1029"/>
      <c r="Q2725" s="1030"/>
      <c r="R2725" s="1029"/>
      <c r="S2725" s="1029"/>
      <c r="T2725" s="1029"/>
      <c r="U2725" s="1029"/>
      <c r="V2725" s="1029"/>
      <c r="W2725" s="832"/>
      <c r="X2725" s="832"/>
      <c r="Y2725" s="832"/>
      <c r="Z2725" s="832"/>
      <c r="AA2725" s="1034"/>
      <c r="AB2725" s="1034"/>
      <c r="AC2725" s="1034"/>
      <c r="AD2725" s="1034"/>
      <c r="AE2725" s="1034"/>
      <c r="AF2725" s="1034"/>
      <c r="AG2725" s="1034"/>
      <c r="AH2725" s="1034"/>
      <c r="AI2725" s="1034"/>
      <c r="AJ2725" s="1034"/>
      <c r="AK2725" s="1034"/>
      <c r="AL2725" s="1034"/>
      <c r="AM2725" s="1034"/>
    </row>
    <row r="2726" spans="2:39">
      <c r="B2726" s="1011" t="s">
        <v>57</v>
      </c>
      <c r="C2726" s="993" t="s">
        <v>5595</v>
      </c>
      <c r="D2726" s="3">
        <v>200105637</v>
      </c>
      <c r="E2726" s="1469" t="s">
        <v>5888</v>
      </c>
      <c r="F2726" s="1028">
        <f t="shared" si="43"/>
        <v>12</v>
      </c>
      <c r="G2726" s="1030"/>
      <c r="H2726" s="1029"/>
      <c r="I2726" s="1030"/>
      <c r="J2726" s="1030"/>
      <c r="K2726" s="1029"/>
      <c r="L2726" s="1029"/>
      <c r="M2726" s="1029"/>
      <c r="N2726" s="832"/>
      <c r="O2726" s="1029"/>
      <c r="P2726" s="1029"/>
      <c r="Q2726" s="1030"/>
      <c r="R2726" s="1029"/>
      <c r="S2726" s="1029"/>
      <c r="T2726" s="1029"/>
      <c r="U2726" s="1029"/>
      <c r="V2726" s="1029"/>
      <c r="W2726" s="832"/>
      <c r="X2726" s="832"/>
      <c r="Y2726" s="832"/>
      <c r="Z2726" s="832"/>
      <c r="AA2726" s="1034"/>
      <c r="AB2726" s="1034"/>
      <c r="AC2726" s="1034"/>
      <c r="AD2726" s="1034"/>
      <c r="AE2726" s="1034"/>
      <c r="AF2726" s="1034"/>
      <c r="AG2726" s="1034"/>
      <c r="AH2726" s="1034"/>
      <c r="AI2726" s="1034"/>
      <c r="AJ2726" s="1034"/>
      <c r="AK2726" s="1034"/>
      <c r="AL2726" s="1034"/>
      <c r="AM2726" s="1034"/>
    </row>
    <row r="2727" spans="2:39">
      <c r="B2727" s="1011" t="s">
        <v>57</v>
      </c>
      <c r="C2727" s="993" t="s">
        <v>5595</v>
      </c>
      <c r="D2727" s="3">
        <v>200105638</v>
      </c>
      <c r="E2727" s="1469" t="s">
        <v>5889</v>
      </c>
      <c r="F2727" s="1028">
        <f t="shared" si="43"/>
        <v>13</v>
      </c>
      <c r="G2727" s="1030"/>
      <c r="H2727" s="1029"/>
      <c r="I2727" s="1030"/>
      <c r="J2727" s="1030"/>
      <c r="K2727" s="1029"/>
      <c r="L2727" s="1029"/>
      <c r="M2727" s="1029"/>
      <c r="N2727" s="832"/>
      <c r="O2727" s="1029"/>
      <c r="P2727" s="1029"/>
      <c r="Q2727" s="1030"/>
      <c r="R2727" s="1029"/>
      <c r="S2727" s="1029"/>
      <c r="T2727" s="1029"/>
      <c r="U2727" s="1029"/>
      <c r="V2727" s="1029"/>
      <c r="W2727" s="832"/>
      <c r="X2727" s="832"/>
      <c r="Y2727" s="832"/>
      <c r="Z2727" s="832"/>
      <c r="AA2727" s="1034"/>
      <c r="AB2727" s="1034"/>
      <c r="AC2727" s="1034"/>
      <c r="AD2727" s="1034"/>
      <c r="AE2727" s="1034"/>
      <c r="AF2727" s="1034"/>
      <c r="AG2727" s="1034"/>
      <c r="AH2727" s="1034"/>
      <c r="AI2727" s="1034"/>
      <c r="AJ2727" s="1034"/>
      <c r="AK2727" s="1034"/>
      <c r="AL2727" s="1034"/>
      <c r="AM2727" s="1034"/>
    </row>
    <row r="2728" spans="2:39">
      <c r="B2728" s="1011" t="s">
        <v>57</v>
      </c>
      <c r="C2728" s="993" t="s">
        <v>5595</v>
      </c>
      <c r="D2728" s="3">
        <v>200105639</v>
      </c>
      <c r="E2728" s="1469" t="s">
        <v>5890</v>
      </c>
      <c r="F2728" s="1028">
        <f t="shared" si="43"/>
        <v>14</v>
      </c>
      <c r="G2728" s="1030"/>
      <c r="H2728" s="1029"/>
      <c r="I2728" s="1030"/>
      <c r="J2728" s="1030"/>
      <c r="K2728" s="1029"/>
      <c r="L2728" s="1029"/>
      <c r="M2728" s="1029"/>
      <c r="N2728" s="832"/>
      <c r="O2728" s="1029"/>
      <c r="P2728" s="1029"/>
      <c r="Q2728" s="1030"/>
      <c r="R2728" s="1029"/>
      <c r="S2728" s="1029"/>
      <c r="T2728" s="1029"/>
      <c r="U2728" s="1029"/>
      <c r="V2728" s="1029"/>
      <c r="W2728" s="832"/>
      <c r="X2728" s="832"/>
      <c r="Y2728" s="832"/>
      <c r="Z2728" s="832"/>
      <c r="AA2728" s="1034"/>
      <c r="AB2728" s="1034"/>
      <c r="AC2728" s="1034"/>
      <c r="AD2728" s="1034"/>
      <c r="AE2728" s="1034"/>
      <c r="AF2728" s="1034"/>
      <c r="AG2728" s="1034"/>
      <c r="AH2728" s="1034"/>
      <c r="AI2728" s="1034"/>
      <c r="AJ2728" s="1034"/>
      <c r="AK2728" s="1034"/>
      <c r="AL2728" s="1034"/>
      <c r="AM2728" s="1034"/>
    </row>
    <row r="2729" spans="2:39">
      <c r="B2729" s="1011" t="s">
        <v>57</v>
      </c>
      <c r="C2729" s="993" t="s">
        <v>5595</v>
      </c>
      <c r="D2729" s="3">
        <v>200105640</v>
      </c>
      <c r="E2729" s="1469" t="s">
        <v>5891</v>
      </c>
      <c r="F2729" s="1028">
        <f t="shared" si="43"/>
        <v>15</v>
      </c>
      <c r="G2729" s="1030"/>
      <c r="H2729" s="1029"/>
      <c r="I2729" s="1030"/>
      <c r="J2729" s="1030"/>
      <c r="K2729" s="1029"/>
      <c r="L2729" s="1029"/>
      <c r="M2729" s="1029"/>
      <c r="N2729" s="832"/>
      <c r="O2729" s="1029"/>
      <c r="P2729" s="1029"/>
      <c r="Q2729" s="1030"/>
      <c r="R2729" s="1029"/>
      <c r="S2729" s="1029"/>
      <c r="T2729" s="1029"/>
      <c r="U2729" s="1029"/>
      <c r="V2729" s="1029"/>
      <c r="W2729" s="832"/>
      <c r="X2729" s="832"/>
      <c r="Y2729" s="832"/>
      <c r="Z2729" s="832"/>
      <c r="AA2729" s="1034"/>
      <c r="AB2729" s="1034"/>
      <c r="AC2729" s="1034"/>
      <c r="AD2729" s="1034"/>
      <c r="AE2729" s="1034"/>
      <c r="AF2729" s="1034"/>
      <c r="AG2729" s="1034"/>
      <c r="AH2729" s="1034"/>
      <c r="AI2729" s="1034"/>
      <c r="AJ2729" s="1034"/>
      <c r="AK2729" s="1034"/>
      <c r="AL2729" s="1034"/>
      <c r="AM2729" s="1034"/>
    </row>
    <row r="2730" spans="2:39">
      <c r="B2730" s="1011" t="s">
        <v>57</v>
      </c>
      <c r="C2730" s="993" t="s">
        <v>5595</v>
      </c>
      <c r="D2730" s="3">
        <v>200105641</v>
      </c>
      <c r="E2730" s="1469" t="s">
        <v>5892</v>
      </c>
      <c r="F2730" s="1028">
        <f t="shared" si="43"/>
        <v>16</v>
      </c>
      <c r="G2730" s="1030"/>
      <c r="H2730" s="1029"/>
      <c r="I2730" s="1030"/>
      <c r="J2730" s="1030"/>
      <c r="K2730" s="1029"/>
      <c r="L2730" s="1029"/>
      <c r="M2730" s="1029"/>
      <c r="N2730" s="832"/>
      <c r="O2730" s="1029"/>
      <c r="P2730" s="1029"/>
      <c r="Q2730" s="1030"/>
      <c r="R2730" s="1029"/>
      <c r="S2730" s="1029"/>
      <c r="T2730" s="1029"/>
      <c r="U2730" s="1029"/>
      <c r="V2730" s="1029"/>
      <c r="W2730" s="832"/>
      <c r="X2730" s="832"/>
      <c r="Y2730" s="832"/>
      <c r="Z2730" s="832"/>
      <c r="AA2730" s="1034"/>
      <c r="AB2730" s="1034"/>
      <c r="AC2730" s="1034"/>
      <c r="AD2730" s="1034"/>
      <c r="AE2730" s="1034"/>
      <c r="AF2730" s="1034"/>
      <c r="AG2730" s="1034"/>
      <c r="AH2730" s="1034"/>
      <c r="AI2730" s="1034"/>
      <c r="AJ2730" s="1034"/>
      <c r="AK2730" s="1034"/>
      <c r="AL2730" s="1034"/>
      <c r="AM2730" s="1034"/>
    </row>
    <row r="2731" spans="2:39">
      <c r="B2731" s="1011" t="s">
        <v>57</v>
      </c>
      <c r="C2731" s="993" t="s">
        <v>5595</v>
      </c>
      <c r="D2731" s="3">
        <v>200105642</v>
      </c>
      <c r="E2731" s="1469" t="s">
        <v>5893</v>
      </c>
      <c r="F2731" s="1028">
        <f t="shared" si="43"/>
        <v>17</v>
      </c>
      <c r="G2731" s="1030"/>
      <c r="H2731" s="1029"/>
      <c r="I2731" s="1030"/>
      <c r="J2731" s="1030"/>
      <c r="K2731" s="1029"/>
      <c r="L2731" s="1029"/>
      <c r="M2731" s="1029"/>
      <c r="N2731" s="832"/>
      <c r="O2731" s="1029"/>
      <c r="P2731" s="1029"/>
      <c r="Q2731" s="1030"/>
      <c r="R2731" s="1029"/>
      <c r="S2731" s="1029"/>
      <c r="T2731" s="1029"/>
      <c r="U2731" s="1029"/>
      <c r="V2731" s="1029"/>
      <c r="W2731" s="832"/>
      <c r="X2731" s="832"/>
      <c r="Y2731" s="832"/>
      <c r="Z2731" s="832"/>
      <c r="AA2731" s="1034"/>
      <c r="AB2731" s="1034"/>
      <c r="AC2731" s="1034"/>
      <c r="AD2731" s="1034"/>
      <c r="AE2731" s="1034"/>
      <c r="AF2731" s="1034"/>
      <c r="AG2731" s="1034"/>
      <c r="AH2731" s="1034"/>
      <c r="AI2731" s="1034"/>
      <c r="AJ2731" s="1034"/>
      <c r="AK2731" s="1034"/>
      <c r="AL2731" s="1034"/>
      <c r="AM2731" s="1034"/>
    </row>
    <row r="2732" spans="2:39">
      <c r="B2732" s="1011" t="s">
        <v>57</v>
      </c>
      <c r="C2732" s="993" t="s">
        <v>5595</v>
      </c>
      <c r="D2732" s="3">
        <v>200105647</v>
      </c>
      <c r="E2732" s="1469" t="s">
        <v>5894</v>
      </c>
      <c r="F2732" s="1028">
        <f t="shared" si="43"/>
        <v>18</v>
      </c>
      <c r="G2732" s="1030"/>
      <c r="H2732" s="1029"/>
      <c r="I2732" s="1030"/>
      <c r="J2732" s="1030"/>
      <c r="K2732" s="1029"/>
      <c r="L2732" s="1029"/>
      <c r="M2732" s="1029"/>
      <c r="N2732" s="832"/>
      <c r="O2732" s="1029"/>
      <c r="P2732" s="1029"/>
      <c r="Q2732" s="1030"/>
      <c r="R2732" s="1029"/>
      <c r="S2732" s="1029"/>
      <c r="T2732" s="1029"/>
      <c r="U2732" s="1029"/>
      <c r="V2732" s="1029"/>
      <c r="W2732" s="832"/>
      <c r="X2732" s="832"/>
      <c r="Y2732" s="832"/>
      <c r="Z2732" s="832"/>
      <c r="AA2732" s="1034"/>
      <c r="AB2732" s="1034"/>
      <c r="AC2732" s="1034"/>
      <c r="AD2732" s="1034"/>
      <c r="AE2732" s="1034"/>
      <c r="AF2732" s="1034"/>
      <c r="AG2732" s="1034"/>
      <c r="AH2732" s="1034"/>
      <c r="AI2732" s="1034"/>
      <c r="AJ2732" s="1034"/>
      <c r="AK2732" s="1034"/>
      <c r="AL2732" s="1034"/>
      <c r="AM2732" s="1034"/>
    </row>
    <row r="2733" spans="2:39">
      <c r="B2733" s="1011" t="s">
        <v>57</v>
      </c>
      <c r="C2733" s="993" t="s">
        <v>5595</v>
      </c>
      <c r="D2733" s="3">
        <v>200105648</v>
      </c>
      <c r="E2733" s="1469" t="s">
        <v>5895</v>
      </c>
      <c r="F2733" s="1028">
        <f t="shared" si="43"/>
        <v>19</v>
      </c>
      <c r="G2733" s="1030"/>
      <c r="H2733" s="1029"/>
      <c r="I2733" s="1030"/>
      <c r="J2733" s="1030"/>
      <c r="K2733" s="1029"/>
      <c r="L2733" s="1029"/>
      <c r="M2733" s="1029"/>
      <c r="N2733" s="832"/>
      <c r="O2733" s="1029"/>
      <c r="P2733" s="1029"/>
      <c r="Q2733" s="1030"/>
      <c r="R2733" s="1029"/>
      <c r="S2733" s="1029"/>
      <c r="T2733" s="1029"/>
      <c r="U2733" s="1029"/>
      <c r="V2733" s="1029"/>
      <c r="W2733" s="832"/>
      <c r="X2733" s="832"/>
      <c r="Y2733" s="832"/>
      <c r="Z2733" s="832"/>
      <c r="AA2733" s="1034"/>
      <c r="AB2733" s="1034"/>
      <c r="AC2733" s="1034"/>
      <c r="AD2733" s="1034"/>
      <c r="AE2733" s="1034"/>
      <c r="AF2733" s="1034"/>
      <c r="AG2733" s="1034"/>
      <c r="AH2733" s="1034"/>
      <c r="AI2733" s="1034"/>
      <c r="AJ2733" s="1034"/>
      <c r="AK2733" s="1034"/>
      <c r="AL2733" s="1034"/>
      <c r="AM2733" s="1034"/>
    </row>
    <row r="2734" spans="2:39">
      <c r="B2734" s="1011" t="s">
        <v>57</v>
      </c>
      <c r="C2734" s="993" t="s">
        <v>5595</v>
      </c>
      <c r="D2734" s="3">
        <v>200105649</v>
      </c>
      <c r="E2734" s="1469" t="s">
        <v>5896</v>
      </c>
      <c r="F2734" s="1028">
        <f t="shared" si="43"/>
        <v>20</v>
      </c>
      <c r="G2734" s="1030"/>
      <c r="H2734" s="1029"/>
      <c r="I2734" s="1030"/>
      <c r="J2734" s="1030"/>
      <c r="K2734" s="1029"/>
      <c r="L2734" s="1029"/>
      <c r="M2734" s="1029"/>
      <c r="N2734" s="832"/>
      <c r="O2734" s="1029"/>
      <c r="P2734" s="1029"/>
      <c r="Q2734" s="1030"/>
      <c r="R2734" s="1029"/>
      <c r="S2734" s="1029"/>
      <c r="T2734" s="1029"/>
      <c r="U2734" s="1029"/>
      <c r="V2734" s="1029"/>
      <c r="W2734" s="832"/>
      <c r="X2734" s="832"/>
      <c r="Y2734" s="832"/>
      <c r="Z2734" s="832"/>
      <c r="AA2734" s="1034"/>
      <c r="AB2734" s="1034"/>
      <c r="AC2734" s="1034"/>
      <c r="AD2734" s="1034"/>
      <c r="AE2734" s="1034"/>
      <c r="AF2734" s="1034"/>
      <c r="AG2734" s="1034"/>
      <c r="AH2734" s="1034"/>
      <c r="AI2734" s="1034"/>
      <c r="AJ2734" s="1034"/>
      <c r="AK2734" s="1034"/>
      <c r="AL2734" s="1034"/>
      <c r="AM2734" s="1034"/>
    </row>
    <row r="2735" spans="2:39">
      <c r="B2735" s="1011" t="s">
        <v>57</v>
      </c>
      <c r="C2735" s="993" t="s">
        <v>5595</v>
      </c>
      <c r="D2735" s="3">
        <v>200105650</v>
      </c>
      <c r="E2735" s="1469" t="s">
        <v>5897</v>
      </c>
      <c r="F2735" s="1028">
        <f t="shared" si="43"/>
        <v>21</v>
      </c>
      <c r="G2735" s="1030"/>
      <c r="H2735" s="1029"/>
      <c r="I2735" s="1030"/>
      <c r="J2735" s="1030"/>
      <c r="K2735" s="1029"/>
      <c r="L2735" s="1029"/>
      <c r="M2735" s="1029"/>
      <c r="N2735" s="832"/>
      <c r="O2735" s="1029"/>
      <c r="P2735" s="1029"/>
      <c r="Q2735" s="1030"/>
      <c r="R2735" s="1029"/>
      <c r="S2735" s="1029"/>
      <c r="T2735" s="1029"/>
      <c r="U2735" s="1029"/>
      <c r="V2735" s="1029"/>
      <c r="W2735" s="832"/>
      <c r="X2735" s="832"/>
      <c r="Y2735" s="832"/>
      <c r="Z2735" s="832"/>
      <c r="AA2735" s="1034"/>
      <c r="AB2735" s="1034"/>
      <c r="AC2735" s="1034"/>
      <c r="AD2735" s="1034"/>
      <c r="AE2735" s="1034"/>
      <c r="AF2735" s="1034"/>
      <c r="AG2735" s="1034"/>
      <c r="AH2735" s="1034"/>
      <c r="AI2735" s="1034"/>
      <c r="AJ2735" s="1034"/>
      <c r="AK2735" s="1034"/>
      <c r="AL2735" s="1034"/>
      <c r="AM2735" s="1034"/>
    </row>
    <row r="2736" spans="2:39">
      <c r="B2736" s="1011" t="s">
        <v>57</v>
      </c>
      <c r="C2736" s="993" t="s">
        <v>5595</v>
      </c>
      <c r="D2736" s="3">
        <v>200105763</v>
      </c>
      <c r="E2736" s="1469" t="s">
        <v>5898</v>
      </c>
      <c r="F2736" s="1028">
        <f t="shared" ref="F2736:F2768" si="44">F2735+1</f>
        <v>22</v>
      </c>
      <c r="G2736" s="1030"/>
      <c r="H2736" s="1029"/>
      <c r="I2736" s="1030"/>
      <c r="J2736" s="1030"/>
      <c r="K2736" s="1029"/>
      <c r="L2736" s="1029"/>
      <c r="M2736" s="1029"/>
      <c r="N2736" s="832"/>
      <c r="O2736" s="1029"/>
      <c r="P2736" s="1029"/>
      <c r="Q2736" s="1030"/>
      <c r="R2736" s="1029"/>
      <c r="S2736" s="1029"/>
      <c r="T2736" s="1029"/>
      <c r="U2736" s="1029"/>
      <c r="V2736" s="1029"/>
      <c r="W2736" s="832"/>
      <c r="X2736" s="832"/>
      <c r="Y2736" s="832"/>
      <c r="Z2736" s="832"/>
      <c r="AA2736" s="1034"/>
      <c r="AB2736" s="1034"/>
      <c r="AC2736" s="1034"/>
      <c r="AD2736" s="1034"/>
      <c r="AE2736" s="1034"/>
      <c r="AF2736" s="1034"/>
      <c r="AG2736" s="1034"/>
      <c r="AH2736" s="1034"/>
      <c r="AI2736" s="1034"/>
      <c r="AJ2736" s="1034"/>
      <c r="AK2736" s="1034"/>
      <c r="AL2736" s="1034"/>
      <c r="AM2736" s="1034"/>
    </row>
    <row r="2737" spans="2:39">
      <c r="B2737" s="1011" t="s">
        <v>57</v>
      </c>
      <c r="C2737" s="993" t="s">
        <v>5595</v>
      </c>
      <c r="D2737" s="3">
        <v>200105764</v>
      </c>
      <c r="E2737" s="1469" t="s">
        <v>5899</v>
      </c>
      <c r="F2737" s="1028">
        <f t="shared" si="44"/>
        <v>23</v>
      </c>
      <c r="G2737" s="1030"/>
      <c r="H2737" s="1029"/>
      <c r="I2737" s="1030"/>
      <c r="J2737" s="1030"/>
      <c r="K2737" s="1029"/>
      <c r="L2737" s="1029"/>
      <c r="M2737" s="1029"/>
      <c r="N2737" s="832"/>
      <c r="O2737" s="1029"/>
      <c r="P2737" s="1029"/>
      <c r="Q2737" s="1030"/>
      <c r="R2737" s="1029"/>
      <c r="S2737" s="1029"/>
      <c r="T2737" s="1029"/>
      <c r="U2737" s="1029"/>
      <c r="V2737" s="1029"/>
      <c r="W2737" s="832"/>
      <c r="X2737" s="832"/>
      <c r="Y2737" s="832"/>
      <c r="Z2737" s="832"/>
      <c r="AA2737" s="1034"/>
      <c r="AB2737" s="1034"/>
      <c r="AC2737" s="1034"/>
      <c r="AD2737" s="1034"/>
      <c r="AE2737" s="1034"/>
      <c r="AF2737" s="1034"/>
      <c r="AG2737" s="1034"/>
      <c r="AH2737" s="1034"/>
      <c r="AI2737" s="1034"/>
      <c r="AJ2737" s="1034"/>
      <c r="AK2737" s="1034"/>
      <c r="AL2737" s="1034"/>
      <c r="AM2737" s="1034"/>
    </row>
    <row r="2738" spans="2:39">
      <c r="B2738" s="1011" t="s">
        <v>57</v>
      </c>
      <c r="C2738" s="993" t="s">
        <v>5595</v>
      </c>
      <c r="D2738" s="3">
        <v>200105765</v>
      </c>
      <c r="E2738" s="1469" t="s">
        <v>5900</v>
      </c>
      <c r="F2738" s="1028">
        <f t="shared" si="44"/>
        <v>24</v>
      </c>
      <c r="G2738" s="1030"/>
      <c r="H2738" s="1029"/>
      <c r="I2738" s="1030"/>
      <c r="J2738" s="1030"/>
      <c r="K2738" s="1029"/>
      <c r="L2738" s="1029"/>
      <c r="M2738" s="1029"/>
      <c r="N2738" s="832"/>
      <c r="O2738" s="1029"/>
      <c r="P2738" s="1029"/>
      <c r="Q2738" s="1030"/>
      <c r="R2738" s="1029"/>
      <c r="S2738" s="1029"/>
      <c r="T2738" s="1029"/>
      <c r="U2738" s="1029"/>
      <c r="V2738" s="1029"/>
      <c r="W2738" s="832"/>
      <c r="X2738" s="832"/>
      <c r="Y2738" s="832"/>
      <c r="Z2738" s="832"/>
      <c r="AA2738" s="1034"/>
      <c r="AB2738" s="1034"/>
      <c r="AC2738" s="1034"/>
      <c r="AD2738" s="1034"/>
      <c r="AE2738" s="1034"/>
      <c r="AF2738" s="1034"/>
      <c r="AG2738" s="1034"/>
      <c r="AH2738" s="1034"/>
      <c r="AI2738" s="1034"/>
      <c r="AJ2738" s="1034"/>
      <c r="AK2738" s="1034"/>
      <c r="AL2738" s="1034"/>
      <c r="AM2738" s="1034"/>
    </row>
    <row r="2739" spans="2:39">
      <c r="B2739" s="1011" t="s">
        <v>57</v>
      </c>
      <c r="C2739" s="993" t="s">
        <v>5595</v>
      </c>
      <c r="D2739" s="3">
        <v>200105766</v>
      </c>
      <c r="E2739" s="1469" t="s">
        <v>5901</v>
      </c>
      <c r="F2739" s="1028">
        <f t="shared" si="44"/>
        <v>25</v>
      </c>
      <c r="G2739" s="1030"/>
      <c r="H2739" s="1029"/>
      <c r="I2739" s="1030"/>
      <c r="J2739" s="1030"/>
      <c r="K2739" s="1029"/>
      <c r="L2739" s="1029"/>
      <c r="M2739" s="1029"/>
      <c r="N2739" s="832"/>
      <c r="O2739" s="1029"/>
      <c r="P2739" s="1029"/>
      <c r="Q2739" s="1030"/>
      <c r="R2739" s="1029"/>
      <c r="S2739" s="1029"/>
      <c r="T2739" s="1029"/>
      <c r="U2739" s="1029"/>
      <c r="V2739" s="1029"/>
      <c r="W2739" s="832"/>
      <c r="X2739" s="832"/>
      <c r="Y2739" s="832"/>
      <c r="Z2739" s="832"/>
      <c r="AA2739" s="1034"/>
      <c r="AB2739" s="1034"/>
      <c r="AC2739" s="1034"/>
      <c r="AD2739" s="1034"/>
      <c r="AE2739" s="1034"/>
      <c r="AF2739" s="1034"/>
      <c r="AG2739" s="1034"/>
      <c r="AH2739" s="1034"/>
      <c r="AI2739" s="1034"/>
      <c r="AJ2739" s="1034"/>
      <c r="AK2739" s="1034"/>
      <c r="AL2739" s="1034"/>
      <c r="AM2739" s="1034"/>
    </row>
    <row r="2740" spans="2:39">
      <c r="B2740" s="1011" t="s">
        <v>57</v>
      </c>
      <c r="C2740" s="993" t="s">
        <v>5595</v>
      </c>
      <c r="D2740" s="3">
        <v>200105767</v>
      </c>
      <c r="E2740" s="1469" t="s">
        <v>5902</v>
      </c>
      <c r="F2740" s="1028">
        <f t="shared" si="44"/>
        <v>26</v>
      </c>
      <c r="G2740" s="1030"/>
      <c r="H2740" s="1029"/>
      <c r="I2740" s="1030"/>
      <c r="J2740" s="1030"/>
      <c r="K2740" s="1029"/>
      <c r="L2740" s="1029"/>
      <c r="M2740" s="1029"/>
      <c r="N2740" s="832"/>
      <c r="O2740" s="1029"/>
      <c r="P2740" s="1029"/>
      <c r="Q2740" s="1030"/>
      <c r="R2740" s="1029"/>
      <c r="S2740" s="1029"/>
      <c r="T2740" s="1029"/>
      <c r="U2740" s="1029"/>
      <c r="V2740" s="1029"/>
      <c r="W2740" s="832"/>
      <c r="X2740" s="832"/>
      <c r="Y2740" s="832"/>
      <c r="Z2740" s="832"/>
      <c r="AA2740" s="1034"/>
      <c r="AB2740" s="1034"/>
      <c r="AC2740" s="1034"/>
      <c r="AD2740" s="1034"/>
      <c r="AE2740" s="1034"/>
      <c r="AF2740" s="1034"/>
      <c r="AG2740" s="1034"/>
      <c r="AH2740" s="1034"/>
      <c r="AI2740" s="1034"/>
      <c r="AJ2740" s="1034"/>
      <c r="AK2740" s="1034"/>
      <c r="AL2740" s="1034"/>
      <c r="AM2740" s="1034"/>
    </row>
    <row r="2741" spans="2:39">
      <c r="B2741" s="1011" t="s">
        <v>57</v>
      </c>
      <c r="C2741" s="993" t="s">
        <v>5595</v>
      </c>
      <c r="D2741" s="3">
        <v>200105768</v>
      </c>
      <c r="E2741" s="1469" t="s">
        <v>5903</v>
      </c>
      <c r="F2741" s="1028">
        <f t="shared" si="44"/>
        <v>27</v>
      </c>
      <c r="G2741" s="1030"/>
      <c r="H2741" s="1029"/>
      <c r="I2741" s="1030"/>
      <c r="J2741" s="1030"/>
      <c r="K2741" s="1029"/>
      <c r="L2741" s="1029"/>
      <c r="M2741" s="1029"/>
      <c r="N2741" s="832"/>
      <c r="O2741" s="1029"/>
      <c r="P2741" s="1029"/>
      <c r="Q2741" s="1030"/>
      <c r="R2741" s="1029"/>
      <c r="S2741" s="1029"/>
      <c r="T2741" s="1029"/>
      <c r="U2741" s="1029"/>
      <c r="V2741" s="1029"/>
      <c r="W2741" s="832"/>
      <c r="X2741" s="832"/>
      <c r="Y2741" s="832"/>
      <c r="Z2741" s="832"/>
      <c r="AA2741" s="1034"/>
      <c r="AB2741" s="1034"/>
      <c r="AC2741" s="1034"/>
      <c r="AD2741" s="1034"/>
      <c r="AE2741" s="1034"/>
      <c r="AF2741" s="1034"/>
      <c r="AG2741" s="1034"/>
      <c r="AH2741" s="1034"/>
      <c r="AI2741" s="1034"/>
      <c r="AJ2741" s="1034"/>
      <c r="AK2741" s="1034"/>
      <c r="AL2741" s="1034"/>
      <c r="AM2741" s="1034"/>
    </row>
    <row r="2742" spans="2:39">
      <c r="B2742" s="1011" t="s">
        <v>57</v>
      </c>
      <c r="C2742" s="993" t="s">
        <v>5595</v>
      </c>
      <c r="D2742" s="3">
        <v>200105769</v>
      </c>
      <c r="E2742" s="1469" t="s">
        <v>5904</v>
      </c>
      <c r="F2742" s="1028">
        <f t="shared" si="44"/>
        <v>28</v>
      </c>
      <c r="G2742" s="1030"/>
      <c r="H2742" s="1029"/>
      <c r="I2742" s="1030"/>
      <c r="J2742" s="1030"/>
      <c r="K2742" s="1029"/>
      <c r="L2742" s="1029"/>
      <c r="M2742" s="1029"/>
      <c r="N2742" s="832"/>
      <c r="O2742" s="1029"/>
      <c r="P2742" s="1029"/>
      <c r="Q2742" s="1030"/>
      <c r="R2742" s="1029"/>
      <c r="S2742" s="1029"/>
      <c r="T2742" s="1029"/>
      <c r="U2742" s="1029"/>
      <c r="V2742" s="1029"/>
      <c r="W2742" s="832"/>
      <c r="X2742" s="832"/>
      <c r="Y2742" s="832"/>
      <c r="Z2742" s="832"/>
      <c r="AA2742" s="1034"/>
      <c r="AB2742" s="1034"/>
      <c r="AC2742" s="1034"/>
      <c r="AD2742" s="1034"/>
      <c r="AE2742" s="1034"/>
      <c r="AF2742" s="1034"/>
      <c r="AG2742" s="1034"/>
      <c r="AH2742" s="1034"/>
      <c r="AI2742" s="1034"/>
      <c r="AJ2742" s="1034"/>
      <c r="AK2742" s="1034"/>
      <c r="AL2742" s="1034"/>
      <c r="AM2742" s="1034"/>
    </row>
    <row r="2743" spans="2:39">
      <c r="B2743" s="1011" t="s">
        <v>57</v>
      </c>
      <c r="C2743" s="993" t="s">
        <v>5595</v>
      </c>
      <c r="D2743" s="3">
        <v>200105770</v>
      </c>
      <c r="E2743" s="1469" t="s">
        <v>5905</v>
      </c>
      <c r="F2743" s="1028">
        <f t="shared" si="44"/>
        <v>29</v>
      </c>
      <c r="G2743" s="1030"/>
      <c r="H2743" s="1029"/>
      <c r="I2743" s="1030"/>
      <c r="J2743" s="1030"/>
      <c r="K2743" s="1029"/>
      <c r="L2743" s="1029"/>
      <c r="M2743" s="1029"/>
      <c r="N2743" s="832"/>
      <c r="O2743" s="1029"/>
      <c r="P2743" s="1029"/>
      <c r="Q2743" s="1030"/>
      <c r="R2743" s="1029"/>
      <c r="S2743" s="1029"/>
      <c r="T2743" s="1029"/>
      <c r="U2743" s="1029"/>
      <c r="V2743" s="1029"/>
      <c r="W2743" s="832"/>
      <c r="X2743" s="832"/>
      <c r="Y2743" s="832"/>
      <c r="Z2743" s="832"/>
      <c r="AA2743" s="1034"/>
      <c r="AB2743" s="1034"/>
      <c r="AC2743" s="1034"/>
      <c r="AD2743" s="1034"/>
      <c r="AE2743" s="1034"/>
      <c r="AF2743" s="1034"/>
      <c r="AG2743" s="1034"/>
      <c r="AH2743" s="1034"/>
      <c r="AI2743" s="1034"/>
      <c r="AJ2743" s="1034"/>
      <c r="AK2743" s="1034"/>
      <c r="AL2743" s="1034"/>
      <c r="AM2743" s="1034"/>
    </row>
    <row r="2744" spans="2:39">
      <c r="B2744" s="1011" t="s">
        <v>57</v>
      </c>
      <c r="C2744" s="993" t="s">
        <v>5595</v>
      </c>
      <c r="D2744" s="3">
        <v>200105771</v>
      </c>
      <c r="E2744" s="1469" t="s">
        <v>5906</v>
      </c>
      <c r="F2744" s="1028">
        <f t="shared" si="44"/>
        <v>30</v>
      </c>
      <c r="G2744" s="1030"/>
      <c r="H2744" s="1029"/>
      <c r="I2744" s="1030"/>
      <c r="J2744" s="1030"/>
      <c r="K2744" s="1029"/>
      <c r="L2744" s="1029"/>
      <c r="M2744" s="1029"/>
      <c r="N2744" s="832"/>
      <c r="O2744" s="1029"/>
      <c r="P2744" s="1029"/>
      <c r="Q2744" s="1030"/>
      <c r="R2744" s="1029"/>
      <c r="S2744" s="1029"/>
      <c r="T2744" s="1029"/>
      <c r="U2744" s="1029"/>
      <c r="V2744" s="1029"/>
      <c r="W2744" s="832"/>
      <c r="X2744" s="832"/>
      <c r="Y2744" s="832"/>
      <c r="Z2744" s="832"/>
      <c r="AA2744" s="1034"/>
      <c r="AB2744" s="1034"/>
      <c r="AC2744" s="1034"/>
      <c r="AD2744" s="1034"/>
      <c r="AE2744" s="1034"/>
      <c r="AF2744" s="1034"/>
      <c r="AG2744" s="1034"/>
      <c r="AH2744" s="1034"/>
      <c r="AI2744" s="1034"/>
      <c r="AJ2744" s="1034"/>
      <c r="AK2744" s="1034"/>
      <c r="AL2744" s="1034"/>
      <c r="AM2744" s="1034"/>
    </row>
    <row r="2745" spans="2:39">
      <c r="B2745" s="1011" t="s">
        <v>57</v>
      </c>
      <c r="C2745" s="993" t="s">
        <v>5595</v>
      </c>
      <c r="D2745" s="3">
        <v>200105826</v>
      </c>
      <c r="E2745" s="1469" t="s">
        <v>5907</v>
      </c>
      <c r="F2745" s="1028">
        <f t="shared" si="44"/>
        <v>31</v>
      </c>
      <c r="G2745" s="1030"/>
      <c r="H2745" s="1029"/>
      <c r="I2745" s="1030"/>
      <c r="J2745" s="1030"/>
      <c r="K2745" s="1029"/>
      <c r="L2745" s="1029"/>
      <c r="M2745" s="1029"/>
      <c r="N2745" s="832"/>
      <c r="O2745" s="1029"/>
      <c r="P2745" s="1029"/>
      <c r="Q2745" s="1030"/>
      <c r="R2745" s="1029"/>
      <c r="S2745" s="1029"/>
      <c r="T2745" s="1029"/>
      <c r="U2745" s="1029"/>
      <c r="V2745" s="1029"/>
      <c r="W2745" s="832"/>
      <c r="X2745" s="832"/>
      <c r="Y2745" s="832"/>
      <c r="Z2745" s="832"/>
      <c r="AA2745" s="1034"/>
      <c r="AB2745" s="1034"/>
      <c r="AC2745" s="1034"/>
      <c r="AD2745" s="1034"/>
      <c r="AE2745" s="1034"/>
      <c r="AF2745" s="1034"/>
      <c r="AG2745" s="1034"/>
      <c r="AH2745" s="1034"/>
      <c r="AI2745" s="1034"/>
      <c r="AJ2745" s="1034"/>
      <c r="AK2745" s="1034"/>
      <c r="AL2745" s="1034"/>
      <c r="AM2745" s="1034"/>
    </row>
    <row r="2746" spans="2:39">
      <c r="B2746" s="1011" t="s">
        <v>57</v>
      </c>
      <c r="C2746" s="993" t="s">
        <v>5595</v>
      </c>
      <c r="D2746" s="3">
        <v>200105827</v>
      </c>
      <c r="E2746" s="1469" t="s">
        <v>5908</v>
      </c>
      <c r="F2746" s="1028">
        <f t="shared" si="44"/>
        <v>32</v>
      </c>
      <c r="G2746" s="1030"/>
      <c r="H2746" s="1029"/>
      <c r="I2746" s="1030"/>
      <c r="J2746" s="1030"/>
      <c r="K2746" s="1029"/>
      <c r="L2746" s="1029"/>
      <c r="M2746" s="1029"/>
      <c r="N2746" s="832"/>
      <c r="O2746" s="1029"/>
      <c r="P2746" s="1029"/>
      <c r="Q2746" s="1030"/>
      <c r="R2746" s="1029"/>
      <c r="S2746" s="1029"/>
      <c r="T2746" s="1029"/>
      <c r="U2746" s="1029"/>
      <c r="V2746" s="1029"/>
      <c r="W2746" s="832"/>
      <c r="X2746" s="832"/>
      <c r="Y2746" s="832"/>
      <c r="Z2746" s="832"/>
      <c r="AA2746" s="1034"/>
      <c r="AB2746" s="1034"/>
      <c r="AC2746" s="1034"/>
      <c r="AD2746" s="1034"/>
      <c r="AE2746" s="1034"/>
      <c r="AF2746" s="1034"/>
      <c r="AG2746" s="1034"/>
      <c r="AH2746" s="1034"/>
      <c r="AI2746" s="1034"/>
      <c r="AJ2746" s="1034"/>
      <c r="AK2746" s="1034"/>
      <c r="AL2746" s="1034"/>
      <c r="AM2746" s="1034"/>
    </row>
    <row r="2747" spans="2:39">
      <c r="B2747" s="1011" t="s">
        <v>57</v>
      </c>
      <c r="C2747" s="993" t="s">
        <v>5595</v>
      </c>
      <c r="D2747" s="3">
        <v>200105828</v>
      </c>
      <c r="E2747" s="1469" t="s">
        <v>5909</v>
      </c>
      <c r="F2747" s="1028">
        <f t="shared" si="44"/>
        <v>33</v>
      </c>
      <c r="G2747" s="1030"/>
      <c r="H2747" s="1029"/>
      <c r="I2747" s="1030"/>
      <c r="J2747" s="1030"/>
      <c r="K2747" s="1029"/>
      <c r="L2747" s="1029"/>
      <c r="M2747" s="1029"/>
      <c r="N2747" s="832"/>
      <c r="O2747" s="1029"/>
      <c r="P2747" s="1029"/>
      <c r="Q2747" s="1030"/>
      <c r="R2747" s="1029"/>
      <c r="S2747" s="1029"/>
      <c r="T2747" s="1029"/>
      <c r="U2747" s="1029"/>
      <c r="V2747" s="1029"/>
      <c r="W2747" s="832"/>
      <c r="X2747" s="832"/>
      <c r="Y2747" s="832"/>
      <c r="Z2747" s="832"/>
      <c r="AA2747" s="1034"/>
      <c r="AB2747" s="1034"/>
      <c r="AC2747" s="1034"/>
      <c r="AD2747" s="1034"/>
      <c r="AE2747" s="1034"/>
      <c r="AF2747" s="1034"/>
      <c r="AG2747" s="1034"/>
      <c r="AH2747" s="1034"/>
      <c r="AI2747" s="1034"/>
      <c r="AJ2747" s="1034"/>
      <c r="AK2747" s="1034"/>
      <c r="AL2747" s="1034"/>
      <c r="AM2747" s="1034"/>
    </row>
    <row r="2748" spans="2:39">
      <c r="B2748" s="1011" t="s">
        <v>57</v>
      </c>
      <c r="C2748" s="993" t="s">
        <v>5595</v>
      </c>
      <c r="D2748" s="3">
        <v>200105829</v>
      </c>
      <c r="E2748" s="1469" t="s">
        <v>5910</v>
      </c>
      <c r="F2748" s="1028">
        <f t="shared" si="44"/>
        <v>34</v>
      </c>
      <c r="G2748" s="1030"/>
      <c r="H2748" s="1029"/>
      <c r="I2748" s="1030"/>
      <c r="J2748" s="1030"/>
      <c r="K2748" s="1029"/>
      <c r="L2748" s="1029"/>
      <c r="M2748" s="1029"/>
      <c r="N2748" s="832"/>
      <c r="O2748" s="1029"/>
      <c r="P2748" s="1029"/>
      <c r="Q2748" s="1030"/>
      <c r="R2748" s="1029"/>
      <c r="S2748" s="1029"/>
      <c r="T2748" s="1029"/>
      <c r="U2748" s="1029"/>
      <c r="V2748" s="1029"/>
      <c r="W2748" s="832"/>
      <c r="X2748" s="832"/>
      <c r="Y2748" s="832"/>
      <c r="Z2748" s="832"/>
      <c r="AA2748" s="1034"/>
      <c r="AB2748" s="1034"/>
      <c r="AC2748" s="1034"/>
      <c r="AD2748" s="1034"/>
      <c r="AE2748" s="1034"/>
      <c r="AF2748" s="1034"/>
      <c r="AG2748" s="1034"/>
      <c r="AH2748" s="1034"/>
      <c r="AI2748" s="1034"/>
      <c r="AJ2748" s="1034"/>
      <c r="AK2748" s="1034"/>
      <c r="AL2748" s="1034"/>
      <c r="AM2748" s="1034"/>
    </row>
    <row r="2749" spans="2:39">
      <c r="B2749" s="1011" t="s">
        <v>57</v>
      </c>
      <c r="C2749" s="993" t="s">
        <v>5595</v>
      </c>
      <c r="D2749" s="3">
        <v>200105830</v>
      </c>
      <c r="E2749" s="1469" t="s">
        <v>5911</v>
      </c>
      <c r="F2749" s="1028">
        <f t="shared" si="44"/>
        <v>35</v>
      </c>
      <c r="G2749" s="1030"/>
      <c r="H2749" s="1029"/>
      <c r="I2749" s="1030"/>
      <c r="J2749" s="1030"/>
      <c r="K2749" s="1029"/>
      <c r="L2749" s="1029"/>
      <c r="M2749" s="1029"/>
      <c r="N2749" s="832"/>
      <c r="O2749" s="1029"/>
      <c r="P2749" s="1029"/>
      <c r="Q2749" s="1030"/>
      <c r="R2749" s="1029"/>
      <c r="S2749" s="1029"/>
      <c r="T2749" s="1029"/>
      <c r="U2749" s="1029"/>
      <c r="V2749" s="1029"/>
      <c r="W2749" s="832"/>
      <c r="X2749" s="832"/>
      <c r="Y2749" s="832"/>
      <c r="Z2749" s="832"/>
      <c r="AA2749" s="1034"/>
      <c r="AB2749" s="1034"/>
      <c r="AC2749" s="1034"/>
      <c r="AD2749" s="1034"/>
      <c r="AE2749" s="1034"/>
      <c r="AF2749" s="1034"/>
      <c r="AG2749" s="1034"/>
      <c r="AH2749" s="1034"/>
      <c r="AI2749" s="1034"/>
      <c r="AJ2749" s="1034"/>
      <c r="AK2749" s="1034"/>
      <c r="AL2749" s="1034"/>
      <c r="AM2749" s="1034"/>
    </row>
    <row r="2750" spans="2:39">
      <c r="B2750" s="1011" t="s">
        <v>57</v>
      </c>
      <c r="C2750" s="993" t="s">
        <v>5595</v>
      </c>
      <c r="D2750" s="3">
        <v>200105831</v>
      </c>
      <c r="E2750" s="1469" t="s">
        <v>5912</v>
      </c>
      <c r="F2750" s="1028">
        <f t="shared" si="44"/>
        <v>36</v>
      </c>
      <c r="G2750" s="1030"/>
      <c r="H2750" s="1029"/>
      <c r="I2750" s="1030"/>
      <c r="J2750" s="1030"/>
      <c r="K2750" s="1029"/>
      <c r="L2750" s="1029"/>
      <c r="M2750" s="1029"/>
      <c r="N2750" s="832"/>
      <c r="O2750" s="1029"/>
      <c r="P2750" s="1029"/>
      <c r="Q2750" s="1030"/>
      <c r="R2750" s="1029"/>
      <c r="S2750" s="1029"/>
      <c r="T2750" s="1029"/>
      <c r="U2750" s="1029"/>
      <c r="V2750" s="1029"/>
      <c r="W2750" s="832"/>
      <c r="X2750" s="832"/>
      <c r="Y2750" s="832"/>
      <c r="Z2750" s="832"/>
      <c r="AA2750" s="1034"/>
      <c r="AB2750" s="1034"/>
      <c r="AC2750" s="1034"/>
      <c r="AD2750" s="1034"/>
      <c r="AE2750" s="1034"/>
      <c r="AF2750" s="1034"/>
      <c r="AG2750" s="1034"/>
      <c r="AH2750" s="1034"/>
      <c r="AI2750" s="1034"/>
      <c r="AJ2750" s="1034"/>
      <c r="AK2750" s="1034"/>
      <c r="AL2750" s="1034"/>
      <c r="AM2750" s="1034"/>
    </row>
    <row r="2751" spans="2:39">
      <c r="B2751" s="1011" t="s">
        <v>57</v>
      </c>
      <c r="C2751" s="993" t="s">
        <v>5595</v>
      </c>
      <c r="D2751" s="3">
        <v>200105832</v>
      </c>
      <c r="E2751" s="1469" t="s">
        <v>5913</v>
      </c>
      <c r="F2751" s="1028">
        <f t="shared" si="44"/>
        <v>37</v>
      </c>
      <c r="G2751" s="1030"/>
      <c r="H2751" s="1029"/>
      <c r="I2751" s="1030"/>
      <c r="J2751" s="1030"/>
      <c r="K2751" s="1029"/>
      <c r="L2751" s="1029"/>
      <c r="M2751" s="1029"/>
      <c r="N2751" s="832"/>
      <c r="O2751" s="1029"/>
      <c r="P2751" s="1029"/>
      <c r="Q2751" s="1030"/>
      <c r="R2751" s="1029"/>
      <c r="S2751" s="1029"/>
      <c r="T2751" s="1029"/>
      <c r="U2751" s="1029"/>
      <c r="V2751" s="1029"/>
      <c r="W2751" s="832"/>
      <c r="X2751" s="832"/>
      <c r="Y2751" s="832"/>
      <c r="Z2751" s="832"/>
      <c r="AA2751" s="1034"/>
      <c r="AB2751" s="1034"/>
      <c r="AC2751" s="1034"/>
      <c r="AD2751" s="1034"/>
      <c r="AE2751" s="1034"/>
      <c r="AF2751" s="1034"/>
      <c r="AG2751" s="1034"/>
      <c r="AH2751" s="1034"/>
      <c r="AI2751" s="1034"/>
      <c r="AJ2751" s="1034"/>
      <c r="AK2751" s="1034"/>
      <c r="AL2751" s="1034"/>
      <c r="AM2751" s="1034"/>
    </row>
    <row r="2752" spans="2:39">
      <c r="B2752" s="1011" t="s">
        <v>57</v>
      </c>
      <c r="C2752" s="993" t="s">
        <v>5595</v>
      </c>
      <c r="D2752" s="3">
        <v>200105833</v>
      </c>
      <c r="E2752" s="1469" t="s">
        <v>5914</v>
      </c>
      <c r="F2752" s="1028">
        <f t="shared" si="44"/>
        <v>38</v>
      </c>
      <c r="G2752" s="1030"/>
      <c r="H2752" s="1029"/>
      <c r="I2752" s="1030"/>
      <c r="J2752" s="1030"/>
      <c r="K2752" s="1029"/>
      <c r="L2752" s="1029"/>
      <c r="M2752" s="1029"/>
      <c r="N2752" s="832"/>
      <c r="O2752" s="1029"/>
      <c r="P2752" s="1029"/>
      <c r="Q2752" s="1030"/>
      <c r="R2752" s="1029"/>
      <c r="S2752" s="1029"/>
      <c r="T2752" s="1029"/>
      <c r="U2752" s="1029"/>
      <c r="V2752" s="1029"/>
      <c r="W2752" s="832"/>
      <c r="X2752" s="832"/>
      <c r="Y2752" s="832"/>
      <c r="Z2752" s="832"/>
      <c r="AA2752" s="1034"/>
      <c r="AB2752" s="1034"/>
      <c r="AC2752" s="1034"/>
      <c r="AD2752" s="1034"/>
      <c r="AE2752" s="1034"/>
      <c r="AF2752" s="1034"/>
      <c r="AG2752" s="1034"/>
      <c r="AH2752" s="1034"/>
      <c r="AI2752" s="1034"/>
      <c r="AJ2752" s="1034"/>
      <c r="AK2752" s="1034"/>
      <c r="AL2752" s="1034"/>
      <c r="AM2752" s="1034"/>
    </row>
    <row r="2753" spans="2:39">
      <c r="B2753" s="1011" t="s">
        <v>57</v>
      </c>
      <c r="C2753" s="993" t="s">
        <v>5595</v>
      </c>
      <c r="D2753" s="3">
        <v>200105834</v>
      </c>
      <c r="E2753" s="1469" t="s">
        <v>5915</v>
      </c>
      <c r="F2753" s="1028">
        <f t="shared" si="44"/>
        <v>39</v>
      </c>
      <c r="G2753" s="1030"/>
      <c r="H2753" s="1029"/>
      <c r="I2753" s="1030"/>
      <c r="J2753" s="1030"/>
      <c r="K2753" s="1029"/>
      <c r="L2753" s="1029"/>
      <c r="M2753" s="1029"/>
      <c r="N2753" s="832"/>
      <c r="O2753" s="1029"/>
      <c r="P2753" s="1029"/>
      <c r="Q2753" s="1030"/>
      <c r="R2753" s="1029"/>
      <c r="S2753" s="1029"/>
      <c r="T2753" s="1029"/>
      <c r="U2753" s="1029"/>
      <c r="V2753" s="1029"/>
      <c r="W2753" s="832"/>
      <c r="X2753" s="832"/>
      <c r="Y2753" s="832"/>
      <c r="Z2753" s="832"/>
      <c r="AA2753" s="1034"/>
      <c r="AB2753" s="1034"/>
      <c r="AC2753" s="1034"/>
      <c r="AD2753" s="1034"/>
      <c r="AE2753" s="1034"/>
      <c r="AF2753" s="1034"/>
      <c r="AG2753" s="1034"/>
      <c r="AH2753" s="1034"/>
      <c r="AI2753" s="1034"/>
      <c r="AJ2753" s="1034"/>
      <c r="AK2753" s="1034"/>
      <c r="AL2753" s="1034"/>
      <c r="AM2753" s="1034"/>
    </row>
    <row r="2754" spans="2:39">
      <c r="B2754" s="1011" t="s">
        <v>57</v>
      </c>
      <c r="C2754" s="993" t="s">
        <v>5595</v>
      </c>
      <c r="D2754" s="3">
        <v>200105835</v>
      </c>
      <c r="E2754" s="1469" t="s">
        <v>5916</v>
      </c>
      <c r="F2754" s="1028">
        <f t="shared" si="44"/>
        <v>40</v>
      </c>
      <c r="G2754" s="1030"/>
      <c r="H2754" s="1029"/>
      <c r="I2754" s="1030"/>
      <c r="J2754" s="1030"/>
      <c r="K2754" s="1029"/>
      <c r="L2754" s="1029"/>
      <c r="M2754" s="1029"/>
      <c r="N2754" s="832"/>
      <c r="O2754" s="1029"/>
      <c r="P2754" s="1029"/>
      <c r="Q2754" s="1030"/>
      <c r="R2754" s="1029"/>
      <c r="S2754" s="1029"/>
      <c r="T2754" s="1029"/>
      <c r="U2754" s="1029"/>
      <c r="V2754" s="1029"/>
      <c r="W2754" s="832"/>
      <c r="X2754" s="832"/>
      <c r="Y2754" s="832"/>
      <c r="Z2754" s="832"/>
      <c r="AA2754" s="1034"/>
      <c r="AB2754" s="1034"/>
      <c r="AC2754" s="1034"/>
      <c r="AD2754" s="1034"/>
      <c r="AE2754" s="1034"/>
      <c r="AF2754" s="1034"/>
      <c r="AG2754" s="1034"/>
      <c r="AH2754" s="1034"/>
      <c r="AI2754" s="1034"/>
      <c r="AJ2754" s="1034"/>
      <c r="AK2754" s="1034"/>
      <c r="AL2754" s="1034"/>
      <c r="AM2754" s="1034"/>
    </row>
    <row r="2755" spans="2:39">
      <c r="B2755" s="1011" t="s">
        <v>57</v>
      </c>
      <c r="C2755" s="993" t="s">
        <v>5595</v>
      </c>
      <c r="D2755" s="3">
        <v>200105836</v>
      </c>
      <c r="E2755" s="1469" t="s">
        <v>5917</v>
      </c>
      <c r="F2755" s="1028">
        <f t="shared" si="44"/>
        <v>41</v>
      </c>
      <c r="G2755" s="1030"/>
      <c r="H2755" s="1029"/>
      <c r="I2755" s="1030"/>
      <c r="J2755" s="1030"/>
      <c r="K2755" s="1029"/>
      <c r="L2755" s="1029"/>
      <c r="M2755" s="1029"/>
      <c r="N2755" s="832"/>
      <c r="O2755" s="1029"/>
      <c r="P2755" s="1029"/>
      <c r="Q2755" s="1030"/>
      <c r="R2755" s="1029"/>
      <c r="S2755" s="1029"/>
      <c r="T2755" s="1029"/>
      <c r="U2755" s="1029"/>
      <c r="V2755" s="1029"/>
      <c r="W2755" s="832"/>
      <c r="X2755" s="832"/>
      <c r="Y2755" s="832"/>
      <c r="Z2755" s="832"/>
      <c r="AA2755" s="1034"/>
      <c r="AB2755" s="1034"/>
      <c r="AC2755" s="1034"/>
      <c r="AD2755" s="1034"/>
      <c r="AE2755" s="1034"/>
      <c r="AF2755" s="1034"/>
      <c r="AG2755" s="1034"/>
      <c r="AH2755" s="1034"/>
      <c r="AI2755" s="1034"/>
      <c r="AJ2755" s="1034"/>
      <c r="AK2755" s="1034"/>
      <c r="AL2755" s="1034"/>
      <c r="AM2755" s="1034"/>
    </row>
    <row r="2756" spans="2:39">
      <c r="B2756" s="1011" t="s">
        <v>57</v>
      </c>
      <c r="C2756" s="993" t="s">
        <v>5595</v>
      </c>
      <c r="D2756" s="3">
        <v>200105921</v>
      </c>
      <c r="E2756" s="1469" t="s">
        <v>5918</v>
      </c>
      <c r="F2756" s="1028">
        <f t="shared" si="44"/>
        <v>42</v>
      </c>
      <c r="G2756" s="1030"/>
      <c r="H2756" s="1029"/>
      <c r="I2756" s="1030"/>
      <c r="J2756" s="1030"/>
      <c r="K2756" s="1029"/>
      <c r="L2756" s="1029"/>
      <c r="M2756" s="1029"/>
      <c r="N2756" s="832"/>
      <c r="O2756" s="1029"/>
      <c r="P2756" s="1029"/>
      <c r="Q2756" s="1030"/>
      <c r="R2756" s="1029"/>
      <c r="S2756" s="1029"/>
      <c r="T2756" s="1029"/>
      <c r="U2756" s="1029"/>
      <c r="V2756" s="1029"/>
      <c r="W2756" s="832"/>
      <c r="X2756" s="832"/>
      <c r="Y2756" s="832"/>
      <c r="Z2756" s="832"/>
      <c r="AA2756" s="1034"/>
      <c r="AB2756" s="1034"/>
      <c r="AC2756" s="1034"/>
      <c r="AD2756" s="1034"/>
      <c r="AE2756" s="1034"/>
      <c r="AF2756" s="1034"/>
      <c r="AG2756" s="1034"/>
      <c r="AH2756" s="1034"/>
      <c r="AI2756" s="1034"/>
      <c r="AJ2756" s="1034"/>
      <c r="AK2756" s="1034"/>
      <c r="AL2756" s="1034"/>
      <c r="AM2756" s="1034"/>
    </row>
    <row r="2757" spans="2:39">
      <c r="B2757" s="1011" t="s">
        <v>57</v>
      </c>
      <c r="C2757" s="993" t="s">
        <v>5595</v>
      </c>
      <c r="D2757" s="3">
        <v>200105922</v>
      </c>
      <c r="E2757" s="1469" t="s">
        <v>5919</v>
      </c>
      <c r="F2757" s="1028">
        <f t="shared" si="44"/>
        <v>43</v>
      </c>
      <c r="G2757" s="1030"/>
      <c r="H2757" s="1029"/>
      <c r="I2757" s="1030"/>
      <c r="J2757" s="1030"/>
      <c r="K2757" s="1029"/>
      <c r="L2757" s="1029"/>
      <c r="M2757" s="1029"/>
      <c r="N2757" s="832"/>
      <c r="O2757" s="1029"/>
      <c r="P2757" s="1029"/>
      <c r="Q2757" s="1030"/>
      <c r="R2757" s="1029"/>
      <c r="S2757" s="1029"/>
      <c r="T2757" s="1029"/>
      <c r="U2757" s="1029"/>
      <c r="V2757" s="1029"/>
      <c r="W2757" s="832"/>
      <c r="X2757" s="832"/>
      <c r="Y2757" s="832"/>
      <c r="Z2757" s="832"/>
      <c r="AA2757" s="1034"/>
      <c r="AB2757" s="1034"/>
      <c r="AC2757" s="1034"/>
      <c r="AD2757" s="1034"/>
      <c r="AE2757" s="1034"/>
      <c r="AF2757" s="1034"/>
      <c r="AG2757" s="1034"/>
      <c r="AH2757" s="1034"/>
      <c r="AI2757" s="1034"/>
      <c r="AJ2757" s="1034"/>
      <c r="AK2757" s="1034"/>
      <c r="AL2757" s="1034"/>
      <c r="AM2757" s="1034"/>
    </row>
    <row r="2758" spans="2:39">
      <c r="B2758" s="1011" t="s">
        <v>57</v>
      </c>
      <c r="C2758" s="993" t="s">
        <v>5595</v>
      </c>
      <c r="D2758" s="3">
        <v>200105923</v>
      </c>
      <c r="E2758" s="1469" t="s">
        <v>5920</v>
      </c>
      <c r="F2758" s="1028">
        <f t="shared" si="44"/>
        <v>44</v>
      </c>
      <c r="G2758" s="1030"/>
      <c r="H2758" s="1029"/>
      <c r="I2758" s="1030"/>
      <c r="J2758" s="1030"/>
      <c r="K2758" s="1029"/>
      <c r="L2758" s="1029"/>
      <c r="M2758" s="1029"/>
      <c r="N2758" s="832"/>
      <c r="O2758" s="1029"/>
      <c r="P2758" s="1029"/>
      <c r="Q2758" s="1030"/>
      <c r="R2758" s="1029"/>
      <c r="S2758" s="1029"/>
      <c r="T2758" s="1029"/>
      <c r="U2758" s="1029"/>
      <c r="V2758" s="1029"/>
      <c r="W2758" s="832"/>
      <c r="X2758" s="832"/>
      <c r="Y2758" s="832"/>
      <c r="Z2758" s="832"/>
      <c r="AA2758" s="1034"/>
      <c r="AB2758" s="1034"/>
      <c r="AC2758" s="1034"/>
      <c r="AD2758" s="1034"/>
      <c r="AE2758" s="1034"/>
      <c r="AF2758" s="1034"/>
      <c r="AG2758" s="1034"/>
      <c r="AH2758" s="1034"/>
      <c r="AI2758" s="1034"/>
      <c r="AJ2758" s="1034"/>
      <c r="AK2758" s="1034"/>
      <c r="AL2758" s="1034"/>
      <c r="AM2758" s="1034"/>
    </row>
    <row r="2759" spans="2:39">
      <c r="B2759" s="1011" t="s">
        <v>57</v>
      </c>
      <c r="C2759" s="993" t="s">
        <v>5595</v>
      </c>
      <c r="D2759" s="3">
        <v>200105924</v>
      </c>
      <c r="E2759" s="1469" t="s">
        <v>1421</v>
      </c>
      <c r="F2759" s="802">
        <f t="shared" si="44"/>
        <v>45</v>
      </c>
      <c r="G2759" s="1040"/>
      <c r="H2759" s="8" t="s">
        <v>60</v>
      </c>
      <c r="I2759" s="1040"/>
      <c r="J2759" s="785">
        <v>122.85</v>
      </c>
      <c r="K2759" s="953"/>
      <c r="L2759" s="953"/>
      <c r="M2759" s="8" t="s">
        <v>2327</v>
      </c>
      <c r="N2759" s="1042">
        <v>45420</v>
      </c>
      <c r="O2759" s="8" t="s">
        <v>62</v>
      </c>
      <c r="P2759" s="953"/>
      <c r="Q2759" s="3" t="s">
        <v>1422</v>
      </c>
      <c r="R2759" s="8"/>
      <c r="S2759" s="8"/>
      <c r="T2759" s="8"/>
      <c r="U2759" s="8"/>
      <c r="V2759" s="8"/>
      <c r="W2759" s="759"/>
      <c r="X2759" s="759"/>
      <c r="Y2759" s="759"/>
      <c r="Z2759" s="759"/>
      <c r="AA2759" s="35"/>
      <c r="AB2759" s="35"/>
      <c r="AC2759" s="35"/>
      <c r="AD2759" s="35"/>
      <c r="AE2759" s="35"/>
      <c r="AF2759" s="35"/>
      <c r="AG2759" s="35"/>
      <c r="AH2759" s="35"/>
      <c r="AI2759" s="35"/>
      <c r="AJ2759" s="35"/>
      <c r="AK2759" s="35"/>
      <c r="AL2759" s="35"/>
      <c r="AM2759" s="35"/>
    </row>
    <row r="2760" spans="2:39">
      <c r="B2760" s="1011" t="s">
        <v>57</v>
      </c>
      <c r="C2760" s="993" t="s">
        <v>5595</v>
      </c>
      <c r="D2760" s="3">
        <v>200105853</v>
      </c>
      <c r="E2760" s="1469" t="s">
        <v>1423</v>
      </c>
      <c r="F2760" s="802">
        <f t="shared" si="44"/>
        <v>46</v>
      </c>
      <c r="G2760" s="1040"/>
      <c r="H2760" s="8" t="s">
        <v>60</v>
      </c>
      <c r="I2760" s="1040"/>
      <c r="J2760" s="3">
        <v>122.5</v>
      </c>
      <c r="K2760" s="953"/>
      <c r="L2760" s="953"/>
      <c r="M2760" s="8" t="s">
        <v>2327</v>
      </c>
      <c r="N2760" s="1042">
        <v>45420</v>
      </c>
      <c r="O2760" s="8" t="s">
        <v>62</v>
      </c>
      <c r="P2760" s="953"/>
      <c r="Q2760" s="3" t="s">
        <v>1424</v>
      </c>
      <c r="R2760" s="8"/>
      <c r="S2760" s="8"/>
      <c r="T2760" s="8"/>
      <c r="U2760" s="8"/>
      <c r="V2760" s="8"/>
      <c r="W2760" s="759"/>
      <c r="X2760" s="759"/>
      <c r="Y2760" s="759"/>
      <c r="Z2760" s="759"/>
      <c r="AA2760" s="35"/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5"/>
      <c r="AM2760" s="35"/>
    </row>
    <row r="2761" spans="2:39">
      <c r="B2761" s="1011" t="s">
        <v>57</v>
      </c>
      <c r="C2761" s="993" t="s">
        <v>5595</v>
      </c>
      <c r="D2761" s="3">
        <v>200105854</v>
      </c>
      <c r="E2761" s="1469" t="s">
        <v>1425</v>
      </c>
      <c r="F2761" s="802">
        <f t="shared" si="44"/>
        <v>47</v>
      </c>
      <c r="G2761" s="1040"/>
      <c r="H2761" s="8" t="s">
        <v>60</v>
      </c>
      <c r="I2761" s="1040"/>
      <c r="J2761" s="785">
        <v>124.6</v>
      </c>
      <c r="K2761" s="953"/>
      <c r="L2761" s="953"/>
      <c r="M2761" s="8" t="s">
        <v>2327</v>
      </c>
      <c r="N2761" s="1042">
        <v>45420</v>
      </c>
      <c r="O2761" s="8" t="s">
        <v>62</v>
      </c>
      <c r="P2761" s="953"/>
      <c r="Q2761" s="3" t="s">
        <v>1426</v>
      </c>
      <c r="R2761" s="8"/>
      <c r="S2761" s="8"/>
      <c r="T2761" s="8"/>
      <c r="U2761" s="8"/>
      <c r="V2761" s="8"/>
      <c r="W2761" s="759"/>
      <c r="X2761" s="759"/>
      <c r="Y2761" s="759"/>
      <c r="Z2761" s="759"/>
      <c r="AA2761" s="35"/>
      <c r="AB2761" s="35"/>
      <c r="AC2761" s="35"/>
      <c r="AD2761" s="35"/>
      <c r="AE2761" s="35"/>
      <c r="AF2761" s="35"/>
      <c r="AG2761" s="35"/>
      <c r="AH2761" s="35"/>
      <c r="AI2761" s="35"/>
      <c r="AJ2761" s="35"/>
      <c r="AK2761" s="35"/>
      <c r="AL2761" s="35"/>
      <c r="AM2761" s="35"/>
    </row>
    <row r="2762" spans="2:39">
      <c r="B2762" s="1011" t="s">
        <v>57</v>
      </c>
      <c r="C2762" s="993" t="s">
        <v>5595</v>
      </c>
      <c r="D2762" s="3">
        <v>200105855</v>
      </c>
      <c r="E2762" s="1469" t="s">
        <v>1427</v>
      </c>
      <c r="F2762" s="802">
        <f t="shared" si="44"/>
        <v>48</v>
      </c>
      <c r="G2762" s="1040"/>
      <c r="H2762" s="8" t="s">
        <v>60</v>
      </c>
      <c r="I2762" s="1040"/>
      <c r="J2762" s="786">
        <v>122.07</v>
      </c>
      <c r="K2762" s="953"/>
      <c r="L2762" s="953"/>
      <c r="M2762" s="8" t="s">
        <v>2327</v>
      </c>
      <c r="N2762" s="1042">
        <v>45422</v>
      </c>
      <c r="O2762" s="8" t="s">
        <v>62</v>
      </c>
      <c r="P2762" s="953"/>
      <c r="Q2762" s="882">
        <v>3.42</v>
      </c>
      <c r="R2762" s="8"/>
      <c r="S2762" s="8"/>
      <c r="T2762" s="8"/>
      <c r="U2762" s="8"/>
      <c r="V2762" s="8"/>
      <c r="W2762" s="759"/>
      <c r="X2762" s="759"/>
      <c r="Y2762" s="759"/>
      <c r="Z2762" s="759"/>
      <c r="AA2762" s="35"/>
      <c r="AB2762" s="35"/>
      <c r="AC2762" s="35"/>
      <c r="AD2762" s="35"/>
      <c r="AE2762" s="35"/>
      <c r="AF2762" s="35"/>
      <c r="AG2762" s="35"/>
      <c r="AH2762" s="35"/>
      <c r="AI2762" s="35"/>
      <c r="AJ2762" s="35"/>
      <c r="AK2762" s="35"/>
      <c r="AL2762" s="35"/>
      <c r="AM2762" s="35"/>
    </row>
    <row r="2763" spans="2:39">
      <c r="B2763" s="1011" t="s">
        <v>57</v>
      </c>
      <c r="C2763" s="993" t="s">
        <v>5595</v>
      </c>
      <c r="D2763" s="3">
        <v>200105996</v>
      </c>
      <c r="E2763" s="1469" t="s">
        <v>1428</v>
      </c>
      <c r="F2763" s="802">
        <f t="shared" si="44"/>
        <v>49</v>
      </c>
      <c r="G2763" s="1040"/>
      <c r="H2763" s="8" t="s">
        <v>60</v>
      </c>
      <c r="I2763" s="1040"/>
      <c r="J2763" s="786">
        <v>121.56</v>
      </c>
      <c r="K2763" s="953"/>
      <c r="L2763" s="953"/>
      <c r="M2763" s="8" t="s">
        <v>2327</v>
      </c>
      <c r="N2763" s="1042">
        <v>45422</v>
      </c>
      <c r="O2763" s="8" t="s">
        <v>62</v>
      </c>
      <c r="P2763" s="953"/>
      <c r="Q2763" s="882">
        <v>3.67</v>
      </c>
      <c r="R2763" s="8"/>
      <c r="S2763" s="8"/>
      <c r="T2763" s="8"/>
      <c r="U2763" s="8"/>
      <c r="V2763" s="8"/>
      <c r="W2763" s="759"/>
      <c r="X2763" s="759"/>
      <c r="Y2763" s="759"/>
      <c r="Z2763" s="759"/>
      <c r="AA2763" s="35"/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5"/>
      <c r="AM2763" s="35"/>
    </row>
    <row r="2764" spans="2:39">
      <c r="B2764" s="1011" t="s">
        <v>57</v>
      </c>
      <c r="C2764" s="993" t="s">
        <v>5595</v>
      </c>
      <c r="D2764" s="3">
        <v>200106030</v>
      </c>
      <c r="E2764" s="1469" t="s">
        <v>1429</v>
      </c>
      <c r="F2764" s="802">
        <f t="shared" si="44"/>
        <v>50</v>
      </c>
      <c r="G2764" s="1040"/>
      <c r="H2764" s="8" t="s">
        <v>60</v>
      </c>
      <c r="I2764" s="1040"/>
      <c r="J2764" s="786">
        <v>125.43</v>
      </c>
      <c r="K2764" s="953"/>
      <c r="L2764" s="953"/>
      <c r="M2764" s="8" t="s">
        <v>2327</v>
      </c>
      <c r="N2764" s="1042">
        <v>45422</v>
      </c>
      <c r="O2764" s="8" t="s">
        <v>62</v>
      </c>
      <c r="P2764" s="953"/>
      <c r="Q2764" s="882">
        <v>3.67</v>
      </c>
      <c r="R2764" s="8"/>
      <c r="S2764" s="8"/>
      <c r="T2764" s="8"/>
      <c r="U2764" s="8"/>
      <c r="V2764" s="8"/>
      <c r="W2764" s="759"/>
      <c r="X2764" s="759"/>
      <c r="Y2764" s="759"/>
      <c r="Z2764" s="759"/>
      <c r="AA2764" s="35"/>
      <c r="AB2764" s="35"/>
      <c r="AC2764" s="35"/>
      <c r="AD2764" s="35"/>
      <c r="AE2764" s="35"/>
      <c r="AF2764" s="35"/>
      <c r="AG2764" s="35"/>
      <c r="AH2764" s="35"/>
      <c r="AI2764" s="35"/>
      <c r="AJ2764" s="35"/>
      <c r="AK2764" s="35"/>
      <c r="AL2764" s="35"/>
      <c r="AM2764" s="35"/>
    </row>
    <row r="2765" spans="2:39">
      <c r="B2765" s="1011" t="s">
        <v>57</v>
      </c>
      <c r="C2765" s="993" t="s">
        <v>5595</v>
      </c>
      <c r="D2765" s="3">
        <v>200106031</v>
      </c>
      <c r="E2765" s="1469" t="s">
        <v>1430</v>
      </c>
      <c r="F2765" s="802">
        <f t="shared" si="44"/>
        <v>51</v>
      </c>
      <c r="G2765" s="1040"/>
      <c r="H2765" s="8" t="s">
        <v>60</v>
      </c>
      <c r="I2765" s="1040"/>
      <c r="J2765" s="786">
        <v>124.09</v>
      </c>
      <c r="K2765" s="953"/>
      <c r="L2765" s="953"/>
      <c r="M2765" s="8" t="s">
        <v>2327</v>
      </c>
      <c r="N2765" s="1042">
        <v>45422</v>
      </c>
      <c r="O2765" s="8" t="s">
        <v>62</v>
      </c>
      <c r="P2765" s="953"/>
      <c r="Q2765" s="882">
        <v>3.59</v>
      </c>
      <c r="R2765" s="8"/>
      <c r="S2765" s="8"/>
      <c r="T2765" s="8"/>
      <c r="U2765" s="8"/>
      <c r="V2765" s="8"/>
      <c r="W2765" s="759"/>
      <c r="X2765" s="759"/>
      <c r="Y2765" s="759"/>
      <c r="Z2765" s="759"/>
      <c r="AA2765" s="35"/>
      <c r="AB2765" s="35"/>
      <c r="AC2765" s="35"/>
      <c r="AD2765" s="35"/>
      <c r="AE2765" s="35"/>
      <c r="AF2765" s="35"/>
      <c r="AG2765" s="35"/>
      <c r="AH2765" s="35"/>
      <c r="AI2765" s="35"/>
      <c r="AJ2765" s="35"/>
      <c r="AK2765" s="35"/>
      <c r="AL2765" s="35"/>
      <c r="AM2765" s="35"/>
    </row>
    <row r="2766" spans="2:39">
      <c r="B2766" s="1011" t="s">
        <v>57</v>
      </c>
      <c r="C2766" s="993" t="s">
        <v>5595</v>
      </c>
      <c r="D2766" s="3">
        <v>200106032</v>
      </c>
      <c r="E2766" s="1469" t="s">
        <v>1431</v>
      </c>
      <c r="F2766" s="802">
        <f t="shared" si="44"/>
        <v>52</v>
      </c>
      <c r="G2766" s="1040"/>
      <c r="H2766" s="8" t="s">
        <v>60</v>
      </c>
      <c r="I2766" s="1040"/>
      <c r="J2766" s="785">
        <v>126.21</v>
      </c>
      <c r="K2766" s="953"/>
      <c r="L2766" s="953"/>
      <c r="M2766" s="8" t="s">
        <v>2327</v>
      </c>
      <c r="N2766" s="1042">
        <v>45422</v>
      </c>
      <c r="O2766" s="8" t="s">
        <v>62</v>
      </c>
      <c r="P2766" s="953"/>
      <c r="Q2766" s="3">
        <v>3.57</v>
      </c>
      <c r="R2766" s="8"/>
      <c r="S2766" s="8"/>
      <c r="T2766" s="8"/>
      <c r="U2766" s="8"/>
      <c r="V2766" s="8"/>
      <c r="W2766" s="759"/>
      <c r="X2766" s="759"/>
      <c r="Y2766" s="759"/>
      <c r="Z2766" s="759"/>
      <c r="AA2766" s="35"/>
      <c r="AB2766" s="35"/>
      <c r="AC2766" s="35"/>
      <c r="AD2766" s="35"/>
      <c r="AE2766" s="35"/>
      <c r="AF2766" s="35"/>
      <c r="AG2766" s="35"/>
      <c r="AH2766" s="35"/>
      <c r="AI2766" s="35"/>
      <c r="AJ2766" s="35"/>
      <c r="AK2766" s="35"/>
      <c r="AL2766" s="35"/>
      <c r="AM2766" s="35"/>
    </row>
    <row r="2767" spans="2:39">
      <c r="B2767" s="1011" t="s">
        <v>57</v>
      </c>
      <c r="C2767" s="993" t="s">
        <v>5595</v>
      </c>
      <c r="D2767" s="3">
        <v>200106098</v>
      </c>
      <c r="E2767" s="1469" t="s">
        <v>1432</v>
      </c>
      <c r="F2767" s="802">
        <f t="shared" si="44"/>
        <v>53</v>
      </c>
      <c r="G2767" s="1040"/>
      <c r="H2767" s="8" t="s">
        <v>60</v>
      </c>
      <c r="I2767" s="1040"/>
      <c r="J2767" s="785">
        <v>121.76</v>
      </c>
      <c r="K2767" s="953"/>
      <c r="L2767" s="953"/>
      <c r="M2767" s="8" t="s">
        <v>2327</v>
      </c>
      <c r="N2767" s="1042">
        <v>45439</v>
      </c>
      <c r="O2767" s="8" t="s">
        <v>62</v>
      </c>
      <c r="P2767" s="953"/>
      <c r="Q2767" s="785">
        <v>3.79</v>
      </c>
      <c r="R2767" s="8"/>
      <c r="S2767" s="8"/>
      <c r="T2767" s="8"/>
      <c r="U2767" s="8"/>
      <c r="V2767" s="8"/>
      <c r="W2767" s="759"/>
      <c r="X2767" s="759"/>
      <c r="Y2767" s="759"/>
      <c r="Z2767" s="759"/>
      <c r="AA2767" s="35"/>
      <c r="AB2767" s="35"/>
      <c r="AC2767" s="35"/>
      <c r="AD2767" s="35"/>
      <c r="AE2767" s="35"/>
      <c r="AF2767" s="35"/>
      <c r="AG2767" s="35"/>
      <c r="AH2767" s="35"/>
      <c r="AI2767" s="35"/>
      <c r="AJ2767" s="35"/>
      <c r="AK2767" s="35"/>
      <c r="AL2767" s="35"/>
      <c r="AM2767" s="35"/>
    </row>
    <row r="2768" spans="2:39">
      <c r="B2768" s="1011" t="s">
        <v>57</v>
      </c>
      <c r="C2768" s="993" t="s">
        <v>5595</v>
      </c>
      <c r="D2768" s="3">
        <v>200106099</v>
      </c>
      <c r="E2768" s="1469" t="s">
        <v>1433</v>
      </c>
      <c r="F2768" s="802">
        <f t="shared" si="44"/>
        <v>54</v>
      </c>
      <c r="G2768" s="1040"/>
      <c r="H2768" s="8" t="s">
        <v>60</v>
      </c>
      <c r="I2768" s="1040"/>
      <c r="J2768" s="785">
        <v>123.87</v>
      </c>
      <c r="K2768" s="953"/>
      <c r="L2768" s="953"/>
      <c r="M2768" s="8" t="s">
        <v>2327</v>
      </c>
      <c r="N2768" s="1042">
        <v>45439</v>
      </c>
      <c r="O2768" s="8" t="s">
        <v>62</v>
      </c>
      <c r="P2768" s="953"/>
      <c r="Q2768" s="785">
        <v>3.8</v>
      </c>
      <c r="R2768" s="8"/>
      <c r="S2768" s="8"/>
      <c r="T2768" s="8"/>
      <c r="U2768" s="8"/>
      <c r="V2768" s="8"/>
      <c r="W2768" s="759"/>
      <c r="X2768" s="759"/>
      <c r="Y2768" s="759"/>
      <c r="Z2768" s="759"/>
      <c r="AA2768" s="35"/>
      <c r="AB2768" s="35"/>
      <c r="AC2768" s="35"/>
      <c r="AD2768" s="35"/>
      <c r="AE2768" s="35"/>
      <c r="AF2768" s="35"/>
      <c r="AG2768" s="35"/>
      <c r="AH2768" s="35"/>
      <c r="AI2768" s="35"/>
      <c r="AJ2768" s="35"/>
      <c r="AK2768" s="35"/>
      <c r="AL2768" s="35"/>
      <c r="AM2768" s="35"/>
    </row>
    <row r="2769" spans="2:39">
      <c r="B2769" s="1011" t="s">
        <v>57</v>
      </c>
      <c r="C2769" s="993" t="s">
        <v>5595</v>
      </c>
      <c r="D2769" s="3">
        <v>200106140</v>
      </c>
      <c r="E2769" s="1469" t="s">
        <v>1434</v>
      </c>
      <c r="F2769" s="802">
        <f t="shared" ref="F2769:F2776" si="45">F2768+1</f>
        <v>55</v>
      </c>
      <c r="G2769" s="1040"/>
      <c r="H2769" s="8" t="s">
        <v>60</v>
      </c>
      <c r="I2769" s="1040"/>
      <c r="J2769" s="785">
        <v>122.72</v>
      </c>
      <c r="K2769" s="953"/>
      <c r="L2769" s="953"/>
      <c r="M2769" s="8" t="s">
        <v>2327</v>
      </c>
      <c r="N2769" s="1042">
        <v>45439</v>
      </c>
      <c r="O2769" s="8" t="s">
        <v>62</v>
      </c>
      <c r="P2769" s="953"/>
      <c r="Q2769" s="785">
        <v>3.52</v>
      </c>
      <c r="R2769" s="8"/>
      <c r="S2769" s="8"/>
      <c r="T2769" s="8"/>
      <c r="U2769" s="8"/>
      <c r="V2769" s="8"/>
      <c r="W2769" s="759"/>
      <c r="X2769" s="759"/>
      <c r="Y2769" s="759"/>
      <c r="Z2769" s="759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5"/>
      <c r="AL2769" s="35"/>
      <c r="AM2769" s="35"/>
    </row>
    <row r="2770" spans="2:39">
      <c r="B2770" s="1011" t="s">
        <v>57</v>
      </c>
      <c r="C2770" s="993" t="s">
        <v>5595</v>
      </c>
      <c r="D2770" s="3">
        <v>200106141</v>
      </c>
      <c r="E2770" s="1469" t="s">
        <v>1435</v>
      </c>
      <c r="F2770" s="802">
        <f t="shared" si="45"/>
        <v>56</v>
      </c>
      <c r="G2770" s="1040"/>
      <c r="H2770" s="8" t="s">
        <v>60</v>
      </c>
      <c r="I2770" s="1040"/>
      <c r="J2770" s="785">
        <f>65.04+57.21</f>
        <v>122.25</v>
      </c>
      <c r="K2770" s="953"/>
      <c r="L2770" s="953"/>
      <c r="M2770" s="8" t="s">
        <v>2327</v>
      </c>
      <c r="N2770" s="1042">
        <v>45440</v>
      </c>
      <c r="O2770" s="8" t="s">
        <v>62</v>
      </c>
      <c r="P2770" s="953"/>
      <c r="Q2770" s="785">
        <v>3.44</v>
      </c>
      <c r="R2770" s="8"/>
      <c r="S2770" s="8"/>
      <c r="T2770" s="8"/>
      <c r="U2770" s="8"/>
      <c r="V2770" s="8"/>
      <c r="W2770" s="759"/>
      <c r="X2770" s="759"/>
      <c r="Y2770" s="759"/>
      <c r="Z2770" s="759"/>
      <c r="AA2770" s="35"/>
      <c r="AB2770" s="35"/>
      <c r="AC2770" s="35"/>
      <c r="AD2770" s="35"/>
      <c r="AE2770" s="35"/>
      <c r="AF2770" s="35"/>
      <c r="AG2770" s="35"/>
      <c r="AH2770" s="35"/>
      <c r="AI2770" s="35"/>
      <c r="AJ2770" s="35"/>
      <c r="AK2770" s="35"/>
      <c r="AL2770" s="35"/>
      <c r="AM2770" s="35"/>
    </row>
    <row r="2771" spans="2:39">
      <c r="B2771" s="1011" t="s">
        <v>57</v>
      </c>
      <c r="C2771" s="993" t="s">
        <v>5595</v>
      </c>
      <c r="D2771" s="3">
        <v>200106142</v>
      </c>
      <c r="E2771" s="1469" t="s">
        <v>1436</v>
      </c>
      <c r="F2771" s="802">
        <f t="shared" si="45"/>
        <v>57</v>
      </c>
      <c r="G2771" s="1040"/>
      <c r="H2771" s="8" t="s">
        <v>60</v>
      </c>
      <c r="I2771" s="1040"/>
      <c r="J2771" s="865">
        <v>122.39</v>
      </c>
      <c r="K2771" s="953"/>
      <c r="L2771" s="953"/>
      <c r="M2771" s="8" t="s">
        <v>2327</v>
      </c>
      <c r="N2771" s="1042">
        <v>45441</v>
      </c>
      <c r="O2771" s="8" t="s">
        <v>62</v>
      </c>
      <c r="P2771" s="953"/>
      <c r="Q2771" s="1044">
        <v>3.59</v>
      </c>
      <c r="R2771" s="8"/>
      <c r="S2771" s="8"/>
      <c r="T2771" s="8"/>
      <c r="U2771" s="8"/>
      <c r="V2771" s="8"/>
      <c r="W2771" s="759"/>
      <c r="X2771" s="759"/>
      <c r="Y2771" s="759"/>
      <c r="Z2771" s="759"/>
      <c r="AA2771" s="35"/>
      <c r="AB2771" s="35"/>
      <c r="AC2771" s="35"/>
      <c r="AD2771" s="35"/>
      <c r="AE2771" s="35"/>
      <c r="AF2771" s="35"/>
      <c r="AG2771" s="35"/>
      <c r="AH2771" s="35"/>
      <c r="AI2771" s="35"/>
      <c r="AJ2771" s="35"/>
      <c r="AK2771" s="35"/>
      <c r="AL2771" s="35"/>
      <c r="AM2771" s="35"/>
    </row>
    <row r="2772" spans="2:39">
      <c r="B2772" s="1011" t="s">
        <v>57</v>
      </c>
      <c r="C2772" s="993" t="s">
        <v>5595</v>
      </c>
      <c r="D2772" s="3">
        <v>200105951</v>
      </c>
      <c r="E2772" s="1469" t="s">
        <v>1437</v>
      </c>
      <c r="F2772" s="802">
        <f t="shared" si="45"/>
        <v>58</v>
      </c>
      <c r="G2772" s="1040"/>
      <c r="H2772" s="8" t="s">
        <v>60</v>
      </c>
      <c r="I2772" s="1040"/>
      <c r="J2772" s="865">
        <v>122.47</v>
      </c>
      <c r="K2772" s="953"/>
      <c r="L2772" s="953"/>
      <c r="M2772" s="8" t="s">
        <v>2327</v>
      </c>
      <c r="N2772" s="1042">
        <v>45441</v>
      </c>
      <c r="O2772" s="8" t="s">
        <v>62</v>
      </c>
      <c r="P2772" s="953"/>
      <c r="Q2772" s="1044">
        <v>3.46</v>
      </c>
      <c r="R2772" s="8"/>
      <c r="S2772" s="8"/>
      <c r="T2772" s="8"/>
      <c r="U2772" s="8"/>
      <c r="V2772" s="8"/>
      <c r="W2772" s="759"/>
      <c r="X2772" s="759"/>
      <c r="Y2772" s="759"/>
      <c r="Z2772" s="759"/>
      <c r="AA2772" s="35"/>
      <c r="AB2772" s="35"/>
      <c r="AC2772" s="35"/>
      <c r="AD2772" s="35"/>
      <c r="AE2772" s="35"/>
      <c r="AF2772" s="35"/>
      <c r="AG2772" s="35"/>
      <c r="AH2772" s="35"/>
      <c r="AI2772" s="35"/>
      <c r="AJ2772" s="35"/>
      <c r="AK2772" s="35"/>
      <c r="AL2772" s="35"/>
      <c r="AM2772" s="35"/>
    </row>
    <row r="2773" spans="2:39">
      <c r="B2773" s="1011" t="s">
        <v>57</v>
      </c>
      <c r="C2773" s="993" t="s">
        <v>5595</v>
      </c>
      <c r="D2773" s="3">
        <v>200105952</v>
      </c>
      <c r="E2773" s="1469" t="s">
        <v>1438</v>
      </c>
      <c r="F2773" s="802">
        <f t="shared" si="45"/>
        <v>59</v>
      </c>
      <c r="G2773" s="1040"/>
      <c r="H2773" s="8" t="s">
        <v>60</v>
      </c>
      <c r="I2773" s="1040"/>
      <c r="J2773" s="865">
        <v>122.56</v>
      </c>
      <c r="K2773" s="953"/>
      <c r="L2773" s="953"/>
      <c r="M2773" s="8" t="s">
        <v>2327</v>
      </c>
      <c r="N2773" s="1042">
        <v>45441</v>
      </c>
      <c r="O2773" s="8" t="s">
        <v>62</v>
      </c>
      <c r="P2773" s="953"/>
      <c r="Q2773" s="1044">
        <v>3.64</v>
      </c>
      <c r="R2773" s="8"/>
      <c r="S2773" s="8"/>
      <c r="T2773" s="8"/>
      <c r="U2773" s="8"/>
      <c r="V2773" s="8"/>
      <c r="W2773" s="759"/>
      <c r="X2773" s="759"/>
      <c r="Y2773" s="759"/>
      <c r="Z2773" s="759"/>
      <c r="AA2773" s="35"/>
      <c r="AB2773" s="35"/>
      <c r="AC2773" s="35"/>
      <c r="AD2773" s="35"/>
      <c r="AE2773" s="35"/>
      <c r="AF2773" s="35"/>
      <c r="AG2773" s="35"/>
      <c r="AH2773" s="35"/>
      <c r="AI2773" s="35"/>
      <c r="AJ2773" s="35"/>
      <c r="AK2773" s="35"/>
      <c r="AL2773" s="35"/>
      <c r="AM2773" s="35"/>
    </row>
    <row r="2774" spans="2:39">
      <c r="B2774" s="1011" t="s">
        <v>57</v>
      </c>
      <c r="C2774" s="993" t="s">
        <v>5595</v>
      </c>
      <c r="D2774" s="3">
        <v>200105953</v>
      </c>
      <c r="E2774" s="1469" t="s">
        <v>1439</v>
      </c>
      <c r="F2774" s="802">
        <f t="shared" si="45"/>
        <v>60</v>
      </c>
      <c r="G2774" s="1040"/>
      <c r="H2774" s="8" t="s">
        <v>60</v>
      </c>
      <c r="I2774" s="1040"/>
      <c r="J2774" s="865">
        <v>125.44</v>
      </c>
      <c r="K2774" s="953"/>
      <c r="L2774" s="953"/>
      <c r="M2774" s="8" t="s">
        <v>2327</v>
      </c>
      <c r="N2774" s="1042">
        <v>45441</v>
      </c>
      <c r="O2774" s="8" t="s">
        <v>62</v>
      </c>
      <c r="P2774" s="953"/>
      <c r="Q2774" s="1044">
        <v>3.61</v>
      </c>
      <c r="R2774" s="8"/>
      <c r="S2774" s="8"/>
      <c r="T2774" s="8"/>
      <c r="U2774" s="8"/>
      <c r="V2774" s="8"/>
      <c r="W2774" s="759"/>
      <c r="X2774" s="759"/>
      <c r="Y2774" s="759"/>
      <c r="Z2774" s="759"/>
      <c r="AA2774" s="35"/>
      <c r="AB2774" s="35"/>
      <c r="AC2774" s="35"/>
      <c r="AD2774" s="35"/>
      <c r="AE2774" s="35"/>
      <c r="AF2774" s="35"/>
      <c r="AG2774" s="35"/>
      <c r="AH2774" s="35"/>
      <c r="AI2774" s="35"/>
      <c r="AJ2774" s="35"/>
      <c r="AK2774" s="35"/>
      <c r="AL2774" s="35"/>
      <c r="AM2774" s="35"/>
    </row>
    <row r="2775" spans="2:39">
      <c r="B2775" s="1011" t="s">
        <v>57</v>
      </c>
      <c r="C2775" s="993" t="s">
        <v>5595</v>
      </c>
      <c r="D2775" s="3">
        <v>200105954</v>
      </c>
      <c r="E2775" s="1469" t="s">
        <v>1441</v>
      </c>
      <c r="F2775" s="802">
        <f t="shared" si="45"/>
        <v>61</v>
      </c>
      <c r="G2775" s="1040"/>
      <c r="H2775" s="8" t="s">
        <v>60</v>
      </c>
      <c r="I2775" s="1040"/>
      <c r="J2775" s="858">
        <f>58.36+67</f>
        <v>125.36</v>
      </c>
      <c r="K2775" s="953"/>
      <c r="L2775" s="953"/>
      <c r="M2775" s="8" t="s">
        <v>2327</v>
      </c>
      <c r="N2775" s="1042">
        <v>45441</v>
      </c>
      <c r="O2775" s="8" t="s">
        <v>62</v>
      </c>
      <c r="P2775" s="953"/>
      <c r="Q2775" s="1044">
        <v>3.74</v>
      </c>
      <c r="R2775" s="8"/>
      <c r="S2775" s="8"/>
      <c r="T2775" s="8"/>
      <c r="U2775" s="8"/>
      <c r="V2775" s="8"/>
      <c r="W2775" s="759"/>
      <c r="X2775" s="759"/>
      <c r="Y2775" s="759"/>
      <c r="Z2775" s="759"/>
      <c r="AA2775" s="35"/>
      <c r="AB2775" s="35"/>
      <c r="AC2775" s="35"/>
      <c r="AD2775" s="35"/>
      <c r="AE2775" s="35"/>
      <c r="AF2775" s="35"/>
      <c r="AG2775" s="35"/>
      <c r="AH2775" s="35"/>
      <c r="AI2775" s="35"/>
      <c r="AJ2775" s="35"/>
      <c r="AK2775" s="35"/>
      <c r="AL2775" s="35"/>
      <c r="AM2775" s="35"/>
    </row>
    <row r="2776" spans="2:39">
      <c r="B2776" s="1011" t="s">
        <v>57</v>
      </c>
      <c r="C2776" s="993" t="s">
        <v>5595</v>
      </c>
      <c r="D2776" s="3">
        <v>200105955</v>
      </c>
      <c r="E2776" s="1469" t="s">
        <v>1442</v>
      </c>
      <c r="F2776" s="802">
        <f t="shared" si="45"/>
        <v>62</v>
      </c>
      <c r="G2776" s="1040"/>
      <c r="H2776" s="8" t="s">
        <v>60</v>
      </c>
      <c r="I2776" s="1040"/>
      <c r="J2776" s="858">
        <v>122.4</v>
      </c>
      <c r="K2776" s="953"/>
      <c r="L2776" s="953"/>
      <c r="M2776" s="8" t="s">
        <v>2327</v>
      </c>
      <c r="N2776" s="1042">
        <v>45443</v>
      </c>
      <c r="O2776" s="8" t="s">
        <v>62</v>
      </c>
      <c r="P2776" s="953"/>
      <c r="Q2776" s="1044">
        <v>3.7</v>
      </c>
      <c r="R2776" s="8"/>
      <c r="S2776" s="8"/>
      <c r="T2776" s="8"/>
      <c r="U2776" s="8"/>
      <c r="V2776" s="8"/>
      <c r="W2776" s="759"/>
      <c r="X2776" s="759"/>
      <c r="Y2776" s="759"/>
      <c r="Z2776" s="759"/>
      <c r="AA2776" s="35"/>
      <c r="AB2776" s="35"/>
      <c r="AC2776" s="35"/>
      <c r="AD2776" s="35"/>
      <c r="AE2776" s="35"/>
      <c r="AF2776" s="35"/>
      <c r="AG2776" s="35"/>
      <c r="AH2776" s="35"/>
      <c r="AI2776" s="35"/>
      <c r="AJ2776" s="35"/>
      <c r="AK2776" s="35"/>
      <c r="AL2776" s="35"/>
      <c r="AM2776" s="35"/>
    </row>
    <row r="2777" spans="2:39">
      <c r="B2777" s="1011" t="s">
        <v>57</v>
      </c>
      <c r="C2777" s="993" t="s">
        <v>5595</v>
      </c>
      <c r="D2777" s="3">
        <v>200106138</v>
      </c>
      <c r="E2777" s="1469" t="s">
        <v>1444</v>
      </c>
      <c r="F2777" s="802">
        <f t="shared" ref="F2777:F2785" si="46">F2776+1</f>
        <v>63</v>
      </c>
      <c r="G2777" s="1040"/>
      <c r="H2777" s="8" t="s">
        <v>60</v>
      </c>
      <c r="I2777" s="1040"/>
      <c r="J2777" s="858">
        <f>67.49+54.9</f>
        <v>122.38999999999999</v>
      </c>
      <c r="K2777" s="953"/>
      <c r="L2777" s="953"/>
      <c r="M2777" s="8" t="s">
        <v>2327</v>
      </c>
      <c r="N2777" s="1042">
        <v>45443</v>
      </c>
      <c r="O2777" s="8" t="s">
        <v>62</v>
      </c>
      <c r="P2777" s="953"/>
      <c r="Q2777" s="1044">
        <v>3.67</v>
      </c>
      <c r="R2777" s="8"/>
      <c r="S2777" s="8"/>
      <c r="T2777" s="8"/>
      <c r="U2777" s="8"/>
      <c r="V2777" s="8"/>
      <c r="W2777" s="759"/>
      <c r="X2777" s="759"/>
      <c r="Y2777" s="759"/>
      <c r="Z2777" s="759"/>
      <c r="AA2777" s="35"/>
      <c r="AB2777" s="35"/>
      <c r="AC2777" s="35"/>
      <c r="AD2777" s="35"/>
      <c r="AE2777" s="35"/>
      <c r="AF2777" s="35"/>
      <c r="AG2777" s="35"/>
      <c r="AH2777" s="35"/>
      <c r="AI2777" s="35"/>
      <c r="AJ2777" s="35"/>
      <c r="AK2777" s="35"/>
      <c r="AL2777" s="35"/>
      <c r="AM2777" s="35"/>
    </row>
    <row r="2778" spans="2:39">
      <c r="B2778" s="1011" t="s">
        <v>57</v>
      </c>
      <c r="C2778" s="993" t="s">
        <v>5595</v>
      </c>
      <c r="D2778" s="3">
        <v>200106139</v>
      </c>
      <c r="E2778" s="1469" t="s">
        <v>1445</v>
      </c>
      <c r="F2778" s="802">
        <f t="shared" si="46"/>
        <v>64</v>
      </c>
      <c r="G2778" s="1040"/>
      <c r="H2778" s="8" t="s">
        <v>60</v>
      </c>
      <c r="I2778" s="1040"/>
      <c r="J2778" s="858">
        <v>122.4</v>
      </c>
      <c r="K2778" s="953"/>
      <c r="L2778" s="953"/>
      <c r="M2778" s="8" t="s">
        <v>2327</v>
      </c>
      <c r="N2778" s="1042">
        <v>45443</v>
      </c>
      <c r="O2778" s="8" t="s">
        <v>62</v>
      </c>
      <c r="P2778" s="953"/>
      <c r="Q2778" s="1044">
        <v>3.54</v>
      </c>
      <c r="R2778" s="8"/>
      <c r="S2778" s="8"/>
      <c r="T2778" s="8"/>
      <c r="U2778" s="8"/>
      <c r="V2778" s="8"/>
      <c r="W2778" s="759"/>
      <c r="X2778" s="759"/>
      <c r="Y2778" s="759"/>
      <c r="Z2778" s="759"/>
      <c r="AA2778" s="35"/>
      <c r="AB2778" s="35"/>
      <c r="AC2778" s="35"/>
      <c r="AD2778" s="35"/>
      <c r="AE2778" s="35"/>
      <c r="AF2778" s="35"/>
      <c r="AG2778" s="35"/>
      <c r="AH2778" s="35"/>
      <c r="AI2778" s="35"/>
      <c r="AJ2778" s="35"/>
      <c r="AK2778" s="35"/>
      <c r="AL2778" s="35"/>
      <c r="AM2778" s="35"/>
    </row>
    <row r="2779" spans="2:39">
      <c r="B2779" s="1011" t="s">
        <v>57</v>
      </c>
      <c r="C2779" s="993" t="s">
        <v>5595</v>
      </c>
      <c r="D2779" s="3">
        <v>200106180</v>
      </c>
      <c r="E2779" s="1469" t="s">
        <v>1446</v>
      </c>
      <c r="F2779" s="802">
        <f t="shared" si="46"/>
        <v>65</v>
      </c>
      <c r="G2779" s="1040"/>
      <c r="H2779" s="8" t="s">
        <v>60</v>
      </c>
      <c r="I2779" s="1040"/>
      <c r="J2779" s="858">
        <v>124</v>
      </c>
      <c r="K2779" s="953"/>
      <c r="L2779" s="953"/>
      <c r="M2779" s="8" t="s">
        <v>2327</v>
      </c>
      <c r="N2779" s="1042">
        <v>45443</v>
      </c>
      <c r="O2779" s="8" t="s">
        <v>62</v>
      </c>
      <c r="P2779" s="953"/>
      <c r="Q2779" s="1044">
        <v>3.52</v>
      </c>
      <c r="R2779" s="8"/>
      <c r="S2779" s="8"/>
      <c r="T2779" s="8"/>
      <c r="U2779" s="8"/>
      <c r="V2779" s="8"/>
      <c r="W2779" s="759"/>
      <c r="X2779" s="759"/>
      <c r="Y2779" s="759"/>
      <c r="Z2779" s="759"/>
      <c r="AA2779" s="35"/>
      <c r="AB2779" s="35"/>
      <c r="AC2779" s="35"/>
      <c r="AD2779" s="35"/>
      <c r="AE2779" s="35"/>
      <c r="AF2779" s="35"/>
      <c r="AG2779" s="35"/>
      <c r="AH2779" s="35"/>
      <c r="AI2779" s="35"/>
      <c r="AJ2779" s="35"/>
      <c r="AK2779" s="35"/>
      <c r="AL2779" s="35"/>
      <c r="AM2779" s="35"/>
    </row>
    <row r="2780" spans="2:39">
      <c r="B2780" s="1011" t="s">
        <v>57</v>
      </c>
      <c r="C2780" s="993" t="s">
        <v>5595</v>
      </c>
      <c r="D2780" s="3">
        <v>200106181</v>
      </c>
      <c r="E2780" s="1469" t="s">
        <v>1447</v>
      </c>
      <c r="F2780" s="802">
        <f t="shared" si="46"/>
        <v>66</v>
      </c>
      <c r="G2780" s="1040"/>
      <c r="H2780" s="8" t="s">
        <v>60</v>
      </c>
      <c r="I2780" s="1040"/>
      <c r="J2780" s="858">
        <v>126.24</v>
      </c>
      <c r="K2780" s="953"/>
      <c r="L2780" s="953"/>
      <c r="M2780" s="8" t="s">
        <v>2327</v>
      </c>
      <c r="N2780" s="1042">
        <v>45443</v>
      </c>
      <c r="O2780" s="8" t="s">
        <v>62</v>
      </c>
      <c r="P2780" s="953"/>
      <c r="Q2780" s="1044">
        <v>3.68</v>
      </c>
      <c r="R2780" s="8"/>
      <c r="S2780" s="8"/>
      <c r="T2780" s="8"/>
      <c r="U2780" s="8"/>
      <c r="V2780" s="8"/>
      <c r="W2780" s="759"/>
      <c r="X2780" s="759"/>
      <c r="Y2780" s="759"/>
      <c r="Z2780" s="759"/>
      <c r="AA2780" s="35"/>
      <c r="AB2780" s="35"/>
      <c r="AC2780" s="35"/>
      <c r="AD2780" s="35"/>
      <c r="AE2780" s="35"/>
      <c r="AF2780" s="35"/>
      <c r="AG2780" s="35"/>
      <c r="AH2780" s="35"/>
      <c r="AI2780" s="35"/>
      <c r="AJ2780" s="35"/>
      <c r="AK2780" s="35"/>
      <c r="AL2780" s="35"/>
      <c r="AM2780" s="35"/>
    </row>
    <row r="2781" spans="2:39">
      <c r="B2781" s="1011" t="s">
        <v>57</v>
      </c>
      <c r="C2781" s="993" t="s">
        <v>5595</v>
      </c>
      <c r="D2781" s="3">
        <v>200106182</v>
      </c>
      <c r="E2781" s="1469" t="s">
        <v>1448</v>
      </c>
      <c r="F2781" s="802">
        <f t="shared" si="46"/>
        <v>67</v>
      </c>
      <c r="G2781" s="760" t="s">
        <v>128</v>
      </c>
      <c r="H2781" s="8" t="s">
        <v>60</v>
      </c>
      <c r="I2781" s="865">
        <v>545.15</v>
      </c>
      <c r="J2781" s="786">
        <v>124.22</v>
      </c>
      <c r="K2781" s="8" t="s">
        <v>2411</v>
      </c>
      <c r="L2781" s="1042">
        <v>45446</v>
      </c>
      <c r="M2781" s="8" t="s">
        <v>2411</v>
      </c>
      <c r="N2781" s="1042">
        <v>45447</v>
      </c>
      <c r="O2781" s="8" t="s">
        <v>62</v>
      </c>
      <c r="P2781" s="4" t="s">
        <v>1449</v>
      </c>
      <c r="Q2781" s="3">
        <v>3.51</v>
      </c>
      <c r="R2781" s="8"/>
      <c r="S2781" s="8"/>
      <c r="T2781" s="8"/>
      <c r="U2781" s="8"/>
      <c r="V2781" s="8"/>
      <c r="W2781" s="759"/>
      <c r="X2781" s="759"/>
      <c r="Y2781" s="759"/>
      <c r="Z2781" s="759"/>
      <c r="AA2781" s="35"/>
      <c r="AB2781" s="35"/>
      <c r="AC2781" s="35"/>
      <c r="AD2781" s="35"/>
      <c r="AE2781" s="35"/>
      <c r="AF2781" s="35"/>
      <c r="AG2781" s="35"/>
      <c r="AH2781" s="35"/>
      <c r="AI2781" s="35"/>
      <c r="AJ2781" s="35"/>
      <c r="AK2781" s="35"/>
      <c r="AL2781" s="35"/>
      <c r="AM2781" s="35"/>
    </row>
    <row r="2782" spans="2:39">
      <c r="B2782" s="1011" t="s">
        <v>57</v>
      </c>
      <c r="C2782" s="993" t="s">
        <v>5595</v>
      </c>
      <c r="D2782" s="3">
        <v>200106183</v>
      </c>
      <c r="E2782" s="1469" t="s">
        <v>1450</v>
      </c>
      <c r="F2782" s="802">
        <f t="shared" si="46"/>
        <v>68</v>
      </c>
      <c r="G2782" s="760" t="s">
        <v>128</v>
      </c>
      <c r="H2782" s="8" t="s">
        <v>60</v>
      </c>
      <c r="I2782" s="865">
        <v>555.17999999999995</v>
      </c>
      <c r="J2782" s="786">
        <v>122.2</v>
      </c>
      <c r="K2782" s="8" t="s">
        <v>2411</v>
      </c>
      <c r="L2782" s="1042">
        <v>45446</v>
      </c>
      <c r="M2782" s="8" t="s">
        <v>2411</v>
      </c>
      <c r="N2782" s="1042">
        <v>45447</v>
      </c>
      <c r="O2782" s="8" t="s">
        <v>62</v>
      </c>
      <c r="P2782" s="4" t="s">
        <v>1451</v>
      </c>
      <c r="Q2782" s="859">
        <v>3.7</v>
      </c>
      <c r="R2782" s="8"/>
      <c r="S2782" s="8"/>
      <c r="T2782" s="8"/>
      <c r="U2782" s="8"/>
      <c r="V2782" s="8"/>
      <c r="W2782" s="759"/>
      <c r="X2782" s="759"/>
      <c r="Y2782" s="759"/>
      <c r="Z2782" s="759"/>
      <c r="AA2782" s="35"/>
      <c r="AB2782" s="35"/>
      <c r="AC2782" s="35"/>
      <c r="AD2782" s="35"/>
      <c r="AE2782" s="35"/>
      <c r="AF2782" s="35"/>
      <c r="AG2782" s="35"/>
      <c r="AH2782" s="35"/>
      <c r="AI2782" s="35"/>
      <c r="AJ2782" s="35"/>
      <c r="AK2782" s="35"/>
      <c r="AL2782" s="35"/>
      <c r="AM2782" s="35"/>
    </row>
    <row r="2783" spans="2:39">
      <c r="B2783" s="1011" t="s">
        <v>57</v>
      </c>
      <c r="C2783" s="993" t="s">
        <v>5595</v>
      </c>
      <c r="D2783" s="3">
        <v>200106184</v>
      </c>
      <c r="E2783" s="1469" t="s">
        <v>1452</v>
      </c>
      <c r="F2783" s="802">
        <f t="shared" si="46"/>
        <v>69</v>
      </c>
      <c r="G2783" s="760" t="s">
        <v>128</v>
      </c>
      <c r="H2783" s="8" t="s">
        <v>60</v>
      </c>
      <c r="I2783" s="865">
        <v>558.66</v>
      </c>
      <c r="J2783" s="786">
        <v>125</v>
      </c>
      <c r="K2783" s="8" t="s">
        <v>2411</v>
      </c>
      <c r="L2783" s="1042">
        <v>45446</v>
      </c>
      <c r="M2783" s="8" t="s">
        <v>2411</v>
      </c>
      <c r="N2783" s="1042">
        <v>45447</v>
      </c>
      <c r="O2783" s="8" t="s">
        <v>62</v>
      </c>
      <c r="P2783" s="4" t="s">
        <v>1453</v>
      </c>
      <c r="Q2783" s="3">
        <v>3.66</v>
      </c>
      <c r="R2783" s="8"/>
      <c r="S2783" s="8"/>
      <c r="T2783" s="8"/>
      <c r="U2783" s="8"/>
      <c r="V2783" s="8"/>
      <c r="W2783" s="759"/>
      <c r="X2783" s="759"/>
      <c r="Y2783" s="759"/>
      <c r="Z2783" s="759"/>
      <c r="AA2783" s="35"/>
      <c r="AB2783" s="35"/>
      <c r="AC2783" s="35"/>
      <c r="AD2783" s="35"/>
      <c r="AE2783" s="35"/>
      <c r="AF2783" s="35"/>
      <c r="AG2783" s="35"/>
      <c r="AH2783" s="35"/>
      <c r="AI2783" s="35"/>
      <c r="AJ2783" s="35"/>
      <c r="AK2783" s="35"/>
      <c r="AL2783" s="35"/>
      <c r="AM2783" s="35"/>
    </row>
    <row r="2784" spans="2:39">
      <c r="B2784" s="1011" t="s">
        <v>57</v>
      </c>
      <c r="C2784" s="993" t="s">
        <v>5595</v>
      </c>
      <c r="D2784" s="3">
        <v>200106185</v>
      </c>
      <c r="E2784" s="1469" t="s">
        <v>1454</v>
      </c>
      <c r="F2784" s="802">
        <f t="shared" si="46"/>
        <v>70</v>
      </c>
      <c r="G2784" s="760" t="s">
        <v>128</v>
      </c>
      <c r="H2784" s="8" t="s">
        <v>60</v>
      </c>
      <c r="I2784" s="865">
        <v>545.03</v>
      </c>
      <c r="J2784" s="762">
        <v>122</v>
      </c>
      <c r="K2784" s="8" t="s">
        <v>2411</v>
      </c>
      <c r="L2784" s="1042">
        <v>45449</v>
      </c>
      <c r="M2784" s="8" t="s">
        <v>2411</v>
      </c>
      <c r="N2784" s="1042">
        <v>45448</v>
      </c>
      <c r="O2784" s="8" t="s">
        <v>62</v>
      </c>
      <c r="P2784" s="4" t="s">
        <v>1455</v>
      </c>
      <c r="Q2784" s="3">
        <v>3.65</v>
      </c>
      <c r="R2784" s="8"/>
      <c r="S2784" s="8"/>
      <c r="T2784" s="8"/>
      <c r="U2784" s="8"/>
      <c r="V2784" s="8"/>
      <c r="W2784" s="759"/>
      <c r="X2784" s="759"/>
      <c r="Y2784" s="759"/>
      <c r="Z2784" s="759"/>
      <c r="AA2784" s="35"/>
      <c r="AB2784" s="35"/>
      <c r="AC2784" s="35"/>
      <c r="AD2784" s="35"/>
      <c r="AE2784" s="35"/>
      <c r="AF2784" s="35"/>
      <c r="AG2784" s="35"/>
      <c r="AH2784" s="35"/>
      <c r="AI2784" s="35"/>
      <c r="AJ2784" s="35"/>
      <c r="AK2784" s="35"/>
      <c r="AL2784" s="35"/>
      <c r="AM2784" s="35"/>
    </row>
    <row r="2785" spans="1:39">
      <c r="B2785" s="1011" t="s">
        <v>57</v>
      </c>
      <c r="C2785" s="993" t="s">
        <v>5595</v>
      </c>
      <c r="D2785" s="3">
        <v>200106186</v>
      </c>
      <c r="E2785" s="1469" t="s">
        <v>1456</v>
      </c>
      <c r="F2785" s="802">
        <f t="shared" si="46"/>
        <v>71</v>
      </c>
      <c r="G2785" s="760" t="s">
        <v>128</v>
      </c>
      <c r="H2785" s="8" t="s">
        <v>60</v>
      </c>
      <c r="I2785" s="865">
        <v>556.38</v>
      </c>
      <c r="J2785" s="762">
        <v>121.8</v>
      </c>
      <c r="K2785" s="8" t="s">
        <v>2411</v>
      </c>
      <c r="L2785" s="1042">
        <v>45449</v>
      </c>
      <c r="M2785" s="8" t="s">
        <v>2411</v>
      </c>
      <c r="N2785" s="1042">
        <v>45448</v>
      </c>
      <c r="O2785" s="8" t="s">
        <v>62</v>
      </c>
      <c r="P2785" s="4" t="s">
        <v>1457</v>
      </c>
      <c r="Q2785" s="3">
        <v>3.45</v>
      </c>
      <c r="R2785" s="8"/>
      <c r="S2785" s="8"/>
      <c r="T2785" s="8"/>
      <c r="U2785" s="8"/>
      <c r="V2785" s="8"/>
      <c r="W2785" s="759"/>
      <c r="X2785" s="759"/>
      <c r="Y2785" s="759"/>
      <c r="Z2785" s="759"/>
      <c r="AA2785" s="35"/>
      <c r="AB2785" s="35"/>
      <c r="AC2785" s="35"/>
      <c r="AD2785" s="35"/>
      <c r="AE2785" s="35"/>
      <c r="AF2785" s="35"/>
      <c r="AG2785" s="35"/>
      <c r="AH2785" s="35"/>
      <c r="AI2785" s="35"/>
      <c r="AJ2785" s="35"/>
      <c r="AK2785" s="35"/>
      <c r="AL2785" s="35"/>
      <c r="AM2785" s="35"/>
    </row>
    <row r="2786" spans="1:39" s="707" customFormat="1">
      <c r="A2786"/>
      <c r="B2786" s="978"/>
      <c r="C2786" s="807" t="s">
        <v>3319</v>
      </c>
      <c r="D2786" s="807"/>
      <c r="E2786" s="875"/>
      <c r="F2786" s="808"/>
      <c r="G2786" s="807"/>
      <c r="H2786" s="807"/>
      <c r="I2786" s="807"/>
      <c r="J2786" s="820"/>
      <c r="K2786" s="807"/>
      <c r="L2786" s="807"/>
      <c r="M2786" s="819"/>
      <c r="N2786" s="1025"/>
      <c r="O2786" s="9"/>
      <c r="P2786" s="9"/>
      <c r="Q2786" s="9"/>
      <c r="R2786" s="9"/>
      <c r="S2786" s="9"/>
      <c r="T2786" s="9"/>
      <c r="U2786" s="9"/>
      <c r="V2786" s="9"/>
      <c r="W2786" s="1025"/>
      <c r="X2786" s="1025"/>
      <c r="Y2786" s="1025"/>
      <c r="Z2786" s="1025"/>
      <c r="AA2786" s="1016"/>
      <c r="AB2786" s="1016"/>
      <c r="AC2786" s="1016"/>
      <c r="AD2786" s="1016"/>
      <c r="AE2786" s="1016"/>
      <c r="AF2786" s="1016"/>
      <c r="AG2786" s="1016"/>
      <c r="AH2786" s="1016"/>
      <c r="AI2786" s="1016"/>
      <c r="AJ2786" s="1016"/>
      <c r="AK2786" s="1016"/>
      <c r="AL2786" s="1016"/>
      <c r="AM2786" s="1016"/>
    </row>
    <row r="2787" spans="1:39">
      <c r="B2787" s="1011" t="s">
        <v>72</v>
      </c>
      <c r="C2787" s="993" t="s">
        <v>5595</v>
      </c>
      <c r="D2787" s="3">
        <v>200105946</v>
      </c>
      <c r="E2787" s="1469" t="s">
        <v>1458</v>
      </c>
      <c r="F2787" s="802">
        <v>1</v>
      </c>
      <c r="G2787" s="1040"/>
      <c r="H2787" s="8" t="s">
        <v>60</v>
      </c>
      <c r="I2787" s="1040"/>
      <c r="J2787" s="786">
        <v>122.39</v>
      </c>
      <c r="K2787" s="953"/>
      <c r="L2787" s="953"/>
      <c r="M2787" s="8" t="s">
        <v>2327</v>
      </c>
      <c r="N2787" s="1046">
        <v>45426</v>
      </c>
      <c r="O2787" s="8" t="s">
        <v>62</v>
      </c>
      <c r="P2787" s="953"/>
      <c r="Q2787" s="882">
        <v>3.67</v>
      </c>
      <c r="R2787" s="8"/>
      <c r="S2787" s="8"/>
      <c r="T2787" s="8"/>
      <c r="U2787" s="8"/>
      <c r="V2787" s="8"/>
      <c r="W2787" s="759"/>
      <c r="X2787" s="759"/>
      <c r="Y2787" s="759"/>
      <c r="Z2787" s="759"/>
      <c r="AA2787" s="35"/>
      <c r="AB2787" s="35"/>
      <c r="AC2787" s="35"/>
      <c r="AD2787" s="35"/>
      <c r="AE2787" s="35"/>
      <c r="AF2787" s="35"/>
      <c r="AG2787" s="35"/>
      <c r="AH2787" s="35"/>
      <c r="AI2787" s="35"/>
      <c r="AJ2787" s="35"/>
      <c r="AK2787" s="35"/>
      <c r="AL2787" s="35"/>
      <c r="AM2787" s="35"/>
    </row>
    <row r="2788" spans="1:39">
      <c r="B2788" s="1011" t="s">
        <v>72</v>
      </c>
      <c r="C2788" s="993" t="s">
        <v>5595</v>
      </c>
      <c r="D2788" s="3">
        <v>200105947</v>
      </c>
      <c r="E2788" s="1469" t="s">
        <v>1459</v>
      </c>
      <c r="F2788" s="802">
        <v>2</v>
      </c>
      <c r="G2788" s="1040"/>
      <c r="H2788" s="8" t="s">
        <v>60</v>
      </c>
      <c r="I2788" s="1040"/>
      <c r="J2788" s="786">
        <v>122.94</v>
      </c>
      <c r="K2788" s="953"/>
      <c r="L2788" s="953"/>
      <c r="M2788" s="8" t="s">
        <v>2327</v>
      </c>
      <c r="N2788" s="1046">
        <v>45426</v>
      </c>
      <c r="O2788" s="8" t="s">
        <v>62</v>
      </c>
      <c r="P2788" s="953"/>
      <c r="Q2788" s="882">
        <v>3.75</v>
      </c>
      <c r="R2788" s="8"/>
      <c r="S2788" s="8"/>
      <c r="T2788" s="8"/>
      <c r="U2788" s="8"/>
      <c r="V2788" s="8"/>
      <c r="W2788" s="759"/>
      <c r="X2788" s="759"/>
      <c r="Y2788" s="759"/>
      <c r="Z2788" s="759"/>
      <c r="AA2788" s="35"/>
      <c r="AB2788" s="35"/>
      <c r="AC2788" s="35"/>
      <c r="AD2788" s="35"/>
      <c r="AE2788" s="35"/>
      <c r="AF2788" s="35"/>
      <c r="AG2788" s="35"/>
      <c r="AH2788" s="35"/>
      <c r="AI2788" s="35"/>
      <c r="AJ2788" s="35"/>
      <c r="AK2788" s="35"/>
      <c r="AL2788" s="35"/>
      <c r="AM2788" s="35"/>
    </row>
    <row r="2789" spans="1:39">
      <c r="B2789" s="1011" t="s">
        <v>72</v>
      </c>
      <c r="C2789" s="993" t="s">
        <v>5595</v>
      </c>
      <c r="D2789" s="3">
        <v>200105948</v>
      </c>
      <c r="E2789" s="1469" t="s">
        <v>1460</v>
      </c>
      <c r="F2789" s="802">
        <v>3</v>
      </c>
      <c r="G2789" s="1040"/>
      <c r="H2789" s="8" t="s">
        <v>60</v>
      </c>
      <c r="I2789" s="1040"/>
      <c r="J2789" s="786">
        <v>123.74</v>
      </c>
      <c r="K2789" s="953"/>
      <c r="L2789" s="953"/>
      <c r="M2789" s="8" t="s">
        <v>2327</v>
      </c>
      <c r="N2789" s="1046">
        <v>45426</v>
      </c>
      <c r="O2789" s="8" t="s">
        <v>62</v>
      </c>
      <c r="P2789" s="953"/>
      <c r="Q2789" s="882">
        <v>3.41</v>
      </c>
      <c r="R2789" s="8"/>
      <c r="S2789" s="8"/>
      <c r="T2789" s="8"/>
      <c r="U2789" s="8"/>
      <c r="V2789" s="8"/>
      <c r="W2789" s="759"/>
      <c r="X2789" s="759"/>
      <c r="Y2789" s="759"/>
      <c r="Z2789" s="759"/>
      <c r="AA2789" s="35"/>
      <c r="AB2789" s="35"/>
      <c r="AC2789" s="35"/>
      <c r="AD2789" s="35"/>
      <c r="AE2789" s="35"/>
      <c r="AF2789" s="35"/>
      <c r="AG2789" s="35"/>
      <c r="AH2789" s="35"/>
      <c r="AI2789" s="35"/>
      <c r="AJ2789" s="35"/>
      <c r="AK2789" s="35"/>
      <c r="AL2789" s="35"/>
      <c r="AM2789" s="35"/>
    </row>
    <row r="2790" spans="1:39">
      <c r="B2790" s="1011" t="s">
        <v>72</v>
      </c>
      <c r="C2790" s="993" t="s">
        <v>5595</v>
      </c>
      <c r="D2790" s="3">
        <v>200105949</v>
      </c>
      <c r="E2790" s="1469" t="s">
        <v>1461</v>
      </c>
      <c r="F2790" s="802">
        <v>4</v>
      </c>
      <c r="G2790" s="1040"/>
      <c r="H2790" s="8" t="s">
        <v>60</v>
      </c>
      <c r="I2790" s="1040"/>
      <c r="J2790" s="786">
        <v>124.15</v>
      </c>
      <c r="K2790" s="953"/>
      <c r="L2790" s="953"/>
      <c r="M2790" s="8" t="s">
        <v>2327</v>
      </c>
      <c r="N2790" s="1046">
        <v>45426</v>
      </c>
      <c r="O2790" s="8" t="s">
        <v>62</v>
      </c>
      <c r="P2790" s="953"/>
      <c r="Q2790" s="882">
        <v>3.74</v>
      </c>
      <c r="R2790" s="8"/>
      <c r="S2790" s="8"/>
      <c r="T2790" s="8"/>
      <c r="U2790" s="8"/>
      <c r="V2790" s="8"/>
      <c r="W2790" s="759"/>
      <c r="X2790" s="759"/>
      <c r="Y2790" s="759"/>
      <c r="Z2790" s="759"/>
      <c r="AA2790" s="35"/>
      <c r="AB2790" s="35"/>
      <c r="AC2790" s="35"/>
      <c r="AD2790" s="35"/>
      <c r="AE2790" s="35"/>
      <c r="AF2790" s="35"/>
      <c r="AG2790" s="35"/>
      <c r="AH2790" s="35"/>
      <c r="AI2790" s="35"/>
      <c r="AJ2790" s="35"/>
      <c r="AK2790" s="35"/>
      <c r="AL2790" s="35"/>
      <c r="AM2790" s="35"/>
    </row>
    <row r="2791" spans="1:39">
      <c r="B2791" s="1011" t="s">
        <v>72</v>
      </c>
      <c r="C2791" s="993" t="s">
        <v>5595</v>
      </c>
      <c r="D2791" s="3">
        <v>200105950</v>
      </c>
      <c r="E2791" s="1469" t="s">
        <v>1462</v>
      </c>
      <c r="F2791" s="802">
        <v>5</v>
      </c>
      <c r="G2791" s="1040"/>
      <c r="H2791" s="8" t="s">
        <v>60</v>
      </c>
      <c r="I2791" s="1040"/>
      <c r="J2791" s="786">
        <v>124.3</v>
      </c>
      <c r="K2791" s="953"/>
      <c r="L2791" s="953"/>
      <c r="M2791" s="8" t="s">
        <v>2327</v>
      </c>
      <c r="N2791" s="1046">
        <v>45426</v>
      </c>
      <c r="O2791" s="8" t="s">
        <v>62</v>
      </c>
      <c r="P2791" s="953"/>
      <c r="Q2791" s="882">
        <v>3.77</v>
      </c>
      <c r="R2791" s="8"/>
      <c r="S2791" s="8"/>
      <c r="T2791" s="8"/>
      <c r="U2791" s="8"/>
      <c r="V2791" s="8"/>
      <c r="W2791" s="759"/>
      <c r="X2791" s="759"/>
      <c r="Y2791" s="759"/>
      <c r="Z2791" s="759"/>
      <c r="AA2791" s="35"/>
      <c r="AB2791" s="35"/>
      <c r="AC2791" s="35"/>
      <c r="AD2791" s="35"/>
      <c r="AE2791" s="35"/>
      <c r="AF2791" s="35"/>
      <c r="AG2791" s="35"/>
      <c r="AH2791" s="35"/>
      <c r="AI2791" s="35"/>
      <c r="AJ2791" s="35"/>
      <c r="AK2791" s="35"/>
      <c r="AL2791" s="35"/>
      <c r="AM2791" s="35"/>
    </row>
    <row r="2792" spans="1:39">
      <c r="B2792" s="1011" t="s">
        <v>72</v>
      </c>
      <c r="C2792" s="993" t="s">
        <v>5595</v>
      </c>
      <c r="D2792" s="3">
        <v>200106187</v>
      </c>
      <c r="E2792" s="1469" t="s">
        <v>1464</v>
      </c>
      <c r="F2792" s="802">
        <v>6</v>
      </c>
      <c r="G2792" s="1040"/>
      <c r="H2792" s="8" t="s">
        <v>60</v>
      </c>
      <c r="I2792" s="1040"/>
      <c r="J2792" s="762">
        <v>124.5</v>
      </c>
      <c r="K2792" s="953"/>
      <c r="L2792" s="953"/>
      <c r="M2792" s="8" t="s">
        <v>2411</v>
      </c>
      <c r="N2792" s="1046">
        <v>45448</v>
      </c>
      <c r="O2792" s="8" t="s">
        <v>62</v>
      </c>
      <c r="P2792" s="953"/>
      <c r="Q2792" s="3">
        <v>3.6</v>
      </c>
      <c r="R2792" s="8"/>
      <c r="S2792" s="8"/>
      <c r="T2792" s="8"/>
      <c r="U2792" s="8"/>
      <c r="V2792" s="8"/>
      <c r="W2792" s="759"/>
      <c r="X2792" s="759"/>
      <c r="Y2792" s="759"/>
      <c r="Z2792" s="759"/>
      <c r="AA2792" s="35"/>
      <c r="AB2792" s="35"/>
      <c r="AC2792" s="35"/>
      <c r="AD2792" s="35"/>
      <c r="AE2792" s="35"/>
      <c r="AF2792" s="35"/>
      <c r="AG2792" s="35"/>
      <c r="AH2792" s="35"/>
      <c r="AI2792" s="35"/>
      <c r="AJ2792" s="35"/>
      <c r="AK2792" s="35"/>
      <c r="AL2792" s="35"/>
      <c r="AM2792" s="35"/>
    </row>
    <row r="2793" spans="1:39">
      <c r="B2793" s="1011" t="s">
        <v>72</v>
      </c>
      <c r="C2793" s="993" t="s">
        <v>5595</v>
      </c>
      <c r="D2793" s="3">
        <v>200106188</v>
      </c>
      <c r="E2793" s="1469" t="s">
        <v>1465</v>
      </c>
      <c r="F2793" s="802">
        <v>7</v>
      </c>
      <c r="G2793" s="1040"/>
      <c r="H2793" s="8" t="s">
        <v>60</v>
      </c>
      <c r="I2793" s="1040"/>
      <c r="J2793" s="762">
        <v>126</v>
      </c>
      <c r="K2793" s="953"/>
      <c r="L2793" s="953"/>
      <c r="M2793" s="8" t="s">
        <v>2411</v>
      </c>
      <c r="N2793" s="1046">
        <v>45448</v>
      </c>
      <c r="O2793" s="8" t="s">
        <v>62</v>
      </c>
      <c r="P2793" s="953"/>
      <c r="Q2793" s="3">
        <v>3.75</v>
      </c>
      <c r="R2793" s="8"/>
      <c r="S2793" s="8"/>
      <c r="T2793" s="8"/>
      <c r="U2793" s="8"/>
      <c r="V2793" s="8"/>
      <c r="W2793" s="759"/>
      <c r="X2793" s="759"/>
      <c r="Y2793" s="759"/>
      <c r="Z2793" s="759"/>
      <c r="AA2793" s="35"/>
      <c r="AB2793" s="35"/>
      <c r="AC2793" s="35"/>
      <c r="AD2793" s="35"/>
      <c r="AE2793" s="35"/>
      <c r="AF2793" s="35"/>
      <c r="AG2793" s="35"/>
      <c r="AH2793" s="35"/>
      <c r="AI2793" s="35"/>
      <c r="AJ2793" s="35"/>
      <c r="AK2793" s="35"/>
      <c r="AL2793" s="35"/>
      <c r="AM2793" s="35"/>
    </row>
    <row r="2794" spans="1:39">
      <c r="B2794" s="1011" t="s">
        <v>72</v>
      </c>
      <c r="C2794" s="993" t="s">
        <v>5595</v>
      </c>
      <c r="D2794" s="3">
        <v>200106189</v>
      </c>
      <c r="E2794" s="1469" t="s">
        <v>1466</v>
      </c>
      <c r="F2794" s="802">
        <v>8</v>
      </c>
      <c r="G2794" s="1040"/>
      <c r="H2794" s="8" t="s">
        <v>60</v>
      </c>
      <c r="I2794" s="1040"/>
      <c r="J2794" s="762">
        <v>125.35</v>
      </c>
      <c r="K2794" s="953"/>
      <c r="L2794" s="953"/>
      <c r="M2794" s="8" t="s">
        <v>2411</v>
      </c>
      <c r="N2794" s="1046">
        <v>45448</v>
      </c>
      <c r="O2794" s="8" t="s">
        <v>62</v>
      </c>
      <c r="P2794" s="953"/>
      <c r="Q2794" s="3">
        <v>3.52</v>
      </c>
      <c r="R2794" s="8"/>
      <c r="S2794" s="8"/>
      <c r="T2794" s="8"/>
      <c r="U2794" s="8"/>
      <c r="V2794" s="8"/>
      <c r="W2794" s="759"/>
      <c r="X2794" s="759"/>
      <c r="Y2794" s="759"/>
      <c r="Z2794" s="759"/>
      <c r="AA2794" s="35"/>
      <c r="AB2794" s="35"/>
      <c r="AC2794" s="35"/>
      <c r="AD2794" s="35"/>
      <c r="AE2794" s="35"/>
      <c r="AF2794" s="35"/>
      <c r="AG2794" s="35"/>
      <c r="AH2794" s="35"/>
      <c r="AI2794" s="35"/>
      <c r="AJ2794" s="35"/>
      <c r="AK2794" s="35"/>
      <c r="AL2794" s="35"/>
      <c r="AM2794" s="35"/>
    </row>
    <row r="2795" spans="1:39">
      <c r="B2795" s="1011" t="s">
        <v>72</v>
      </c>
      <c r="C2795" s="993" t="s">
        <v>5595</v>
      </c>
      <c r="D2795" s="3">
        <v>200106190</v>
      </c>
      <c r="E2795" s="1469" t="s">
        <v>1468</v>
      </c>
      <c r="F2795" s="802">
        <v>9</v>
      </c>
      <c r="G2795" s="1040"/>
      <c r="H2795" s="8" t="s">
        <v>60</v>
      </c>
      <c r="I2795" s="1040"/>
      <c r="J2795" s="858">
        <v>122</v>
      </c>
      <c r="K2795" s="953"/>
      <c r="L2795" s="953"/>
      <c r="M2795" s="8" t="s">
        <v>2411</v>
      </c>
      <c r="N2795" s="1046">
        <v>45449</v>
      </c>
      <c r="O2795" s="8" t="s">
        <v>62</v>
      </c>
      <c r="P2795" s="953"/>
      <c r="Q2795" s="1044">
        <v>3.72</v>
      </c>
      <c r="R2795" s="8"/>
      <c r="S2795" s="8"/>
      <c r="T2795" s="8"/>
      <c r="U2795" s="8"/>
      <c r="V2795" s="8"/>
      <c r="W2795" s="759"/>
      <c r="X2795" s="759"/>
      <c r="Y2795" s="759"/>
      <c r="Z2795" s="759"/>
      <c r="AA2795" s="35"/>
      <c r="AB2795" s="35"/>
      <c r="AC2795" s="35"/>
      <c r="AD2795" s="35"/>
      <c r="AE2795" s="35"/>
      <c r="AF2795" s="35"/>
      <c r="AG2795" s="35"/>
      <c r="AH2795" s="35"/>
      <c r="AI2795" s="35"/>
      <c r="AJ2795" s="35"/>
      <c r="AK2795" s="35"/>
      <c r="AL2795" s="35"/>
      <c r="AM2795" s="35"/>
    </row>
    <row r="2796" spans="1:39">
      <c r="B2796" s="1011" t="s">
        <v>72</v>
      </c>
      <c r="C2796" s="993" t="s">
        <v>5595</v>
      </c>
      <c r="D2796" s="3">
        <v>200106363</v>
      </c>
      <c r="E2796" s="1469" t="s">
        <v>1469</v>
      </c>
      <c r="F2796" s="802">
        <v>10</v>
      </c>
      <c r="G2796" s="760" t="s">
        <v>128</v>
      </c>
      <c r="H2796" s="8" t="s">
        <v>128</v>
      </c>
      <c r="I2796" s="865">
        <v>553.02</v>
      </c>
      <c r="J2796" s="786">
        <v>122.39</v>
      </c>
      <c r="K2796" s="8" t="s">
        <v>2411</v>
      </c>
      <c r="L2796" s="1043">
        <v>45450</v>
      </c>
      <c r="M2796" s="8" t="s">
        <v>2411</v>
      </c>
      <c r="N2796" s="1046">
        <v>45453</v>
      </c>
      <c r="O2796" s="8" t="s">
        <v>62</v>
      </c>
      <c r="P2796" s="4" t="s">
        <v>1470</v>
      </c>
      <c r="Q2796" s="786">
        <v>3.44</v>
      </c>
      <c r="R2796" s="8"/>
      <c r="S2796" s="8"/>
      <c r="T2796" s="8"/>
      <c r="U2796" s="8"/>
      <c r="V2796" s="8"/>
      <c r="W2796" s="759"/>
      <c r="X2796" s="759"/>
      <c r="Y2796" s="759"/>
      <c r="Z2796" s="759"/>
      <c r="AA2796" s="35"/>
      <c r="AB2796" s="35"/>
      <c r="AC2796" s="35"/>
      <c r="AD2796" s="35"/>
      <c r="AE2796" s="35"/>
      <c r="AF2796" s="35"/>
      <c r="AG2796" s="35"/>
      <c r="AH2796" s="35"/>
      <c r="AI2796" s="35"/>
      <c r="AJ2796" s="35"/>
      <c r="AK2796" s="35"/>
      <c r="AL2796" s="35"/>
      <c r="AM2796" s="35"/>
    </row>
    <row r="2797" spans="1:39">
      <c r="B2797" s="1011" t="s">
        <v>72</v>
      </c>
      <c r="C2797" s="993" t="s">
        <v>5595</v>
      </c>
      <c r="D2797" s="3">
        <v>200106265</v>
      </c>
      <c r="E2797" s="1469" t="s">
        <v>1471</v>
      </c>
      <c r="F2797" s="802">
        <v>11</v>
      </c>
      <c r="G2797" s="760" t="s">
        <v>128</v>
      </c>
      <c r="H2797" s="8" t="s">
        <v>128</v>
      </c>
      <c r="I2797" s="858">
        <v>545.20000000000005</v>
      </c>
      <c r="J2797" s="786">
        <v>125.32</v>
      </c>
      <c r="K2797" s="8" t="s">
        <v>2411</v>
      </c>
      <c r="L2797" s="1043">
        <v>45453</v>
      </c>
      <c r="M2797" s="8" t="s">
        <v>2411</v>
      </c>
      <c r="N2797" s="1046">
        <v>45453</v>
      </c>
      <c r="O2797" s="8" t="s">
        <v>62</v>
      </c>
      <c r="P2797" s="4" t="s">
        <v>1472</v>
      </c>
      <c r="Q2797" s="786">
        <v>3.51</v>
      </c>
      <c r="R2797" s="8"/>
      <c r="S2797" s="8"/>
      <c r="T2797" s="8"/>
      <c r="U2797" s="8"/>
      <c r="V2797" s="8"/>
      <c r="W2797" s="759"/>
      <c r="X2797" s="759"/>
      <c r="Y2797" s="759"/>
      <c r="Z2797" s="759"/>
      <c r="AA2797" s="35"/>
      <c r="AB2797" s="35"/>
      <c r="AC2797" s="35"/>
      <c r="AD2797" s="35"/>
      <c r="AE2797" s="35"/>
      <c r="AF2797" s="35"/>
      <c r="AG2797" s="35"/>
      <c r="AH2797" s="35"/>
      <c r="AI2797" s="35"/>
      <c r="AJ2797" s="35"/>
      <c r="AK2797" s="35"/>
      <c r="AL2797" s="35"/>
      <c r="AM2797" s="35"/>
    </row>
    <row r="2798" spans="1:39">
      <c r="B2798" s="1011" t="s">
        <v>72</v>
      </c>
      <c r="C2798" s="993" t="s">
        <v>5595</v>
      </c>
      <c r="D2798" s="3">
        <v>200106266</v>
      </c>
      <c r="E2798" s="1469" t="s">
        <v>1473</v>
      </c>
      <c r="F2798" s="802">
        <v>12</v>
      </c>
      <c r="G2798" s="760" t="s">
        <v>128</v>
      </c>
      <c r="H2798" s="8" t="s">
        <v>128</v>
      </c>
      <c r="I2798" s="858">
        <v>550.41999999999996</v>
      </c>
      <c r="J2798" s="786">
        <v>124.82</v>
      </c>
      <c r="K2798" s="8" t="s">
        <v>2411</v>
      </c>
      <c r="L2798" s="1043">
        <v>45453</v>
      </c>
      <c r="M2798" s="8" t="s">
        <v>2411</v>
      </c>
      <c r="N2798" s="1046">
        <v>45453</v>
      </c>
      <c r="O2798" s="8" t="s">
        <v>62</v>
      </c>
      <c r="P2798" s="4" t="s">
        <v>1474</v>
      </c>
      <c r="Q2798" s="786">
        <v>3.65</v>
      </c>
      <c r="R2798" s="8"/>
      <c r="S2798" s="8"/>
      <c r="T2798" s="8"/>
      <c r="U2798" s="8"/>
      <c r="V2798" s="8"/>
      <c r="W2798" s="759"/>
      <c r="X2798" s="759"/>
      <c r="Y2798" s="759"/>
      <c r="Z2798" s="759"/>
      <c r="AA2798" s="35"/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5"/>
      <c r="AM2798" s="35"/>
    </row>
    <row r="2799" spans="1:39">
      <c r="B2799" s="1011" t="s">
        <v>72</v>
      </c>
      <c r="C2799" s="993" t="s">
        <v>5595</v>
      </c>
      <c r="D2799" s="3">
        <v>200106267</v>
      </c>
      <c r="E2799" s="1469" t="s">
        <v>1475</v>
      </c>
      <c r="F2799" s="802">
        <v>13</v>
      </c>
      <c r="G2799" s="1045"/>
      <c r="H2799" s="8" t="s">
        <v>128</v>
      </c>
      <c r="I2799" s="1045"/>
      <c r="J2799" s="786">
        <v>122.84</v>
      </c>
      <c r="K2799" s="1045"/>
      <c r="L2799" s="1045"/>
      <c r="M2799" s="8" t="s">
        <v>2411</v>
      </c>
      <c r="N2799" s="1046">
        <v>45454</v>
      </c>
      <c r="O2799" s="8" t="s">
        <v>62</v>
      </c>
      <c r="P2799" s="1047"/>
      <c r="Q2799" s="786">
        <v>3.63</v>
      </c>
      <c r="R2799" s="8"/>
      <c r="S2799" s="8"/>
      <c r="T2799" s="8"/>
      <c r="U2799" s="8"/>
      <c r="V2799" s="8"/>
      <c r="W2799" s="759"/>
      <c r="X2799" s="759"/>
      <c r="Y2799" s="759"/>
      <c r="Z2799" s="759"/>
      <c r="AA2799" s="35"/>
      <c r="AB2799" s="35"/>
      <c r="AC2799" s="35"/>
      <c r="AD2799" s="35"/>
      <c r="AE2799" s="35"/>
      <c r="AF2799" s="35"/>
      <c r="AG2799" s="35"/>
      <c r="AH2799" s="35"/>
      <c r="AI2799" s="35"/>
      <c r="AJ2799" s="35"/>
      <c r="AK2799" s="35"/>
      <c r="AL2799" s="35"/>
      <c r="AM2799" s="35"/>
    </row>
    <row r="2800" spans="1:39">
      <c r="B2800" s="1011" t="s">
        <v>72</v>
      </c>
      <c r="C2800" s="993" t="s">
        <v>5595</v>
      </c>
      <c r="D2800" s="3">
        <v>200106268</v>
      </c>
      <c r="E2800" s="1469" t="s">
        <v>1476</v>
      </c>
      <c r="F2800" s="802">
        <v>14</v>
      </c>
      <c r="G2800" s="1045"/>
      <c r="H2800" s="8" t="s">
        <v>128</v>
      </c>
      <c r="I2800" s="1045"/>
      <c r="J2800" s="786">
        <v>122.48</v>
      </c>
      <c r="K2800" s="1045"/>
      <c r="L2800" s="1045"/>
      <c r="M2800" s="8" t="s">
        <v>2411</v>
      </c>
      <c r="N2800" s="1046">
        <v>45454</v>
      </c>
      <c r="O2800" s="8" t="s">
        <v>62</v>
      </c>
      <c r="P2800" s="1047"/>
      <c r="Q2800" s="786">
        <v>3.64</v>
      </c>
      <c r="R2800" s="8"/>
      <c r="S2800" s="8"/>
      <c r="T2800" s="8"/>
      <c r="U2800" s="8"/>
      <c r="V2800" s="8"/>
      <c r="W2800" s="759"/>
      <c r="X2800" s="759"/>
      <c r="Y2800" s="759"/>
      <c r="Z2800" s="759"/>
      <c r="AA2800" s="35"/>
      <c r="AB2800" s="35"/>
      <c r="AC2800" s="35"/>
      <c r="AD2800" s="35"/>
      <c r="AE2800" s="35"/>
      <c r="AF2800" s="35"/>
      <c r="AG2800" s="35"/>
      <c r="AH2800" s="35"/>
      <c r="AI2800" s="35"/>
      <c r="AJ2800" s="35"/>
      <c r="AK2800" s="35"/>
      <c r="AL2800" s="35"/>
      <c r="AM2800" s="35"/>
    </row>
    <row r="2801" spans="2:39">
      <c r="B2801" s="1011" t="s">
        <v>72</v>
      </c>
      <c r="C2801" s="993" t="s">
        <v>5595</v>
      </c>
      <c r="D2801" s="3">
        <v>200106269</v>
      </c>
      <c r="E2801" s="1469" t="s">
        <v>1478</v>
      </c>
      <c r="F2801" s="802">
        <v>15</v>
      </c>
      <c r="G2801" s="1045"/>
      <c r="H2801" s="8" t="s">
        <v>128</v>
      </c>
      <c r="I2801" s="1045"/>
      <c r="J2801" s="786">
        <v>123.1</v>
      </c>
      <c r="K2801" s="1045"/>
      <c r="L2801" s="1045"/>
      <c r="M2801" s="8" t="s">
        <v>2411</v>
      </c>
      <c r="N2801" s="1046">
        <v>45454</v>
      </c>
      <c r="O2801" s="8" t="s">
        <v>62</v>
      </c>
      <c r="P2801" s="1047"/>
      <c r="Q2801" s="786">
        <v>3.74</v>
      </c>
      <c r="R2801" s="8"/>
      <c r="S2801" s="8"/>
      <c r="T2801" s="8"/>
      <c r="U2801" s="8"/>
      <c r="V2801" s="8"/>
      <c r="W2801" s="759"/>
      <c r="X2801" s="759"/>
      <c r="Y2801" s="759"/>
      <c r="Z2801" s="759"/>
      <c r="AA2801" s="35"/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5"/>
      <c r="AM2801" s="35"/>
    </row>
    <row r="2802" spans="2:39">
      <c r="B2802" s="1011" t="s">
        <v>72</v>
      </c>
      <c r="C2802" s="993" t="s">
        <v>5595</v>
      </c>
      <c r="D2802" s="3">
        <v>200106270</v>
      </c>
      <c r="E2802" s="1469" t="s">
        <v>1479</v>
      </c>
      <c r="F2802" s="802">
        <v>16</v>
      </c>
      <c r="G2802" s="1045"/>
      <c r="H2802" s="8" t="s">
        <v>128</v>
      </c>
      <c r="I2802" s="1045"/>
      <c r="J2802" s="786">
        <v>124.28</v>
      </c>
      <c r="K2802" s="1045"/>
      <c r="L2802" s="1045"/>
      <c r="M2802" s="8" t="s">
        <v>2411</v>
      </c>
      <c r="N2802" s="1046">
        <v>45454</v>
      </c>
      <c r="O2802" s="8" t="s">
        <v>62</v>
      </c>
      <c r="P2802" s="1047"/>
      <c r="Q2802" s="786">
        <v>3.79</v>
      </c>
      <c r="R2802" s="8"/>
      <c r="S2802" s="8"/>
      <c r="T2802" s="8"/>
      <c r="U2802" s="8"/>
      <c r="V2802" s="8"/>
      <c r="W2802" s="759"/>
      <c r="X2802" s="759"/>
      <c r="Y2802" s="759"/>
      <c r="Z2802" s="759"/>
      <c r="AA2802" s="35"/>
      <c r="AB2802" s="35"/>
      <c r="AC2802" s="35"/>
      <c r="AD2802" s="35"/>
      <c r="AE2802" s="35"/>
      <c r="AF2802" s="35"/>
      <c r="AG2802" s="35"/>
      <c r="AH2802" s="35"/>
      <c r="AI2802" s="35"/>
      <c r="AJ2802" s="35"/>
      <c r="AK2802" s="35"/>
      <c r="AL2802" s="35"/>
      <c r="AM2802" s="35"/>
    </row>
    <row r="2803" spans="2:39">
      <c r="B2803" s="1011" t="s">
        <v>72</v>
      </c>
      <c r="C2803" s="993" t="s">
        <v>5595</v>
      </c>
      <c r="D2803" s="3">
        <v>200106271</v>
      </c>
      <c r="E2803" s="1469" t="s">
        <v>1480</v>
      </c>
      <c r="F2803" s="802">
        <v>17</v>
      </c>
      <c r="G2803" s="1045"/>
      <c r="H2803" s="8" t="s">
        <v>128</v>
      </c>
      <c r="I2803" s="1045"/>
      <c r="J2803" s="762">
        <v>126.42</v>
      </c>
      <c r="K2803" s="1045"/>
      <c r="L2803" s="1045"/>
      <c r="M2803" s="8" t="s">
        <v>2411</v>
      </c>
      <c r="N2803" s="1046">
        <v>45454</v>
      </c>
      <c r="O2803" s="8" t="s">
        <v>62</v>
      </c>
      <c r="P2803" s="1047"/>
      <c r="Q2803" s="762">
        <v>3.69</v>
      </c>
      <c r="R2803" s="8"/>
      <c r="S2803" s="8"/>
      <c r="T2803" s="8"/>
      <c r="U2803" s="8"/>
      <c r="V2803" s="8"/>
      <c r="W2803" s="759"/>
      <c r="X2803" s="759"/>
      <c r="Y2803" s="759"/>
      <c r="Z2803" s="759"/>
      <c r="AA2803" s="35"/>
      <c r="AB2803" s="35"/>
      <c r="AC2803" s="35"/>
      <c r="AD2803" s="35"/>
      <c r="AE2803" s="35"/>
      <c r="AF2803" s="35"/>
      <c r="AG2803" s="35"/>
      <c r="AH2803" s="35"/>
      <c r="AI2803" s="35"/>
      <c r="AJ2803" s="35"/>
      <c r="AK2803" s="35"/>
      <c r="AL2803" s="35"/>
      <c r="AM2803" s="35"/>
    </row>
    <row r="2804" spans="2:39">
      <c r="B2804" s="1011" t="s">
        <v>72</v>
      </c>
      <c r="C2804" s="993" t="s">
        <v>5595</v>
      </c>
      <c r="D2804" s="3">
        <v>200106272</v>
      </c>
      <c r="E2804" s="1469" t="s">
        <v>1481</v>
      </c>
      <c r="F2804" s="802">
        <v>18</v>
      </c>
      <c r="G2804" s="760" t="s">
        <v>60</v>
      </c>
      <c r="H2804" s="8" t="s">
        <v>60</v>
      </c>
      <c r="I2804" s="865">
        <v>554.86</v>
      </c>
      <c r="J2804" s="786">
        <v>122.75</v>
      </c>
      <c r="K2804" s="8" t="s">
        <v>2411</v>
      </c>
      <c r="L2804" s="759">
        <v>45456</v>
      </c>
      <c r="M2804" s="8" t="s">
        <v>2411</v>
      </c>
      <c r="N2804" s="1046">
        <v>45456</v>
      </c>
      <c r="O2804" s="8" t="s">
        <v>62</v>
      </c>
      <c r="P2804" s="4" t="s">
        <v>1482</v>
      </c>
      <c r="Q2804" s="786">
        <v>3.44</v>
      </c>
      <c r="R2804" s="8"/>
      <c r="S2804" s="8"/>
      <c r="T2804" s="8"/>
      <c r="U2804" s="8"/>
      <c r="V2804" s="8"/>
      <c r="W2804" s="759"/>
      <c r="X2804" s="759"/>
      <c r="Y2804" s="759"/>
      <c r="Z2804" s="759"/>
      <c r="AA2804" s="35"/>
      <c r="AB2804" s="35"/>
      <c r="AC2804" s="35"/>
      <c r="AD2804" s="35"/>
      <c r="AE2804" s="35"/>
      <c r="AF2804" s="35"/>
      <c r="AG2804" s="35"/>
      <c r="AH2804" s="35"/>
      <c r="AI2804" s="35"/>
      <c r="AJ2804" s="35"/>
      <c r="AK2804" s="35"/>
      <c r="AL2804" s="35"/>
      <c r="AM2804" s="35"/>
    </row>
    <row r="2805" spans="2:39">
      <c r="B2805" s="1011" t="s">
        <v>72</v>
      </c>
      <c r="C2805" s="993" t="s">
        <v>5595</v>
      </c>
      <c r="D2805" s="3">
        <v>200106273</v>
      </c>
      <c r="E2805" s="1469" t="s">
        <v>1483</v>
      </c>
      <c r="F2805" s="802">
        <v>19</v>
      </c>
      <c r="G2805" s="760" t="s">
        <v>128</v>
      </c>
      <c r="H2805" s="8" t="s">
        <v>60</v>
      </c>
      <c r="I2805" s="786">
        <v>550.72</v>
      </c>
      <c r="J2805" s="786">
        <v>123.17</v>
      </c>
      <c r="K2805" s="8" t="s">
        <v>2411</v>
      </c>
      <c r="L2805" s="759">
        <v>45457</v>
      </c>
      <c r="M2805" s="8" t="s">
        <v>2411</v>
      </c>
      <c r="N2805" s="1046">
        <v>45456</v>
      </c>
      <c r="O2805" s="8" t="s">
        <v>62</v>
      </c>
      <c r="P2805" s="4" t="s">
        <v>1484</v>
      </c>
      <c r="Q2805" s="786">
        <v>3.42</v>
      </c>
      <c r="R2805" s="8"/>
      <c r="S2805" s="8"/>
      <c r="T2805" s="8"/>
      <c r="U2805" s="8"/>
      <c r="V2805" s="8"/>
      <c r="W2805" s="759"/>
      <c r="X2805" s="759"/>
      <c r="Y2805" s="759"/>
      <c r="Z2805" s="759"/>
      <c r="AA2805" s="35"/>
      <c r="AB2805" s="35"/>
      <c r="AC2805" s="35"/>
      <c r="AD2805" s="35"/>
      <c r="AE2805" s="35"/>
      <c r="AF2805" s="35"/>
      <c r="AG2805" s="35"/>
      <c r="AH2805" s="35"/>
      <c r="AI2805" s="35"/>
      <c r="AJ2805" s="35"/>
      <c r="AK2805" s="35"/>
      <c r="AL2805" s="35"/>
      <c r="AM2805" s="35"/>
    </row>
    <row r="2806" spans="2:39">
      <c r="B2806" s="1011" t="s">
        <v>72</v>
      </c>
      <c r="C2806" s="993" t="s">
        <v>5595</v>
      </c>
      <c r="D2806" s="3">
        <v>200106274</v>
      </c>
      <c r="E2806" s="1469" t="s">
        <v>1485</v>
      </c>
      <c r="F2806" s="802">
        <v>20</v>
      </c>
      <c r="G2806" s="760" t="s">
        <v>128</v>
      </c>
      <c r="H2806" s="8" t="s">
        <v>60</v>
      </c>
      <c r="I2806" s="786">
        <f>136.11+139.28+139.18+137.22</f>
        <v>551.79</v>
      </c>
      <c r="J2806" s="786">
        <v>122.65</v>
      </c>
      <c r="K2806" s="8" t="s">
        <v>2411</v>
      </c>
      <c r="L2806" s="759">
        <v>45457</v>
      </c>
      <c r="M2806" s="8" t="s">
        <v>2411</v>
      </c>
      <c r="N2806" s="1046">
        <v>45457</v>
      </c>
      <c r="O2806" s="8" t="s">
        <v>62</v>
      </c>
      <c r="P2806" s="4" t="s">
        <v>1486</v>
      </c>
      <c r="Q2806" s="786">
        <v>3.64</v>
      </c>
      <c r="R2806" s="8"/>
      <c r="S2806" s="8"/>
      <c r="T2806" s="8"/>
      <c r="U2806" s="8"/>
      <c r="V2806" s="8"/>
      <c r="W2806" s="759"/>
      <c r="X2806" s="759"/>
      <c r="Y2806" s="759"/>
      <c r="Z2806" s="759"/>
      <c r="AA2806" s="35"/>
      <c r="AB2806" s="35"/>
      <c r="AC2806" s="35"/>
      <c r="AD2806" s="35"/>
      <c r="AE2806" s="35"/>
      <c r="AF2806" s="35"/>
      <c r="AG2806" s="35"/>
      <c r="AH2806" s="35"/>
      <c r="AI2806" s="35"/>
      <c r="AJ2806" s="35"/>
      <c r="AK2806" s="35"/>
      <c r="AL2806" s="35"/>
      <c r="AM2806" s="35"/>
    </row>
    <row r="2807" spans="2:39">
      <c r="B2807" s="1011" t="s">
        <v>72</v>
      </c>
      <c r="C2807" s="993" t="s">
        <v>5595</v>
      </c>
      <c r="D2807" s="3">
        <v>200106275</v>
      </c>
      <c r="E2807" s="1469" t="s">
        <v>1488</v>
      </c>
      <c r="F2807" s="802">
        <v>21</v>
      </c>
      <c r="G2807" s="760" t="s">
        <v>128</v>
      </c>
      <c r="H2807" s="8" t="s">
        <v>60</v>
      </c>
      <c r="I2807" s="786">
        <v>557.74</v>
      </c>
      <c r="J2807" s="786">
        <v>123.67</v>
      </c>
      <c r="K2807" s="8" t="s">
        <v>2411</v>
      </c>
      <c r="L2807" s="759">
        <v>45457</v>
      </c>
      <c r="M2807" s="8" t="s">
        <v>2411</v>
      </c>
      <c r="N2807" s="1046">
        <v>45457</v>
      </c>
      <c r="O2807" s="8" t="s">
        <v>62</v>
      </c>
      <c r="P2807" s="4" t="s">
        <v>1489</v>
      </c>
      <c r="Q2807" s="786">
        <v>3.65</v>
      </c>
      <c r="R2807" s="8"/>
      <c r="S2807" s="8"/>
      <c r="T2807" s="8"/>
      <c r="U2807" s="8"/>
      <c r="V2807" s="8"/>
      <c r="W2807" s="759"/>
      <c r="X2807" s="759"/>
      <c r="Y2807" s="759"/>
      <c r="Z2807" s="759"/>
      <c r="AA2807" s="35"/>
      <c r="AB2807" s="35"/>
      <c r="AC2807" s="35"/>
      <c r="AD2807" s="35"/>
      <c r="AE2807" s="35"/>
      <c r="AF2807" s="35"/>
      <c r="AG2807" s="35"/>
      <c r="AH2807" s="35"/>
      <c r="AI2807" s="35"/>
      <c r="AJ2807" s="35"/>
      <c r="AK2807" s="35"/>
      <c r="AL2807" s="35"/>
      <c r="AM2807" s="35"/>
    </row>
    <row r="2808" spans="2:39">
      <c r="B2808" s="1011" t="s">
        <v>72</v>
      </c>
      <c r="C2808" s="993" t="s">
        <v>5595</v>
      </c>
      <c r="D2808" s="3">
        <v>200106276</v>
      </c>
      <c r="E2808" s="1469" t="s">
        <v>1490</v>
      </c>
      <c r="F2808" s="802">
        <v>22</v>
      </c>
      <c r="G2808" s="760" t="s">
        <v>128</v>
      </c>
      <c r="H2808" s="8" t="s">
        <v>60</v>
      </c>
      <c r="I2808" s="762">
        <v>553.55999999999995</v>
      </c>
      <c r="J2808" s="786">
        <v>123.8</v>
      </c>
      <c r="K2808" s="8" t="s">
        <v>2411</v>
      </c>
      <c r="L2808" s="759">
        <v>45461</v>
      </c>
      <c r="M2808" s="8" t="s">
        <v>2411</v>
      </c>
      <c r="N2808" s="1046">
        <v>45457</v>
      </c>
      <c r="O2808" s="8" t="s">
        <v>62</v>
      </c>
      <c r="P2808" s="4" t="s">
        <v>1491</v>
      </c>
      <c r="Q2808" s="786">
        <v>3.57</v>
      </c>
      <c r="R2808" s="8"/>
      <c r="S2808" s="8"/>
      <c r="T2808" s="8"/>
      <c r="U2808" s="8"/>
      <c r="V2808" s="8"/>
      <c r="W2808" s="759"/>
      <c r="X2808" s="759"/>
      <c r="Y2808" s="759"/>
      <c r="Z2808" s="759"/>
      <c r="AA2808" s="35"/>
      <c r="AB2808" s="35"/>
      <c r="AC2808" s="35"/>
      <c r="AD2808" s="35"/>
      <c r="AE2808" s="35"/>
      <c r="AF2808" s="35"/>
      <c r="AG2808" s="35"/>
      <c r="AH2808" s="35"/>
      <c r="AI2808" s="35"/>
      <c r="AJ2808" s="35"/>
      <c r="AK2808" s="35"/>
      <c r="AL2808" s="35"/>
      <c r="AM2808" s="35"/>
    </row>
    <row r="2809" spans="2:39">
      <c r="B2809" s="1011" t="s">
        <v>72</v>
      </c>
      <c r="C2809" s="993" t="s">
        <v>5595</v>
      </c>
      <c r="D2809" s="3">
        <v>200106277</v>
      </c>
      <c r="E2809" s="1469" t="s">
        <v>1492</v>
      </c>
      <c r="F2809" s="802">
        <v>23</v>
      </c>
      <c r="G2809" s="1040"/>
      <c r="H2809" s="8" t="s">
        <v>60</v>
      </c>
      <c r="I2809" s="1048"/>
      <c r="J2809" s="786">
        <v>124.61</v>
      </c>
      <c r="K2809" s="1048"/>
      <c r="L2809" s="1048"/>
      <c r="M2809" s="8" t="s">
        <v>2411</v>
      </c>
      <c r="N2809" s="1046">
        <v>45457</v>
      </c>
      <c r="O2809" s="8" t="s">
        <v>62</v>
      </c>
      <c r="P2809" s="1048"/>
      <c r="Q2809" s="786">
        <v>3.43</v>
      </c>
      <c r="R2809" s="8"/>
      <c r="S2809" s="8"/>
      <c r="T2809" s="8"/>
      <c r="U2809" s="8"/>
      <c r="V2809" s="8"/>
      <c r="W2809" s="759"/>
      <c r="X2809" s="759"/>
      <c r="Y2809" s="759"/>
      <c r="Z2809" s="759"/>
      <c r="AA2809" s="35"/>
      <c r="AB2809" s="35"/>
      <c r="AC2809" s="35"/>
      <c r="AD2809" s="35"/>
      <c r="AE2809" s="35"/>
      <c r="AF2809" s="35"/>
      <c r="AG2809" s="35"/>
      <c r="AH2809" s="35"/>
      <c r="AI2809" s="35"/>
      <c r="AJ2809" s="35"/>
      <c r="AK2809" s="35"/>
      <c r="AL2809" s="35"/>
      <c r="AM2809" s="35"/>
    </row>
    <row r="2810" spans="2:39">
      <c r="B2810" s="1011" t="s">
        <v>72</v>
      </c>
      <c r="C2810" s="993" t="s">
        <v>5595</v>
      </c>
      <c r="D2810" s="3">
        <v>200106444</v>
      </c>
      <c r="E2810" s="1469" t="s">
        <v>1493</v>
      </c>
      <c r="F2810" s="802">
        <v>24</v>
      </c>
      <c r="G2810" s="1040"/>
      <c r="H2810" s="8" t="s">
        <v>60</v>
      </c>
      <c r="I2810" s="1048"/>
      <c r="J2810" s="3">
        <v>122.39</v>
      </c>
      <c r="K2810" s="1048"/>
      <c r="L2810" s="1048"/>
      <c r="M2810" s="8" t="s">
        <v>2411</v>
      </c>
      <c r="N2810" s="1046">
        <v>45461</v>
      </c>
      <c r="O2810" s="8" t="s">
        <v>62</v>
      </c>
      <c r="P2810" s="1048"/>
      <c r="Q2810" s="3">
        <v>3.41</v>
      </c>
      <c r="R2810" s="8"/>
      <c r="S2810" s="8"/>
      <c r="T2810" s="8"/>
      <c r="U2810" s="8"/>
      <c r="V2810" s="8"/>
      <c r="W2810" s="759"/>
      <c r="X2810" s="759"/>
      <c r="Y2810" s="759"/>
      <c r="Z2810" s="759"/>
      <c r="AA2810" s="35"/>
      <c r="AB2810" s="35"/>
      <c r="AC2810" s="35"/>
      <c r="AD2810" s="35"/>
      <c r="AE2810" s="35"/>
      <c r="AF2810" s="35"/>
      <c r="AG2810" s="35"/>
      <c r="AH2810" s="35"/>
      <c r="AI2810" s="35"/>
      <c r="AJ2810" s="35"/>
      <c r="AK2810" s="35"/>
      <c r="AL2810" s="35"/>
      <c r="AM2810" s="35"/>
    </row>
    <row r="2811" spans="2:39">
      <c r="B2811" s="1011" t="s">
        <v>72</v>
      </c>
      <c r="C2811" s="993" t="s">
        <v>5595</v>
      </c>
      <c r="D2811" s="3">
        <v>200106445</v>
      </c>
      <c r="E2811" s="1469" t="s">
        <v>1494</v>
      </c>
      <c r="F2811" s="802">
        <v>25</v>
      </c>
      <c r="G2811" s="1040"/>
      <c r="H2811" s="8" t="s">
        <v>60</v>
      </c>
      <c r="I2811" s="1048"/>
      <c r="J2811" s="3">
        <f>63.98+58.41</f>
        <v>122.38999999999999</v>
      </c>
      <c r="K2811" s="1048"/>
      <c r="L2811" s="1048"/>
      <c r="M2811" s="8" t="s">
        <v>2411</v>
      </c>
      <c r="N2811" s="1046">
        <v>45461</v>
      </c>
      <c r="O2811" s="8" t="s">
        <v>62</v>
      </c>
      <c r="P2811" s="1048"/>
      <c r="Q2811" s="3">
        <v>3.46</v>
      </c>
      <c r="R2811" s="8"/>
      <c r="S2811" s="8"/>
      <c r="T2811" s="8"/>
      <c r="U2811" s="8"/>
      <c r="V2811" s="8"/>
      <c r="W2811" s="759"/>
      <c r="X2811" s="759"/>
      <c r="Y2811" s="759"/>
      <c r="Z2811" s="759"/>
      <c r="AA2811" s="35"/>
      <c r="AB2811" s="35"/>
      <c r="AC2811" s="35"/>
      <c r="AD2811" s="35"/>
      <c r="AE2811" s="35"/>
      <c r="AF2811" s="35"/>
      <c r="AG2811" s="35"/>
      <c r="AH2811" s="35"/>
      <c r="AI2811" s="35"/>
      <c r="AJ2811" s="35"/>
      <c r="AK2811" s="35"/>
      <c r="AL2811" s="35"/>
      <c r="AM2811" s="35"/>
    </row>
    <row r="2812" spans="2:39">
      <c r="B2812" s="1011" t="s">
        <v>72</v>
      </c>
      <c r="C2812" s="993" t="s">
        <v>5595</v>
      </c>
      <c r="D2812" s="3">
        <v>200106446</v>
      </c>
      <c r="E2812" s="1469" t="s">
        <v>1495</v>
      </c>
      <c r="F2812" s="802">
        <v>26</v>
      </c>
      <c r="G2812" s="1040"/>
      <c r="H2812" s="8" t="s">
        <v>60</v>
      </c>
      <c r="I2812" s="1048"/>
      <c r="J2812" s="3">
        <v>125.32</v>
      </c>
      <c r="K2812" s="1048"/>
      <c r="L2812" s="1048"/>
      <c r="M2812" s="8" t="s">
        <v>2411</v>
      </c>
      <c r="N2812" s="1046">
        <v>45461</v>
      </c>
      <c r="O2812" s="8" t="s">
        <v>62</v>
      </c>
      <c r="P2812" s="1048"/>
      <c r="Q2812" s="3">
        <v>3.47</v>
      </c>
      <c r="R2812" s="8"/>
      <c r="S2812" s="8"/>
      <c r="T2812" s="8"/>
      <c r="U2812" s="8"/>
      <c r="V2812" s="8"/>
      <c r="W2812" s="759"/>
      <c r="X2812" s="759"/>
      <c r="Y2812" s="759"/>
      <c r="Z2812" s="759"/>
      <c r="AA2812" s="35"/>
      <c r="AB2812" s="35"/>
      <c r="AC2812" s="35"/>
      <c r="AD2812" s="35"/>
      <c r="AE2812" s="35"/>
      <c r="AF2812" s="35"/>
      <c r="AG2812" s="35"/>
      <c r="AH2812" s="35"/>
      <c r="AI2812" s="35"/>
      <c r="AJ2812" s="35"/>
      <c r="AK2812" s="35"/>
      <c r="AL2812" s="35"/>
      <c r="AM2812" s="35"/>
    </row>
    <row r="2813" spans="2:39">
      <c r="B2813" s="1011" t="s">
        <v>72</v>
      </c>
      <c r="C2813" s="993" t="s">
        <v>5595</v>
      </c>
      <c r="D2813" s="3">
        <v>200106447</v>
      </c>
      <c r="E2813" s="1469" t="s">
        <v>1496</v>
      </c>
      <c r="F2813" s="802">
        <v>27</v>
      </c>
      <c r="G2813" s="1040"/>
      <c r="H2813" s="8" t="s">
        <v>60</v>
      </c>
      <c r="I2813" s="1048"/>
      <c r="J2813" s="3">
        <v>124.88</v>
      </c>
      <c r="K2813" s="1048"/>
      <c r="L2813" s="1048"/>
      <c r="M2813" s="8" t="s">
        <v>2411</v>
      </c>
      <c r="N2813" s="1046">
        <v>45461</v>
      </c>
      <c r="O2813" s="8" t="s">
        <v>62</v>
      </c>
      <c r="P2813" s="1048"/>
      <c r="Q2813" s="3">
        <v>3.59</v>
      </c>
      <c r="R2813" s="8"/>
      <c r="S2813" s="8"/>
      <c r="T2813" s="8"/>
      <c r="U2813" s="8"/>
      <c r="V2813" s="8"/>
      <c r="W2813" s="759"/>
      <c r="X2813" s="759"/>
      <c r="Y2813" s="759"/>
      <c r="Z2813" s="759"/>
      <c r="AA2813" s="35"/>
      <c r="AB2813" s="35"/>
      <c r="AC2813" s="35"/>
      <c r="AD2813" s="35"/>
      <c r="AE2813" s="35"/>
      <c r="AF2813" s="35"/>
      <c r="AG2813" s="35"/>
      <c r="AH2813" s="35"/>
      <c r="AI2813" s="35"/>
      <c r="AJ2813" s="35"/>
      <c r="AK2813" s="35"/>
      <c r="AL2813" s="35"/>
      <c r="AM2813" s="35"/>
    </row>
    <row r="2814" spans="2:39">
      <c r="B2814" s="1011" t="s">
        <v>72</v>
      </c>
      <c r="C2814" s="993" t="s">
        <v>5595</v>
      </c>
      <c r="D2814" s="3">
        <v>200106448</v>
      </c>
      <c r="E2814" s="1469" t="s">
        <v>1497</v>
      </c>
      <c r="F2814" s="802">
        <v>28</v>
      </c>
      <c r="G2814" s="1040"/>
      <c r="H2814" s="8" t="s">
        <v>60</v>
      </c>
      <c r="I2814" s="1048"/>
      <c r="J2814" s="3">
        <v>125.37</v>
      </c>
      <c r="K2814" s="1048"/>
      <c r="L2814" s="1048"/>
      <c r="M2814" s="8" t="s">
        <v>2411</v>
      </c>
      <c r="N2814" s="1046">
        <v>45461</v>
      </c>
      <c r="O2814" s="8" t="s">
        <v>62</v>
      </c>
      <c r="P2814" s="1048"/>
      <c r="Q2814" s="3">
        <v>3.61</v>
      </c>
      <c r="R2814" s="8"/>
      <c r="S2814" s="8"/>
      <c r="T2814" s="8"/>
      <c r="U2814" s="8"/>
      <c r="V2814" s="8"/>
      <c r="W2814" s="759"/>
      <c r="X2814" s="759"/>
      <c r="Y2814" s="759"/>
      <c r="Z2814" s="759"/>
      <c r="AA2814" s="35"/>
      <c r="AB2814" s="35"/>
      <c r="AC2814" s="35"/>
      <c r="AD2814" s="35"/>
      <c r="AE2814" s="35"/>
      <c r="AF2814" s="35"/>
      <c r="AG2814" s="35"/>
      <c r="AH2814" s="35"/>
      <c r="AI2814" s="35"/>
      <c r="AJ2814" s="35"/>
      <c r="AK2814" s="35"/>
      <c r="AL2814" s="35"/>
      <c r="AM2814" s="35"/>
    </row>
    <row r="2815" spans="2:39">
      <c r="B2815" s="1011">
        <v>6</v>
      </c>
      <c r="C2815" s="993" t="s">
        <v>5595</v>
      </c>
      <c r="D2815" s="3">
        <v>200106449</v>
      </c>
      <c r="E2815" s="1469" t="s">
        <v>1498</v>
      </c>
      <c r="F2815" s="802">
        <v>29</v>
      </c>
      <c r="G2815" s="1040"/>
      <c r="H2815" s="8" t="s">
        <v>60</v>
      </c>
      <c r="I2815" s="1048"/>
      <c r="J2815" s="786">
        <v>123.19</v>
      </c>
      <c r="K2815" s="1048"/>
      <c r="L2815" s="1048"/>
      <c r="M2815" s="8" t="s">
        <v>2411</v>
      </c>
      <c r="N2815" s="1046">
        <v>45462</v>
      </c>
      <c r="O2815" s="8" t="s">
        <v>62</v>
      </c>
      <c r="P2815" s="1048"/>
      <c r="Q2815" s="786">
        <v>3.56</v>
      </c>
      <c r="R2815" s="8"/>
      <c r="S2815" s="8"/>
      <c r="T2815" s="8"/>
      <c r="U2815" s="8"/>
      <c r="V2815" s="8"/>
      <c r="W2815" s="759"/>
      <c r="X2815" s="759"/>
      <c r="Y2815" s="759"/>
      <c r="Z2815" s="759"/>
      <c r="AA2815" s="35"/>
      <c r="AB2815" s="35"/>
      <c r="AC2815" s="35"/>
      <c r="AD2815" s="35"/>
      <c r="AE2815" s="35"/>
      <c r="AF2815" s="35"/>
      <c r="AG2815" s="35"/>
      <c r="AH2815" s="35"/>
      <c r="AI2815" s="35"/>
      <c r="AJ2815" s="35"/>
      <c r="AK2815" s="35"/>
      <c r="AL2815" s="35"/>
      <c r="AM2815" s="35"/>
    </row>
    <row r="2816" spans="2:39">
      <c r="B2816" s="1011" t="s">
        <v>72</v>
      </c>
      <c r="C2816" s="993" t="s">
        <v>5595</v>
      </c>
      <c r="D2816" s="3">
        <v>200106429</v>
      </c>
      <c r="E2816" s="1469" t="s">
        <v>1499</v>
      </c>
      <c r="F2816" s="802">
        <v>30</v>
      </c>
      <c r="G2816" s="1040"/>
      <c r="H2816" s="8" t="s">
        <v>60</v>
      </c>
      <c r="I2816" s="1048"/>
      <c r="J2816" s="786">
        <v>123.97</v>
      </c>
      <c r="K2816" s="1048"/>
      <c r="L2816" s="1048"/>
      <c r="M2816" s="8" t="s">
        <v>2411</v>
      </c>
      <c r="N2816" s="1046">
        <v>45462</v>
      </c>
      <c r="O2816" s="8" t="s">
        <v>62</v>
      </c>
      <c r="P2816" s="1048"/>
      <c r="Q2816" s="786">
        <v>3.41</v>
      </c>
      <c r="R2816" s="8"/>
      <c r="S2816" s="8"/>
      <c r="T2816" s="8"/>
      <c r="U2816" s="8"/>
      <c r="V2816" s="8"/>
      <c r="W2816" s="759"/>
      <c r="X2816" s="759"/>
      <c r="Y2816" s="759"/>
      <c r="Z2816" s="759"/>
      <c r="AA2816" s="35"/>
      <c r="AB2816" s="35"/>
      <c r="AC2816" s="35"/>
      <c r="AD2816" s="35"/>
      <c r="AE2816" s="35"/>
      <c r="AF2816" s="35"/>
      <c r="AG2816" s="35"/>
      <c r="AH2816" s="35"/>
      <c r="AI2816" s="35"/>
      <c r="AJ2816" s="35"/>
      <c r="AK2816" s="35"/>
      <c r="AL2816" s="35"/>
      <c r="AM2816" s="35"/>
    </row>
    <row r="2817" spans="1:39">
      <c r="B2817" s="1011" t="s">
        <v>72</v>
      </c>
      <c r="C2817" s="993" t="s">
        <v>5595</v>
      </c>
      <c r="D2817" s="3">
        <v>200106430</v>
      </c>
      <c r="E2817" s="1469" t="s">
        <v>1500</v>
      </c>
      <c r="F2817" s="802">
        <v>31</v>
      </c>
      <c r="G2817" s="1040"/>
      <c r="H2817" s="8" t="s">
        <v>60</v>
      </c>
      <c r="I2817" s="1048"/>
      <c r="J2817" s="786">
        <v>124.46</v>
      </c>
      <c r="K2817" s="1048"/>
      <c r="L2817" s="1048"/>
      <c r="M2817" s="8" t="s">
        <v>2411</v>
      </c>
      <c r="N2817" s="1046">
        <v>45462</v>
      </c>
      <c r="O2817" s="8" t="s">
        <v>62</v>
      </c>
      <c r="P2817" s="1048"/>
      <c r="Q2817" s="786">
        <v>3.79</v>
      </c>
      <c r="R2817" s="8"/>
      <c r="S2817" s="8"/>
      <c r="T2817" s="8"/>
      <c r="U2817" s="8"/>
      <c r="V2817" s="8"/>
      <c r="W2817" s="759"/>
      <c r="X2817" s="759"/>
      <c r="Y2817" s="759"/>
      <c r="Z2817" s="759"/>
      <c r="AA2817" s="35"/>
      <c r="AB2817" s="35"/>
      <c r="AC2817" s="35"/>
      <c r="AD2817" s="35"/>
      <c r="AE2817" s="35"/>
      <c r="AF2817" s="35"/>
      <c r="AG2817" s="35"/>
      <c r="AH2817" s="35"/>
      <c r="AI2817" s="35"/>
      <c r="AJ2817" s="35"/>
      <c r="AK2817" s="35"/>
      <c r="AL2817" s="35"/>
      <c r="AM2817" s="35"/>
    </row>
    <row r="2818" spans="1:39">
      <c r="B2818" s="1011" t="s">
        <v>72</v>
      </c>
      <c r="C2818" s="993" t="s">
        <v>5595</v>
      </c>
      <c r="D2818" s="3">
        <v>200106431</v>
      </c>
      <c r="E2818" s="1469" t="s">
        <v>1501</v>
      </c>
      <c r="F2818" s="802">
        <v>32</v>
      </c>
      <c r="G2818" s="1040"/>
      <c r="H2818" s="8" t="s">
        <v>60</v>
      </c>
      <c r="I2818" s="1048"/>
      <c r="J2818" s="786">
        <v>124.65</v>
      </c>
      <c r="K2818" s="1048"/>
      <c r="L2818" s="1048"/>
      <c r="M2818" s="8" t="s">
        <v>2411</v>
      </c>
      <c r="N2818" s="1046">
        <v>45462</v>
      </c>
      <c r="O2818" s="8" t="s">
        <v>62</v>
      </c>
      <c r="P2818" s="1048"/>
      <c r="Q2818" s="786">
        <v>3.49</v>
      </c>
      <c r="R2818" s="8"/>
      <c r="S2818" s="8"/>
      <c r="T2818" s="8"/>
      <c r="U2818" s="8"/>
      <c r="V2818" s="8"/>
      <c r="W2818" s="759"/>
      <c r="X2818" s="759"/>
      <c r="Y2818" s="759"/>
      <c r="Z2818" s="759"/>
      <c r="AA2818" s="35"/>
      <c r="AB2818" s="35"/>
      <c r="AC2818" s="35"/>
      <c r="AD2818" s="35"/>
      <c r="AE2818" s="35"/>
      <c r="AF2818" s="35"/>
      <c r="AG2818" s="35"/>
      <c r="AH2818" s="35"/>
      <c r="AI2818" s="35"/>
      <c r="AJ2818" s="35"/>
      <c r="AK2818" s="35"/>
      <c r="AL2818" s="35"/>
      <c r="AM2818" s="35"/>
    </row>
    <row r="2819" spans="1:39">
      <c r="B2819" s="1011" t="s">
        <v>72</v>
      </c>
      <c r="C2819" s="993" t="s">
        <v>5595</v>
      </c>
      <c r="D2819" s="3">
        <v>200106432</v>
      </c>
      <c r="E2819" s="1469" t="s">
        <v>1502</v>
      </c>
      <c r="F2819" s="802">
        <v>33</v>
      </c>
      <c r="G2819" s="1040"/>
      <c r="H2819" s="8" t="s">
        <v>60</v>
      </c>
      <c r="I2819" s="1048"/>
      <c r="J2819" s="786">
        <v>125.58</v>
      </c>
      <c r="K2819" s="1048"/>
      <c r="L2819" s="1048"/>
      <c r="M2819" s="8" t="s">
        <v>2411</v>
      </c>
      <c r="N2819" s="1046">
        <v>45462</v>
      </c>
      <c r="O2819" s="8" t="s">
        <v>62</v>
      </c>
      <c r="P2819" s="1048"/>
      <c r="Q2819" s="786">
        <v>3.79</v>
      </c>
      <c r="R2819" s="8"/>
      <c r="S2819" s="8"/>
      <c r="T2819" s="8"/>
      <c r="U2819" s="8"/>
      <c r="V2819" s="8"/>
      <c r="W2819" s="759"/>
      <c r="X2819" s="759"/>
      <c r="Y2819" s="759"/>
      <c r="Z2819" s="759"/>
      <c r="AA2819" s="35"/>
      <c r="AB2819" s="35"/>
      <c r="AC2819" s="35"/>
      <c r="AD2819" s="35"/>
      <c r="AE2819" s="35"/>
      <c r="AF2819" s="35"/>
      <c r="AG2819" s="35"/>
      <c r="AH2819" s="35"/>
      <c r="AI2819" s="35"/>
      <c r="AJ2819" s="35"/>
      <c r="AK2819" s="35"/>
      <c r="AL2819" s="35"/>
      <c r="AM2819" s="35"/>
    </row>
    <row r="2820" spans="1:39">
      <c r="B2820" s="1011" t="s">
        <v>72</v>
      </c>
      <c r="C2820" s="993" t="s">
        <v>5595</v>
      </c>
      <c r="D2820" s="3">
        <v>200106433</v>
      </c>
      <c r="E2820" s="1469" t="s">
        <v>1503</v>
      </c>
      <c r="F2820" s="802">
        <v>34</v>
      </c>
      <c r="G2820" s="1040"/>
      <c r="H2820" s="8" t="s">
        <v>128</v>
      </c>
      <c r="I2820" s="1048"/>
      <c r="J2820" s="762">
        <v>122.39</v>
      </c>
      <c r="K2820" s="1048"/>
      <c r="L2820" s="1048"/>
      <c r="M2820" s="8" t="s">
        <v>2411</v>
      </c>
      <c r="N2820" s="1046">
        <v>45463</v>
      </c>
      <c r="O2820" s="8" t="s">
        <v>62</v>
      </c>
      <c r="P2820" s="1048"/>
      <c r="Q2820" s="762">
        <v>3.62</v>
      </c>
      <c r="R2820" s="8"/>
      <c r="S2820" s="8"/>
      <c r="T2820" s="8"/>
      <c r="U2820" s="8"/>
      <c r="V2820" s="8"/>
      <c r="W2820" s="759"/>
      <c r="X2820" s="759"/>
      <c r="Y2820" s="759"/>
      <c r="Z2820" s="759"/>
      <c r="AA2820" s="35"/>
      <c r="AB2820" s="35"/>
      <c r="AC2820" s="35"/>
      <c r="AD2820" s="35"/>
      <c r="AE2820" s="35"/>
      <c r="AF2820" s="35"/>
      <c r="AG2820" s="35"/>
      <c r="AH2820" s="35"/>
      <c r="AI2820" s="35"/>
      <c r="AJ2820" s="35"/>
      <c r="AK2820" s="35"/>
      <c r="AL2820" s="35"/>
      <c r="AM2820" s="35"/>
    </row>
    <row r="2821" spans="1:39" s="707" customFormat="1">
      <c r="A2821"/>
      <c r="B2821" s="978"/>
      <c r="C2821" s="807" t="s">
        <v>3320</v>
      </c>
      <c r="D2821" s="807"/>
      <c r="E2821" s="875"/>
      <c r="F2821" s="808"/>
      <c r="G2821" s="807"/>
      <c r="H2821" s="807"/>
      <c r="I2821" s="807"/>
      <c r="J2821" s="820"/>
      <c r="K2821" s="807"/>
      <c r="L2821" s="807"/>
      <c r="M2821" s="819"/>
      <c r="N2821" s="1025"/>
      <c r="O2821" s="9"/>
      <c r="P2821" s="9"/>
      <c r="Q2821" s="9"/>
      <c r="R2821" s="9"/>
      <c r="S2821" s="9"/>
      <c r="T2821" s="9"/>
      <c r="U2821" s="9"/>
      <c r="V2821" s="9"/>
      <c r="W2821" s="1025"/>
      <c r="X2821" s="1025"/>
      <c r="Y2821" s="1025"/>
      <c r="Z2821" s="1025"/>
      <c r="AA2821" s="1016"/>
      <c r="AB2821" s="1016"/>
      <c r="AC2821" s="1016"/>
      <c r="AD2821" s="1016"/>
      <c r="AE2821" s="1016"/>
      <c r="AF2821" s="1016"/>
      <c r="AG2821" s="1016"/>
      <c r="AH2821" s="1016"/>
      <c r="AI2821" s="1016"/>
      <c r="AJ2821" s="1016"/>
      <c r="AK2821" s="1016"/>
      <c r="AL2821" s="1016"/>
      <c r="AM2821" s="1016"/>
    </row>
    <row r="2822" spans="1:39">
      <c r="B2822" s="1011" t="s">
        <v>433</v>
      </c>
      <c r="C2822" s="993" t="s">
        <v>5595</v>
      </c>
      <c r="D2822" s="3">
        <v>200106521</v>
      </c>
      <c r="E2822" s="1469" t="s">
        <v>1504</v>
      </c>
      <c r="F2822" s="802">
        <v>1</v>
      </c>
      <c r="G2822" s="1040"/>
      <c r="H2822" s="8" t="s">
        <v>128</v>
      </c>
      <c r="I2822" s="1048"/>
      <c r="J2822" s="786">
        <v>124.18</v>
      </c>
      <c r="K2822" s="1048"/>
      <c r="L2822" s="1048"/>
      <c r="M2822" s="8" t="s">
        <v>2411</v>
      </c>
      <c r="N2822" s="1043">
        <v>45464</v>
      </c>
      <c r="O2822" s="8" t="s">
        <v>62</v>
      </c>
      <c r="P2822" s="1048"/>
      <c r="Q2822" s="786">
        <v>3.77</v>
      </c>
      <c r="R2822" s="8"/>
      <c r="S2822" s="8"/>
      <c r="T2822" s="8"/>
      <c r="U2822" s="8"/>
      <c r="V2822" s="8"/>
      <c r="W2822" s="759"/>
      <c r="X2822" s="759"/>
      <c r="Y2822" s="759"/>
      <c r="Z2822" s="759"/>
      <c r="AA2822" s="35"/>
      <c r="AB2822" s="35"/>
      <c r="AC2822" s="35"/>
      <c r="AD2822" s="35"/>
      <c r="AE2822" s="35"/>
      <c r="AF2822" s="35"/>
      <c r="AG2822" s="35"/>
      <c r="AH2822" s="35"/>
      <c r="AI2822" s="35"/>
      <c r="AJ2822" s="35"/>
      <c r="AK2822" s="35"/>
      <c r="AL2822" s="35"/>
      <c r="AM2822" s="35"/>
    </row>
    <row r="2823" spans="1:39">
      <c r="B2823" s="1011" t="s">
        <v>433</v>
      </c>
      <c r="C2823" s="993" t="s">
        <v>5595</v>
      </c>
      <c r="D2823" s="3">
        <v>200106522</v>
      </c>
      <c r="E2823" s="1469" t="s">
        <v>1505</v>
      </c>
      <c r="F2823" s="802">
        <v>2</v>
      </c>
      <c r="G2823" s="1040"/>
      <c r="H2823" s="8" t="s">
        <v>128</v>
      </c>
      <c r="I2823" s="1048"/>
      <c r="J2823" s="786">
        <v>122.66</v>
      </c>
      <c r="K2823" s="1048"/>
      <c r="L2823" s="1048"/>
      <c r="M2823" s="8" t="s">
        <v>2411</v>
      </c>
      <c r="N2823" s="1043">
        <v>45464</v>
      </c>
      <c r="O2823" s="8" t="s">
        <v>62</v>
      </c>
      <c r="P2823" s="1048"/>
      <c r="Q2823" s="786">
        <v>3.57</v>
      </c>
      <c r="R2823" s="8"/>
      <c r="S2823" s="8"/>
      <c r="T2823" s="8"/>
      <c r="U2823" s="8"/>
      <c r="V2823" s="8"/>
      <c r="W2823" s="759"/>
      <c r="X2823" s="759"/>
      <c r="Y2823" s="759"/>
      <c r="Z2823" s="759"/>
      <c r="AA2823" s="35"/>
      <c r="AB2823" s="35"/>
      <c r="AC2823" s="35"/>
      <c r="AD2823" s="35"/>
      <c r="AE2823" s="35"/>
      <c r="AF2823" s="35"/>
      <c r="AG2823" s="35"/>
      <c r="AH2823" s="35"/>
      <c r="AI2823" s="35"/>
      <c r="AJ2823" s="35"/>
      <c r="AK2823" s="35"/>
      <c r="AL2823" s="35"/>
      <c r="AM2823" s="35"/>
    </row>
    <row r="2824" spans="1:39">
      <c r="B2824" s="1011" t="s">
        <v>433</v>
      </c>
      <c r="C2824" s="993" t="s">
        <v>5595</v>
      </c>
      <c r="D2824" s="3">
        <v>200106523</v>
      </c>
      <c r="E2824" s="1469" t="s">
        <v>1506</v>
      </c>
      <c r="F2824" s="802">
        <v>3</v>
      </c>
      <c r="G2824" s="1040"/>
      <c r="H2824" s="8" t="s">
        <v>128</v>
      </c>
      <c r="I2824" s="1048"/>
      <c r="J2824" s="786">
        <v>124.79</v>
      </c>
      <c r="K2824" s="1048"/>
      <c r="L2824" s="1048"/>
      <c r="M2824" s="8" t="s">
        <v>2411</v>
      </c>
      <c r="N2824" s="1043">
        <v>45464</v>
      </c>
      <c r="O2824" s="8" t="s">
        <v>62</v>
      </c>
      <c r="P2824" s="1048"/>
      <c r="Q2824" s="786">
        <v>3.58</v>
      </c>
      <c r="R2824" s="8"/>
      <c r="S2824" s="8"/>
      <c r="T2824" s="8"/>
      <c r="U2824" s="8"/>
      <c r="V2824" s="8"/>
      <c r="W2824" s="759"/>
      <c r="X2824" s="759"/>
      <c r="Y2824" s="759"/>
      <c r="Z2824" s="759"/>
      <c r="AA2824" s="35"/>
      <c r="AB2824" s="35"/>
      <c r="AC2824" s="35"/>
      <c r="AD2824" s="35"/>
      <c r="AE2824" s="35"/>
      <c r="AF2824" s="35"/>
      <c r="AG2824" s="35"/>
      <c r="AH2824" s="35"/>
      <c r="AI2824" s="35"/>
      <c r="AJ2824" s="35"/>
      <c r="AK2824" s="35"/>
      <c r="AL2824" s="35"/>
      <c r="AM2824" s="35"/>
    </row>
    <row r="2825" spans="1:39">
      <c r="B2825" s="1011" t="s">
        <v>433</v>
      </c>
      <c r="C2825" s="993" t="s">
        <v>5595</v>
      </c>
      <c r="D2825" s="3">
        <v>200106524</v>
      </c>
      <c r="E2825" s="1469" t="s">
        <v>1507</v>
      </c>
      <c r="F2825" s="802">
        <v>4</v>
      </c>
      <c r="G2825" s="1040"/>
      <c r="H2825" s="8" t="s">
        <v>128</v>
      </c>
      <c r="I2825" s="1048"/>
      <c r="J2825" s="786">
        <v>125.75</v>
      </c>
      <c r="K2825" s="1048"/>
      <c r="L2825" s="1048"/>
      <c r="M2825" s="8" t="s">
        <v>2411</v>
      </c>
      <c r="N2825" s="1043">
        <v>45464</v>
      </c>
      <c r="O2825" s="8" t="s">
        <v>62</v>
      </c>
      <c r="P2825" s="1048"/>
      <c r="Q2825" s="786">
        <v>3.8</v>
      </c>
      <c r="R2825" s="8"/>
      <c r="S2825" s="8"/>
      <c r="T2825" s="8"/>
      <c r="U2825" s="8"/>
      <c r="V2825" s="8"/>
      <c r="W2825" s="759"/>
      <c r="X2825" s="759"/>
      <c r="Y2825" s="759"/>
      <c r="Z2825" s="759"/>
      <c r="AA2825" s="35"/>
      <c r="AB2825" s="35"/>
      <c r="AC2825" s="35"/>
      <c r="AD2825" s="35"/>
      <c r="AE2825" s="35"/>
      <c r="AF2825" s="35"/>
      <c r="AG2825" s="35"/>
      <c r="AH2825" s="35"/>
      <c r="AI2825" s="35"/>
      <c r="AJ2825" s="35"/>
      <c r="AK2825" s="35"/>
      <c r="AL2825" s="35"/>
      <c r="AM2825" s="35"/>
    </row>
    <row r="2826" spans="1:39">
      <c r="B2826" s="1011" t="s">
        <v>433</v>
      </c>
      <c r="C2826" s="993" t="s">
        <v>5595</v>
      </c>
      <c r="D2826" s="3">
        <v>200106525</v>
      </c>
      <c r="E2826" s="1469" t="s">
        <v>1508</v>
      </c>
      <c r="F2826" s="802">
        <v>5</v>
      </c>
      <c r="G2826" s="814" t="s">
        <v>60</v>
      </c>
      <c r="H2826" s="8" t="s">
        <v>60</v>
      </c>
      <c r="I2826" s="786">
        <v>553.84</v>
      </c>
      <c r="J2826" s="786">
        <v>124.28</v>
      </c>
      <c r="K2826" s="814" t="s">
        <v>2411</v>
      </c>
      <c r="L2826" s="1054">
        <v>45463</v>
      </c>
      <c r="M2826" s="8" t="s">
        <v>2411</v>
      </c>
      <c r="N2826" s="1043">
        <v>45462</v>
      </c>
      <c r="O2826" s="8" t="s">
        <v>62</v>
      </c>
      <c r="P2826" s="4" t="s">
        <v>1509</v>
      </c>
      <c r="Q2826" s="786">
        <v>3.42</v>
      </c>
      <c r="R2826" s="8"/>
      <c r="S2826" s="8"/>
      <c r="T2826" s="8"/>
      <c r="U2826" s="8"/>
      <c r="V2826" s="8"/>
      <c r="W2826" s="759"/>
      <c r="X2826" s="759"/>
      <c r="Y2826" s="759"/>
      <c r="Z2826" s="759"/>
      <c r="AA2826" s="35"/>
      <c r="AB2826" s="35"/>
      <c r="AC2826" s="35"/>
      <c r="AD2826" s="35"/>
      <c r="AE2826" s="35"/>
      <c r="AF2826" s="35"/>
      <c r="AG2826" s="35"/>
      <c r="AH2826" s="35"/>
      <c r="AI2826" s="35"/>
      <c r="AJ2826" s="35"/>
      <c r="AK2826" s="35"/>
      <c r="AL2826" s="35"/>
      <c r="AM2826" s="35"/>
    </row>
    <row r="2827" spans="1:39">
      <c r="B2827" s="1011" t="s">
        <v>433</v>
      </c>
      <c r="C2827" s="993" t="s">
        <v>5595</v>
      </c>
      <c r="D2827" s="3">
        <v>200106526</v>
      </c>
      <c r="E2827" s="1469" t="s">
        <v>1510</v>
      </c>
      <c r="F2827" s="802">
        <v>6</v>
      </c>
      <c r="G2827" s="814" t="s">
        <v>128</v>
      </c>
      <c r="H2827" s="8" t="s">
        <v>60</v>
      </c>
      <c r="I2827" s="786">
        <v>553.84</v>
      </c>
      <c r="J2827" s="786">
        <v>126</v>
      </c>
      <c r="K2827" s="814" t="s">
        <v>2411</v>
      </c>
      <c r="L2827" s="1054">
        <v>45463</v>
      </c>
      <c r="M2827" s="8" t="s">
        <v>2411</v>
      </c>
      <c r="N2827" s="1043">
        <v>45463</v>
      </c>
      <c r="O2827" s="8" t="s">
        <v>62</v>
      </c>
      <c r="P2827" s="4" t="s">
        <v>1511</v>
      </c>
      <c r="Q2827" s="786">
        <v>3.6</v>
      </c>
      <c r="R2827" s="8"/>
      <c r="S2827" s="8"/>
      <c r="T2827" s="8"/>
      <c r="U2827" s="8"/>
      <c r="V2827" s="8"/>
      <c r="W2827" s="759"/>
      <c r="X2827" s="759"/>
      <c r="Y2827" s="759"/>
      <c r="Z2827" s="759"/>
      <c r="AA2827" s="35"/>
      <c r="AB2827" s="35"/>
      <c r="AC2827" s="35"/>
      <c r="AD2827" s="35"/>
      <c r="AE2827" s="35"/>
      <c r="AF2827" s="35"/>
      <c r="AG2827" s="35"/>
      <c r="AH2827" s="35"/>
      <c r="AI2827" s="35"/>
      <c r="AJ2827" s="35"/>
      <c r="AK2827" s="35"/>
      <c r="AL2827" s="35"/>
      <c r="AM2827" s="35"/>
    </row>
    <row r="2828" spans="1:39">
      <c r="B2828" s="1011" t="s">
        <v>433</v>
      </c>
      <c r="C2828" s="993" t="s">
        <v>5595</v>
      </c>
      <c r="D2828" s="3">
        <v>200106503</v>
      </c>
      <c r="E2828" s="1469" t="s">
        <v>1512</v>
      </c>
      <c r="F2828" s="802">
        <v>7</v>
      </c>
      <c r="G2828" s="814" t="s">
        <v>60</v>
      </c>
      <c r="H2828" s="8" t="s">
        <v>60</v>
      </c>
      <c r="I2828" s="786">
        <v>553.14</v>
      </c>
      <c r="J2828" s="762">
        <v>125.8</v>
      </c>
      <c r="K2828" s="814" t="s">
        <v>2411</v>
      </c>
      <c r="L2828" s="1054">
        <v>45463</v>
      </c>
      <c r="M2828" s="8" t="s">
        <v>2411</v>
      </c>
      <c r="N2828" s="1043">
        <v>45463</v>
      </c>
      <c r="O2828" s="8" t="s">
        <v>62</v>
      </c>
      <c r="P2828" s="4" t="s">
        <v>1513</v>
      </c>
      <c r="Q2828" s="762">
        <v>3.73</v>
      </c>
      <c r="R2828" s="8"/>
      <c r="S2828" s="8"/>
      <c r="T2828" s="8"/>
      <c r="U2828" s="8"/>
      <c r="V2828" s="8"/>
      <c r="W2828" s="759"/>
      <c r="X2828" s="759"/>
      <c r="Y2828" s="759"/>
      <c r="Z2828" s="759"/>
      <c r="AA2828" s="35"/>
      <c r="AB2828" s="35"/>
      <c r="AC2828" s="35"/>
      <c r="AD2828" s="35"/>
      <c r="AE2828" s="35"/>
      <c r="AF2828" s="35"/>
      <c r="AG2828" s="35"/>
      <c r="AH2828" s="35"/>
      <c r="AI2828" s="35"/>
      <c r="AJ2828" s="35"/>
      <c r="AK2828" s="35"/>
      <c r="AL2828" s="35"/>
      <c r="AM2828" s="35"/>
    </row>
    <row r="2829" spans="1:39">
      <c r="B2829" s="1011" t="s">
        <v>433</v>
      </c>
      <c r="C2829" s="993" t="s">
        <v>5595</v>
      </c>
      <c r="D2829" s="3">
        <v>200106505</v>
      </c>
      <c r="E2829" s="1469" t="s">
        <v>1514</v>
      </c>
      <c r="F2829" s="802">
        <v>8</v>
      </c>
      <c r="G2829" s="814" t="s">
        <v>60</v>
      </c>
      <c r="H2829" s="8" t="s">
        <v>60</v>
      </c>
      <c r="I2829" s="786">
        <v>552.09</v>
      </c>
      <c r="J2829" s="762">
        <v>126.2</v>
      </c>
      <c r="K2829" s="814" t="s">
        <v>2411</v>
      </c>
      <c r="L2829" s="1054">
        <v>45463</v>
      </c>
      <c r="M2829" s="8" t="s">
        <v>2411</v>
      </c>
      <c r="N2829" s="1043">
        <v>45463</v>
      </c>
      <c r="O2829" s="8" t="s">
        <v>62</v>
      </c>
      <c r="P2829" s="4" t="s">
        <v>1515</v>
      </c>
      <c r="Q2829" s="762">
        <v>3.71</v>
      </c>
      <c r="R2829" s="8"/>
      <c r="S2829" s="8"/>
      <c r="T2829" s="8"/>
      <c r="U2829" s="8"/>
      <c r="V2829" s="8"/>
      <c r="W2829" s="759"/>
      <c r="X2829" s="759"/>
      <c r="Y2829" s="759"/>
      <c r="Z2829" s="759"/>
      <c r="AA2829" s="35"/>
      <c r="AB2829" s="35"/>
      <c r="AC2829" s="35"/>
      <c r="AD2829" s="35"/>
      <c r="AE2829" s="35"/>
      <c r="AF2829" s="35"/>
      <c r="AG2829" s="35"/>
      <c r="AH2829" s="35"/>
      <c r="AI2829" s="35"/>
      <c r="AJ2829" s="35"/>
      <c r="AK2829" s="35"/>
      <c r="AL2829" s="35"/>
      <c r="AM2829" s="35"/>
    </row>
    <row r="2830" spans="1:39">
      <c r="B2830" s="1011" t="s">
        <v>433</v>
      </c>
      <c r="C2830" s="993" t="s">
        <v>5595</v>
      </c>
      <c r="D2830" s="3">
        <v>200106506</v>
      </c>
      <c r="E2830" s="1469" t="s">
        <v>1516</v>
      </c>
      <c r="F2830" s="802">
        <v>9</v>
      </c>
      <c r="G2830" s="814" t="s">
        <v>60</v>
      </c>
      <c r="H2830" s="8" t="s">
        <v>60</v>
      </c>
      <c r="I2830" s="762">
        <v>553.02</v>
      </c>
      <c r="J2830" s="786">
        <v>122.39</v>
      </c>
      <c r="K2830" s="814" t="s">
        <v>2411</v>
      </c>
      <c r="L2830" s="1054">
        <v>45464</v>
      </c>
      <c r="M2830" s="8" t="s">
        <v>2411</v>
      </c>
      <c r="N2830" s="1043">
        <v>45467</v>
      </c>
      <c r="O2830" s="8" t="s">
        <v>62</v>
      </c>
      <c r="P2830" s="4" t="s">
        <v>1517</v>
      </c>
      <c r="Q2830" s="786">
        <v>3.69</v>
      </c>
      <c r="R2830" s="8"/>
      <c r="S2830" s="8"/>
      <c r="T2830" s="8"/>
      <c r="U2830" s="8"/>
      <c r="V2830" s="8"/>
      <c r="W2830" s="759"/>
      <c r="X2830" s="759"/>
      <c r="Y2830" s="759"/>
      <c r="Z2830" s="759"/>
      <c r="AA2830" s="35"/>
      <c r="AB2830" s="35"/>
      <c r="AC2830" s="35"/>
      <c r="AD2830" s="35"/>
      <c r="AE2830" s="35"/>
      <c r="AF2830" s="35"/>
      <c r="AG2830" s="35"/>
      <c r="AH2830" s="35"/>
      <c r="AI2830" s="35"/>
      <c r="AJ2830" s="35"/>
      <c r="AK2830" s="35"/>
      <c r="AL2830" s="35"/>
      <c r="AM2830" s="35"/>
    </row>
    <row r="2831" spans="1:39">
      <c r="B2831" s="1011" t="s">
        <v>433</v>
      </c>
      <c r="C2831" s="993" t="s">
        <v>5595</v>
      </c>
      <c r="D2831" s="3">
        <v>200106507</v>
      </c>
      <c r="E2831" s="1469" t="s">
        <v>1518</v>
      </c>
      <c r="F2831" s="802">
        <v>10</v>
      </c>
      <c r="G2831" s="814" t="s">
        <v>60</v>
      </c>
      <c r="H2831" s="8" t="s">
        <v>60</v>
      </c>
      <c r="I2831" s="762">
        <v>552.91999999999996</v>
      </c>
      <c r="J2831" s="786">
        <v>122.41</v>
      </c>
      <c r="K2831" s="814" t="s">
        <v>2411</v>
      </c>
      <c r="L2831" s="1054">
        <v>45464</v>
      </c>
      <c r="M2831" s="8" t="s">
        <v>2411</v>
      </c>
      <c r="N2831" s="1043">
        <v>45467</v>
      </c>
      <c r="O2831" s="8" t="s">
        <v>62</v>
      </c>
      <c r="P2831" s="4" t="s">
        <v>1519</v>
      </c>
      <c r="Q2831" s="786">
        <v>3.54</v>
      </c>
      <c r="R2831" s="8"/>
      <c r="S2831" s="8"/>
      <c r="T2831" s="8"/>
      <c r="U2831" s="8"/>
      <c r="V2831" s="8"/>
      <c r="W2831" s="759"/>
      <c r="X2831" s="759"/>
      <c r="Y2831" s="759"/>
      <c r="Z2831" s="759"/>
      <c r="AA2831" s="35"/>
      <c r="AB2831" s="35"/>
      <c r="AC2831" s="35"/>
      <c r="AD2831" s="35"/>
      <c r="AE2831" s="35"/>
      <c r="AF2831" s="35"/>
      <c r="AG2831" s="35"/>
      <c r="AH2831" s="35"/>
      <c r="AI2831" s="35"/>
      <c r="AJ2831" s="35"/>
      <c r="AK2831" s="35"/>
      <c r="AL2831" s="35"/>
      <c r="AM2831" s="35"/>
    </row>
    <row r="2832" spans="1:39">
      <c r="B2832" s="1011" t="s">
        <v>433</v>
      </c>
      <c r="C2832" s="993" t="s">
        <v>5595</v>
      </c>
      <c r="D2832" s="3">
        <v>200106508</v>
      </c>
      <c r="E2832" s="1469" t="s">
        <v>1520</v>
      </c>
      <c r="F2832" s="802">
        <v>11</v>
      </c>
      <c r="G2832" s="814" t="s">
        <v>60</v>
      </c>
      <c r="H2832" s="8" t="s">
        <v>60</v>
      </c>
      <c r="I2832" s="762">
        <v>553.12</v>
      </c>
      <c r="J2832" s="786">
        <v>123.46</v>
      </c>
      <c r="K2832" s="814" t="s">
        <v>2411</v>
      </c>
      <c r="L2832" s="1054">
        <v>45464</v>
      </c>
      <c r="M2832" s="8" t="s">
        <v>2411</v>
      </c>
      <c r="N2832" s="1043">
        <v>45467</v>
      </c>
      <c r="O2832" s="8" t="s">
        <v>62</v>
      </c>
      <c r="P2832" s="4" t="s">
        <v>1521</v>
      </c>
      <c r="Q2832" s="786">
        <v>3.58</v>
      </c>
      <c r="R2832" s="8"/>
      <c r="S2832" s="8"/>
      <c r="T2832" s="8"/>
      <c r="U2832" s="8"/>
      <c r="V2832" s="8"/>
      <c r="W2832" s="759"/>
      <c r="X2832" s="759"/>
      <c r="Y2832" s="759"/>
      <c r="Z2832" s="759"/>
      <c r="AA2832" s="35"/>
      <c r="AB2832" s="35"/>
      <c r="AC2832" s="35"/>
      <c r="AD2832" s="35"/>
      <c r="AE2832" s="35"/>
      <c r="AF2832" s="35"/>
      <c r="AG2832" s="35"/>
      <c r="AH2832" s="35"/>
      <c r="AI2832" s="35"/>
      <c r="AJ2832" s="35"/>
      <c r="AK2832" s="35"/>
      <c r="AL2832" s="35"/>
      <c r="AM2832" s="35"/>
    </row>
    <row r="2833" spans="1:60">
      <c r="B2833" s="1011" t="s">
        <v>433</v>
      </c>
      <c r="C2833" s="993" t="s">
        <v>5595</v>
      </c>
      <c r="D2833" s="3">
        <v>200106509</v>
      </c>
      <c r="E2833" s="1469" t="s">
        <v>1522</v>
      </c>
      <c r="F2833" s="802">
        <v>12</v>
      </c>
      <c r="G2833" s="814" t="s">
        <v>60</v>
      </c>
      <c r="H2833" s="8" t="s">
        <v>60</v>
      </c>
      <c r="I2833" s="786">
        <v>552.91</v>
      </c>
      <c r="J2833" s="762">
        <v>124.72</v>
      </c>
      <c r="K2833" s="1055" t="s">
        <v>2411</v>
      </c>
      <c r="L2833" s="1054">
        <v>45468</v>
      </c>
      <c r="M2833" s="8" t="s">
        <v>2411</v>
      </c>
      <c r="N2833" s="1043">
        <v>45467</v>
      </c>
      <c r="O2833" s="8" t="s">
        <v>62</v>
      </c>
      <c r="P2833" s="4" t="s">
        <v>1523</v>
      </c>
      <c r="Q2833" s="762">
        <v>3.62</v>
      </c>
      <c r="R2833" s="8"/>
      <c r="S2833" s="8"/>
      <c r="T2833" s="8"/>
      <c r="U2833" s="8"/>
      <c r="V2833" s="8"/>
      <c r="W2833" s="759"/>
      <c r="X2833" s="759"/>
      <c r="Y2833" s="759"/>
      <c r="Z2833" s="759"/>
      <c r="AA2833" s="35"/>
      <c r="AB2833" s="35"/>
      <c r="AC2833" s="35"/>
      <c r="AD2833" s="35"/>
      <c r="AE2833" s="35"/>
      <c r="AF2833" s="35"/>
      <c r="AG2833" s="35"/>
      <c r="AH2833" s="35"/>
      <c r="AI2833" s="35"/>
      <c r="AJ2833" s="35"/>
      <c r="AK2833" s="35"/>
      <c r="AL2833" s="35"/>
      <c r="AM2833" s="35"/>
    </row>
    <row r="2834" spans="1:60">
      <c r="B2834" s="1011" t="s">
        <v>433</v>
      </c>
      <c r="C2834" s="993" t="s">
        <v>5595</v>
      </c>
      <c r="D2834" s="3">
        <v>200106510</v>
      </c>
      <c r="E2834" s="1469" t="s">
        <v>1524</v>
      </c>
      <c r="F2834" s="802">
        <v>13</v>
      </c>
      <c r="G2834" s="814" t="s">
        <v>60</v>
      </c>
      <c r="H2834" s="8" t="s">
        <v>60</v>
      </c>
      <c r="I2834" s="786">
        <v>548.91999999999996</v>
      </c>
      <c r="J2834" s="762">
        <v>124.16</v>
      </c>
      <c r="K2834" s="1055" t="s">
        <v>2411</v>
      </c>
      <c r="L2834" s="1054">
        <v>45468</v>
      </c>
      <c r="M2834" s="8" t="s">
        <v>2411</v>
      </c>
      <c r="N2834" s="1043">
        <v>45467</v>
      </c>
      <c r="O2834" s="8" t="s">
        <v>62</v>
      </c>
      <c r="P2834" s="4" t="s">
        <v>1525</v>
      </c>
      <c r="Q2834" s="762">
        <v>3.55</v>
      </c>
      <c r="R2834" s="8"/>
      <c r="S2834" s="8"/>
      <c r="T2834" s="8"/>
      <c r="U2834" s="8"/>
      <c r="V2834" s="8"/>
      <c r="W2834" s="759"/>
      <c r="X2834" s="759"/>
      <c r="Y2834" s="759"/>
      <c r="Z2834" s="759"/>
      <c r="AA2834" s="35"/>
      <c r="AB2834" s="35"/>
      <c r="AC2834" s="35"/>
      <c r="AD2834" s="35"/>
      <c r="AE2834" s="35"/>
      <c r="AF2834" s="35"/>
      <c r="AG2834" s="35"/>
      <c r="AH2834" s="35"/>
      <c r="AI2834" s="35"/>
      <c r="AJ2834" s="35"/>
      <c r="AK2834" s="35"/>
      <c r="AL2834" s="35"/>
      <c r="AM2834" s="35"/>
    </row>
    <row r="2835" spans="1:60">
      <c r="B2835" s="1011" t="s">
        <v>433</v>
      </c>
      <c r="C2835" s="993" t="s">
        <v>5595</v>
      </c>
      <c r="D2835" s="3">
        <v>200106511</v>
      </c>
      <c r="E2835" s="1469" t="s">
        <v>1526</v>
      </c>
      <c r="F2835" s="802">
        <v>14</v>
      </c>
      <c r="G2835" s="814" t="s">
        <v>60</v>
      </c>
      <c r="H2835" s="8" t="s">
        <v>60</v>
      </c>
      <c r="I2835" s="786">
        <v>559.19000000000005</v>
      </c>
      <c r="J2835" s="762">
        <v>125.36</v>
      </c>
      <c r="K2835" s="1055" t="s">
        <v>2411</v>
      </c>
      <c r="L2835" s="1054">
        <v>45468</v>
      </c>
      <c r="M2835" s="8" t="s">
        <v>2411</v>
      </c>
      <c r="N2835" s="1043">
        <v>45467</v>
      </c>
      <c r="O2835" s="8" t="s">
        <v>62</v>
      </c>
      <c r="P2835" s="931" t="s">
        <v>1527</v>
      </c>
      <c r="Q2835" s="762">
        <v>3.62</v>
      </c>
      <c r="R2835" s="8"/>
      <c r="S2835" s="8"/>
      <c r="T2835" s="8"/>
      <c r="U2835" s="8"/>
      <c r="V2835" s="8"/>
      <c r="W2835" s="759"/>
      <c r="X2835" s="759"/>
      <c r="Y2835" s="759"/>
      <c r="Z2835" s="759"/>
      <c r="AA2835" s="35"/>
      <c r="AB2835" s="35"/>
      <c r="AC2835" s="35"/>
      <c r="AD2835" s="35"/>
      <c r="AE2835" s="35"/>
      <c r="AF2835" s="35"/>
      <c r="AG2835" s="35"/>
      <c r="AH2835" s="35"/>
      <c r="AI2835" s="35"/>
      <c r="AJ2835" s="35"/>
      <c r="AK2835" s="35"/>
      <c r="AL2835" s="35"/>
      <c r="AM2835" s="35"/>
    </row>
    <row r="2836" spans="1:60">
      <c r="B2836" s="1011" t="s">
        <v>433</v>
      </c>
      <c r="C2836" s="993" t="s">
        <v>5595</v>
      </c>
      <c r="D2836" s="3">
        <v>200106513</v>
      </c>
      <c r="E2836" s="1469" t="s">
        <v>1528</v>
      </c>
      <c r="F2836" s="802">
        <v>15</v>
      </c>
      <c r="G2836" s="1040"/>
      <c r="H2836" s="8" t="s">
        <v>60</v>
      </c>
      <c r="I2836" s="1040"/>
      <c r="J2836" s="762">
        <v>123.34</v>
      </c>
      <c r="K2836" s="1040"/>
      <c r="L2836" s="1040"/>
      <c r="M2836" s="8" t="s">
        <v>2411</v>
      </c>
      <c r="N2836" s="1043">
        <v>45467</v>
      </c>
      <c r="O2836" s="8" t="s">
        <v>62</v>
      </c>
      <c r="P2836" s="1056"/>
      <c r="Q2836" s="762">
        <v>3.72</v>
      </c>
      <c r="R2836" s="8"/>
      <c r="S2836" s="8"/>
      <c r="T2836" s="8"/>
      <c r="U2836" s="8"/>
      <c r="V2836" s="8"/>
      <c r="W2836" s="759"/>
      <c r="X2836" s="759"/>
      <c r="Y2836" s="759"/>
      <c r="Z2836" s="759"/>
      <c r="AA2836" s="35"/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5"/>
      <c r="AM2836" s="35"/>
    </row>
    <row r="2837" spans="1:60">
      <c r="B2837" s="1011" t="s">
        <v>433</v>
      </c>
      <c r="C2837" s="993" t="s">
        <v>5595</v>
      </c>
      <c r="D2837" s="3">
        <v>200106514</v>
      </c>
      <c r="E2837" s="1469" t="s">
        <v>1529</v>
      </c>
      <c r="F2837" s="802">
        <v>16</v>
      </c>
      <c r="G2837" s="1040"/>
      <c r="H2837" s="8" t="s">
        <v>60</v>
      </c>
      <c r="I2837" s="1040"/>
      <c r="J2837" s="762">
        <v>123.33</v>
      </c>
      <c r="K2837" s="1040"/>
      <c r="L2837" s="1040"/>
      <c r="M2837" s="8" t="s">
        <v>2411</v>
      </c>
      <c r="N2837" s="1043">
        <v>45467</v>
      </c>
      <c r="O2837" s="8" t="s">
        <v>62</v>
      </c>
      <c r="P2837" s="1056"/>
      <c r="Q2837" s="762">
        <v>3.46</v>
      </c>
      <c r="R2837" s="8"/>
      <c r="S2837" s="8"/>
      <c r="T2837" s="8"/>
      <c r="U2837" s="8"/>
      <c r="V2837" s="8"/>
      <c r="W2837" s="759"/>
      <c r="X2837" s="759"/>
      <c r="Y2837" s="759"/>
      <c r="Z2837" s="759"/>
      <c r="AA2837" s="35"/>
      <c r="AB2837" s="35"/>
      <c r="AC2837" s="35"/>
      <c r="AD2837" s="35"/>
      <c r="AE2837" s="35"/>
      <c r="AF2837" s="35"/>
      <c r="AG2837" s="35"/>
      <c r="AH2837" s="35"/>
      <c r="AI2837" s="35"/>
      <c r="AJ2837" s="35"/>
      <c r="AK2837" s="35"/>
      <c r="AL2837" s="35"/>
      <c r="AM2837" s="35"/>
    </row>
    <row r="2838" spans="1:60">
      <c r="B2838" s="1011" t="s">
        <v>433</v>
      </c>
      <c r="C2838" s="993" t="s">
        <v>5595</v>
      </c>
      <c r="D2838" s="3">
        <v>200106515</v>
      </c>
      <c r="E2838" s="1469" t="s">
        <v>1530</v>
      </c>
      <c r="F2838" s="802">
        <v>17</v>
      </c>
      <c r="G2838" s="1040"/>
      <c r="H2838" s="8" t="s">
        <v>60</v>
      </c>
      <c r="I2838" s="1048"/>
      <c r="J2838" s="762">
        <v>123.83</v>
      </c>
      <c r="K2838" s="1048"/>
      <c r="L2838" s="1048"/>
      <c r="M2838" s="8" t="s">
        <v>2411</v>
      </c>
      <c r="N2838" s="1043">
        <v>45467</v>
      </c>
      <c r="O2838" s="8" t="s">
        <v>62</v>
      </c>
      <c r="P2838" s="1056"/>
      <c r="Q2838" s="762">
        <v>3.46</v>
      </c>
      <c r="R2838" s="8"/>
      <c r="S2838" s="8"/>
      <c r="T2838" s="8"/>
      <c r="U2838" s="8"/>
      <c r="V2838" s="8"/>
      <c r="W2838" s="759"/>
      <c r="X2838" s="759"/>
      <c r="Y2838" s="759"/>
      <c r="Z2838" s="759"/>
      <c r="AA2838" s="35"/>
      <c r="AB2838" s="35"/>
      <c r="AC2838" s="35"/>
      <c r="AD2838" s="35"/>
      <c r="AE2838" s="35"/>
      <c r="AF2838" s="35"/>
      <c r="AG2838" s="35"/>
      <c r="AH2838" s="35"/>
      <c r="AI2838" s="35"/>
      <c r="AJ2838" s="35"/>
      <c r="AK2838" s="35"/>
      <c r="AL2838" s="35"/>
      <c r="AM2838" s="35"/>
    </row>
    <row r="2839" spans="1:60">
      <c r="B2839" s="1011" t="s">
        <v>433</v>
      </c>
      <c r="C2839" s="993" t="s">
        <v>5595</v>
      </c>
      <c r="D2839" s="3">
        <v>200106516</v>
      </c>
      <c r="E2839" s="1469" t="s">
        <v>1531</v>
      </c>
      <c r="F2839" s="802">
        <v>18</v>
      </c>
      <c r="G2839" s="1040"/>
      <c r="H2839" s="8" t="s">
        <v>60</v>
      </c>
      <c r="I2839" s="1048"/>
      <c r="J2839" s="786">
        <v>122.63</v>
      </c>
      <c r="K2839" s="1048"/>
      <c r="L2839" s="1048"/>
      <c r="M2839" s="8" t="s">
        <v>2411</v>
      </c>
      <c r="N2839" s="1043">
        <v>45469</v>
      </c>
      <c r="O2839" s="8" t="s">
        <v>62</v>
      </c>
      <c r="P2839" s="1056"/>
      <c r="Q2839" s="786">
        <v>3.76</v>
      </c>
      <c r="R2839" s="8"/>
      <c r="S2839" s="8"/>
      <c r="T2839" s="8"/>
      <c r="U2839" s="8"/>
      <c r="V2839" s="8"/>
      <c r="W2839" s="759"/>
      <c r="X2839" s="759"/>
      <c r="Y2839" s="759"/>
      <c r="Z2839" s="759"/>
      <c r="AA2839" s="35"/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5"/>
      <c r="AM2839" s="35"/>
    </row>
    <row r="2840" spans="1:60">
      <c r="B2840" s="1011" t="s">
        <v>433</v>
      </c>
      <c r="C2840" s="993" t="s">
        <v>5595</v>
      </c>
      <c r="D2840" s="3">
        <v>200106517</v>
      </c>
      <c r="E2840" s="1469" t="s">
        <v>1532</v>
      </c>
      <c r="F2840" s="802">
        <v>19</v>
      </c>
      <c r="G2840" s="1040"/>
      <c r="H2840" s="8" t="s">
        <v>60</v>
      </c>
      <c r="I2840" s="1048"/>
      <c r="J2840" s="786">
        <v>123.1</v>
      </c>
      <c r="K2840" s="1048"/>
      <c r="L2840" s="1048"/>
      <c r="M2840" s="8" t="s">
        <v>2411</v>
      </c>
      <c r="N2840" s="1043">
        <v>45470</v>
      </c>
      <c r="O2840" s="8" t="s">
        <v>62</v>
      </c>
      <c r="P2840" s="1056"/>
      <c r="Q2840" s="786">
        <v>3.71</v>
      </c>
      <c r="R2840" s="8"/>
      <c r="S2840" s="8"/>
      <c r="T2840" s="8"/>
      <c r="U2840" s="8"/>
      <c r="V2840" s="8"/>
      <c r="W2840" s="759"/>
      <c r="X2840" s="759"/>
      <c r="Y2840" s="759"/>
      <c r="Z2840" s="759"/>
      <c r="AA2840" s="35"/>
      <c r="AB2840" s="35"/>
      <c r="AC2840" s="35"/>
      <c r="AD2840" s="35"/>
      <c r="AE2840" s="35"/>
      <c r="AF2840" s="35"/>
      <c r="AG2840" s="35"/>
      <c r="AH2840" s="35"/>
      <c r="AI2840" s="35"/>
      <c r="AJ2840" s="35"/>
      <c r="AK2840" s="35"/>
      <c r="AL2840" s="35"/>
      <c r="AM2840" s="35"/>
    </row>
    <row r="2841" spans="1:60">
      <c r="B2841" s="1011" t="s">
        <v>433</v>
      </c>
      <c r="C2841" s="993" t="s">
        <v>5595</v>
      </c>
      <c r="D2841" s="3">
        <v>200106518</v>
      </c>
      <c r="E2841" s="1469" t="s">
        <v>1533</v>
      </c>
      <c r="F2841" s="802">
        <v>20</v>
      </c>
      <c r="G2841" s="760" t="s">
        <v>60</v>
      </c>
      <c r="H2841" s="8" t="s">
        <v>60</v>
      </c>
      <c r="I2841" s="786">
        <v>552.9</v>
      </c>
      <c r="J2841" s="786">
        <v>122.56</v>
      </c>
      <c r="K2841" s="760" t="s">
        <v>2411</v>
      </c>
      <c r="L2841" s="1054">
        <v>45471</v>
      </c>
      <c r="M2841" s="8" t="s">
        <v>2411</v>
      </c>
      <c r="N2841" s="1043">
        <v>45470</v>
      </c>
      <c r="O2841" s="8" t="s">
        <v>62</v>
      </c>
      <c r="P2841" s="931" t="s">
        <v>1534</v>
      </c>
      <c r="Q2841" s="786">
        <v>3.53</v>
      </c>
      <c r="R2841" s="8"/>
      <c r="S2841" s="8"/>
      <c r="T2841" s="8"/>
      <c r="U2841" s="8"/>
      <c r="V2841" s="8"/>
      <c r="W2841" s="759"/>
      <c r="X2841" s="759"/>
      <c r="Y2841" s="759"/>
      <c r="Z2841" s="759"/>
      <c r="AA2841" s="35"/>
      <c r="AB2841" s="35"/>
      <c r="AC2841" s="35"/>
      <c r="AD2841" s="35"/>
      <c r="AE2841" s="35"/>
      <c r="AF2841" s="35"/>
      <c r="AG2841" s="35"/>
      <c r="AH2841" s="35"/>
      <c r="AI2841" s="35"/>
      <c r="AJ2841" s="35"/>
      <c r="AK2841" s="35"/>
      <c r="AL2841" s="35"/>
      <c r="AM2841" s="35"/>
    </row>
    <row r="2842" spans="1:60">
      <c r="B2842" s="1011" t="s">
        <v>433</v>
      </c>
      <c r="C2842" s="993" t="s">
        <v>5595</v>
      </c>
      <c r="D2842" s="3">
        <v>200106497</v>
      </c>
      <c r="E2842" s="1469" t="s">
        <v>1535</v>
      </c>
      <c r="F2842" s="802">
        <v>21</v>
      </c>
      <c r="G2842" s="760" t="s">
        <v>60</v>
      </c>
      <c r="H2842" s="8" t="s">
        <v>60</v>
      </c>
      <c r="I2842" s="786">
        <v>549.08000000000004</v>
      </c>
      <c r="J2842" s="786">
        <v>123.37</v>
      </c>
      <c r="K2842" s="760" t="s">
        <v>2411</v>
      </c>
      <c r="L2842" s="1054">
        <v>45471</v>
      </c>
      <c r="M2842" s="8" t="s">
        <v>2411</v>
      </c>
      <c r="N2842" s="1043">
        <v>45470</v>
      </c>
      <c r="O2842" s="8" t="s">
        <v>62</v>
      </c>
      <c r="P2842" s="931" t="s">
        <v>1536</v>
      </c>
      <c r="Q2842" s="786">
        <v>3.65</v>
      </c>
      <c r="R2842" s="8"/>
      <c r="S2842" s="8"/>
      <c r="T2842" s="8"/>
      <c r="U2842" s="8"/>
      <c r="V2842" s="8"/>
      <c r="W2842" s="759"/>
      <c r="X2842" s="759"/>
      <c r="Y2842" s="759"/>
      <c r="Z2842" s="759"/>
      <c r="AA2842" s="35"/>
      <c r="AB2842" s="35"/>
      <c r="AC2842" s="35"/>
      <c r="AD2842" s="35"/>
      <c r="AE2842" s="35"/>
      <c r="AF2842" s="35"/>
      <c r="AG2842" s="35"/>
      <c r="AH2842" s="35"/>
      <c r="AI2842" s="35"/>
      <c r="AJ2842" s="35"/>
      <c r="AK2842" s="35"/>
      <c r="AL2842" s="35"/>
      <c r="AM2842" s="35"/>
    </row>
    <row r="2843" spans="1:60">
      <c r="B2843" s="1011" t="s">
        <v>433</v>
      </c>
      <c r="C2843" s="993" t="s">
        <v>5595</v>
      </c>
      <c r="D2843" s="3">
        <v>200106498</v>
      </c>
      <c r="E2843" s="1469" t="s">
        <v>1537</v>
      </c>
      <c r="F2843" s="802">
        <v>22</v>
      </c>
      <c r="G2843" s="760" t="s">
        <v>60</v>
      </c>
      <c r="H2843" s="8" t="s">
        <v>60</v>
      </c>
      <c r="I2843" s="786">
        <v>556.1</v>
      </c>
      <c r="J2843" s="786">
        <v>125.61</v>
      </c>
      <c r="K2843" s="760" t="s">
        <v>2411</v>
      </c>
      <c r="L2843" s="1054">
        <v>45471</v>
      </c>
      <c r="M2843" s="8" t="s">
        <v>2411</v>
      </c>
      <c r="N2843" s="1043">
        <v>45470</v>
      </c>
      <c r="O2843" s="8" t="s">
        <v>62</v>
      </c>
      <c r="P2843" s="4" t="s">
        <v>1538</v>
      </c>
      <c r="Q2843" s="786">
        <v>3.64</v>
      </c>
      <c r="R2843" s="8"/>
      <c r="S2843" s="8"/>
      <c r="T2843" s="8"/>
      <c r="U2843" s="8"/>
      <c r="V2843" s="8"/>
      <c r="W2843" s="759"/>
      <c r="X2843" s="759"/>
      <c r="Y2843" s="759"/>
      <c r="Z2843" s="759"/>
      <c r="AA2843" s="35"/>
      <c r="AB2843" s="35"/>
      <c r="AC2843" s="35"/>
      <c r="AD2843" s="35"/>
      <c r="AE2843" s="35"/>
      <c r="AF2843" s="35"/>
      <c r="AG2843" s="35"/>
      <c r="AH2843" s="35"/>
      <c r="AI2843" s="35"/>
      <c r="AJ2843" s="35"/>
      <c r="AK2843" s="35"/>
      <c r="AL2843" s="35"/>
      <c r="AM2843" s="35"/>
    </row>
    <row r="2844" spans="1:60" s="707" customFormat="1" ht="22.95" customHeight="1">
      <c r="A2844"/>
      <c r="B2844" s="978"/>
      <c r="C2844" s="1049" t="s">
        <v>902</v>
      </c>
      <c r="D2844" s="807"/>
      <c r="E2844" s="807"/>
      <c r="F2844" s="1015"/>
      <c r="G2844" s="9"/>
      <c r="H2844" s="9"/>
      <c r="I2844" s="9"/>
      <c r="J2844" s="985"/>
      <c r="K2844" s="985"/>
      <c r="L2844" s="1025"/>
      <c r="M2844" s="1025"/>
      <c r="N2844" s="1025"/>
      <c r="O2844" s="9"/>
      <c r="P2844" s="982"/>
      <c r="Q2844" s="9"/>
      <c r="R2844" s="9"/>
      <c r="S2844" s="9"/>
      <c r="T2844" s="9"/>
      <c r="U2844" s="9"/>
      <c r="V2844" s="9"/>
      <c r="W2844" s="1025"/>
      <c r="X2844" s="1025"/>
      <c r="Y2844" s="1025"/>
      <c r="Z2844" s="1025"/>
      <c r="AA2844" s="1016"/>
      <c r="AB2844" s="1016"/>
      <c r="AC2844" s="1016"/>
      <c r="AD2844" s="1016"/>
      <c r="AE2844" s="1016"/>
      <c r="AF2844" s="1016"/>
      <c r="AG2844" s="1016"/>
      <c r="AH2844" s="1016"/>
      <c r="AI2844" s="1016"/>
      <c r="AJ2844" s="1016"/>
      <c r="AK2844" s="1016"/>
      <c r="AL2844" s="1016"/>
      <c r="AM2844" s="1016"/>
    </row>
    <row r="2845" spans="1:60">
      <c r="B2845" s="1496" t="s">
        <v>125</v>
      </c>
      <c r="C2845" s="1050" t="s">
        <v>901</v>
      </c>
      <c r="D2845" s="777" t="s">
        <v>5921</v>
      </c>
      <c r="E2845" s="712" t="s">
        <v>5922</v>
      </c>
      <c r="F2845" s="749">
        <v>1</v>
      </c>
      <c r="G2845" s="3"/>
      <c r="H2845" s="3"/>
      <c r="I2845" s="3"/>
      <c r="J2845" s="3"/>
      <c r="K2845" s="3"/>
      <c r="L2845" s="761"/>
      <c r="M2845" s="761"/>
      <c r="N2845" s="761"/>
      <c r="O2845" s="761"/>
      <c r="P2845" s="762"/>
      <c r="Q2845" s="3"/>
      <c r="R2845" s="3"/>
      <c r="S2845" s="3"/>
      <c r="T2845" s="3"/>
      <c r="U2845" s="3"/>
      <c r="V2845" s="4"/>
      <c r="W2845" s="761"/>
      <c r="X2845" s="761"/>
      <c r="Y2845" s="761"/>
      <c r="Z2845" s="761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</row>
    <row r="2846" spans="1:60">
      <c r="B2846" s="1496" t="s">
        <v>277</v>
      </c>
      <c r="C2846" s="1050" t="s">
        <v>901</v>
      </c>
      <c r="D2846" s="12" t="s">
        <v>5923</v>
      </c>
      <c r="E2846" s="12" t="s">
        <v>5924</v>
      </c>
      <c r="F2846" s="749">
        <v>1</v>
      </c>
      <c r="G2846" s="3" t="s">
        <v>932</v>
      </c>
      <c r="H2846" s="3" t="s">
        <v>932</v>
      </c>
      <c r="I2846" s="3">
        <v>106.46</v>
      </c>
      <c r="J2846" s="3">
        <v>62.5</v>
      </c>
      <c r="K2846" s="3" t="str">
        <f>TEXT(L2846,"mmmm")</f>
        <v>April</v>
      </c>
      <c r="L2846" s="761">
        <v>44664</v>
      </c>
      <c r="M2846" s="761" t="s">
        <v>2272</v>
      </c>
      <c r="N2846" s="761">
        <v>44664</v>
      </c>
      <c r="O2846" s="761" t="s">
        <v>62</v>
      </c>
      <c r="P2846" s="762">
        <v>4.51</v>
      </c>
      <c r="Q2846" s="3"/>
      <c r="R2846" s="3" t="s">
        <v>1757</v>
      </c>
      <c r="S2846" s="3" t="s">
        <v>1757</v>
      </c>
      <c r="T2846" s="3">
        <v>115.83</v>
      </c>
      <c r="U2846" s="3">
        <v>67.94</v>
      </c>
      <c r="V2846" s="4" t="s">
        <v>2272</v>
      </c>
      <c r="W2846" s="761">
        <v>44664</v>
      </c>
      <c r="X2846" s="761" t="s">
        <v>2272</v>
      </c>
      <c r="Y2846" s="761">
        <v>44664</v>
      </c>
      <c r="Z2846" s="761" t="s">
        <v>62</v>
      </c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</row>
    <row r="2847" spans="1:60" s="707" customFormat="1" ht="22.95" customHeight="1">
      <c r="A2847"/>
      <c r="B2847" s="797" t="s">
        <v>13</v>
      </c>
      <c r="C2847" s="960">
        <v>2022</v>
      </c>
      <c r="D2847" s="875"/>
      <c r="E2847" s="875"/>
      <c r="F2847" s="808"/>
      <c r="G2847" s="807"/>
      <c r="H2847" s="807"/>
      <c r="I2847" s="807"/>
      <c r="J2847" s="807"/>
      <c r="K2847" s="807"/>
      <c r="L2847" s="819"/>
      <c r="M2847" s="819"/>
      <c r="N2847" s="819"/>
      <c r="O2847" s="819"/>
      <c r="P2847" s="820"/>
      <c r="Q2847" s="807"/>
      <c r="R2847" s="807"/>
      <c r="S2847" s="807"/>
      <c r="T2847" s="807"/>
      <c r="U2847" s="807"/>
      <c r="V2847" s="710"/>
      <c r="W2847" s="819"/>
      <c r="X2847" s="819"/>
      <c r="Y2847" s="819"/>
      <c r="Z2847" s="819"/>
      <c r="AA2847" s="710"/>
      <c r="AB2847" s="710"/>
      <c r="AC2847" s="710"/>
      <c r="AD2847" s="710"/>
      <c r="AE2847" s="710"/>
      <c r="AF2847" s="710"/>
      <c r="AG2847" s="710"/>
      <c r="AH2847" s="710"/>
      <c r="AI2847" s="710"/>
      <c r="AJ2847" s="710"/>
      <c r="AK2847" s="710"/>
      <c r="AL2847" s="710"/>
      <c r="AM2847" s="710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</row>
    <row r="2848" spans="1:60">
      <c r="B2848" s="895">
        <v>6</v>
      </c>
      <c r="C2848" s="1050" t="s">
        <v>901</v>
      </c>
      <c r="D2848" s="12" t="s">
        <v>5925</v>
      </c>
      <c r="E2848" s="12" t="s">
        <v>5926</v>
      </c>
      <c r="F2848" s="749">
        <v>1</v>
      </c>
      <c r="G2848" s="3" t="s">
        <v>932</v>
      </c>
      <c r="H2848" s="3" t="s">
        <v>932</v>
      </c>
      <c r="I2848" s="3">
        <v>107.08</v>
      </c>
      <c r="J2848" s="878">
        <v>63.68</v>
      </c>
      <c r="K2848" s="3" t="str">
        <f>TEXT(L2848,"mmmm")</f>
        <v>May</v>
      </c>
      <c r="L2848" s="761">
        <v>44712</v>
      </c>
      <c r="M2848" s="761" t="str">
        <f>TEXT(N2848,"mmmm")</f>
        <v>May</v>
      </c>
      <c r="N2848" s="761">
        <v>44711</v>
      </c>
      <c r="O2848" s="761" t="s">
        <v>62</v>
      </c>
      <c r="P2848" s="762">
        <v>4.37</v>
      </c>
      <c r="Q2848" s="3">
        <v>4.59</v>
      </c>
      <c r="R2848" s="3" t="s">
        <v>1757</v>
      </c>
      <c r="S2848" s="3" t="s">
        <v>1757</v>
      </c>
      <c r="T2848" s="3">
        <v>116.74</v>
      </c>
      <c r="U2848" s="3">
        <v>69.260000000000005</v>
      </c>
      <c r="V2848" s="4" t="str">
        <f>TEXT(W2848,"mmmm")</f>
        <v>May</v>
      </c>
      <c r="W2848" s="761">
        <v>44712</v>
      </c>
      <c r="X2848" s="761" t="str">
        <f>TEXT(Y2848,"mmmm")</f>
        <v>May</v>
      </c>
      <c r="Y2848" s="761">
        <v>44711</v>
      </c>
      <c r="Z2848" s="761" t="s">
        <v>62</v>
      </c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</row>
    <row r="2849" spans="1:60">
      <c r="B2849" s="895">
        <v>6</v>
      </c>
      <c r="C2849" s="1050" t="s">
        <v>901</v>
      </c>
      <c r="D2849" s="12" t="s">
        <v>5927</v>
      </c>
      <c r="E2849" s="12" t="s">
        <v>5928</v>
      </c>
      <c r="F2849" s="749">
        <v>2</v>
      </c>
      <c r="G2849" s="3" t="s">
        <v>932</v>
      </c>
      <c r="H2849" s="3" t="s">
        <v>932</v>
      </c>
      <c r="I2849" s="3">
        <v>107.04</v>
      </c>
      <c r="J2849" s="878">
        <v>64.099999999999994</v>
      </c>
      <c r="K2849" s="3" t="str">
        <f>TEXT(L2849,"mmmm")</f>
        <v>May</v>
      </c>
      <c r="L2849" s="761">
        <v>44712</v>
      </c>
      <c r="M2849" s="761" t="str">
        <f>TEXT(N2849,"mmmm")</f>
        <v>May</v>
      </c>
      <c r="N2849" s="761">
        <v>44711</v>
      </c>
      <c r="O2849" s="761" t="s">
        <v>62</v>
      </c>
      <c r="P2849" s="762">
        <v>4.17</v>
      </c>
      <c r="Q2849" s="3">
        <v>4.42</v>
      </c>
      <c r="R2849" s="3" t="s">
        <v>1757</v>
      </c>
      <c r="S2849" s="3" t="s">
        <v>1757</v>
      </c>
      <c r="T2849" s="3">
        <v>116.31</v>
      </c>
      <c r="U2849" s="3">
        <v>69.78</v>
      </c>
      <c r="V2849" s="4" t="str">
        <f>TEXT(W2849,"mmmm")</f>
        <v>May</v>
      </c>
      <c r="W2849" s="761">
        <v>44712</v>
      </c>
      <c r="X2849" s="761" t="str">
        <f>TEXT(Y2849,"mmmm")</f>
        <v>May</v>
      </c>
      <c r="Y2849" s="761">
        <v>44711</v>
      </c>
      <c r="Z2849" s="761" t="s">
        <v>62</v>
      </c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</row>
    <row r="2850" spans="1:60">
      <c r="B2850" s="895">
        <v>6</v>
      </c>
      <c r="C2850" s="1050" t="s">
        <v>901</v>
      </c>
      <c r="D2850" s="12" t="s">
        <v>5929</v>
      </c>
      <c r="E2850" s="12" t="s">
        <v>5930</v>
      </c>
      <c r="F2850" s="749">
        <v>3</v>
      </c>
      <c r="G2850" s="3" t="s">
        <v>932</v>
      </c>
      <c r="H2850" s="3" t="s">
        <v>932</v>
      </c>
      <c r="I2850" s="3">
        <v>108.46</v>
      </c>
      <c r="J2850" s="878">
        <v>64.3</v>
      </c>
      <c r="K2850" s="3" t="str">
        <f>TEXT(L2850,"mmmm")</f>
        <v>May</v>
      </c>
      <c r="L2850" s="761">
        <v>44712</v>
      </c>
      <c r="M2850" s="761" t="str">
        <f>TEXT(N2850,"mmmm")</f>
        <v>May</v>
      </c>
      <c r="N2850" s="761">
        <v>44711</v>
      </c>
      <c r="O2850" s="761" t="s">
        <v>62</v>
      </c>
      <c r="P2850" s="762">
        <v>4.24</v>
      </c>
      <c r="Q2850" s="3">
        <v>4.47</v>
      </c>
      <c r="R2850" s="3" t="s">
        <v>1757</v>
      </c>
      <c r="S2850" s="3" t="s">
        <v>1757</v>
      </c>
      <c r="T2850" s="3">
        <v>117.92</v>
      </c>
      <c r="U2850" s="3">
        <v>70.25</v>
      </c>
      <c r="V2850" s="4" t="str">
        <f>TEXT(W2850,"mmmm")</f>
        <v>May</v>
      </c>
      <c r="W2850" s="761">
        <v>44712</v>
      </c>
      <c r="X2850" s="761" t="str">
        <f>TEXT(Y2850,"mmmm")</f>
        <v>May</v>
      </c>
      <c r="Y2850" s="761">
        <v>44712</v>
      </c>
      <c r="Z2850" s="761" t="s">
        <v>62</v>
      </c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</row>
    <row r="2851" spans="1:60">
      <c r="B2851" s="13">
        <v>10</v>
      </c>
      <c r="C2851" s="1050" t="s">
        <v>901</v>
      </c>
      <c r="D2851" s="950" t="s">
        <v>5931</v>
      </c>
      <c r="E2851" s="870" t="s">
        <v>5932</v>
      </c>
      <c r="F2851" s="795">
        <v>2</v>
      </c>
      <c r="G2851" s="13" t="s">
        <v>60</v>
      </c>
      <c r="H2851" s="13" t="s">
        <v>60</v>
      </c>
      <c r="I2851" s="810">
        <v>62.35</v>
      </c>
      <c r="J2851" s="810">
        <v>106.97</v>
      </c>
      <c r="K2851" s="13" t="s">
        <v>2661</v>
      </c>
      <c r="L2851" s="813"/>
      <c r="M2851" s="813"/>
      <c r="N2851" s="813">
        <v>44830</v>
      </c>
      <c r="O2851" s="813" t="s">
        <v>62</v>
      </c>
      <c r="P2851" s="1057">
        <v>4.1900000000000004</v>
      </c>
      <c r="Q2851" s="1057">
        <v>4.05</v>
      </c>
      <c r="R2851" s="13" t="s">
        <v>905</v>
      </c>
      <c r="S2851" s="13" t="s">
        <v>1757</v>
      </c>
      <c r="T2851" s="810">
        <v>116.41</v>
      </c>
      <c r="U2851" s="810">
        <v>67.89</v>
      </c>
      <c r="V2851" s="13" t="s">
        <v>2661</v>
      </c>
      <c r="W2851" s="813">
        <v>44830</v>
      </c>
      <c r="X2851" s="813"/>
      <c r="Y2851" s="813">
        <v>44830</v>
      </c>
      <c r="Z2851" s="813" t="s">
        <v>62</v>
      </c>
      <c r="AA2851" s="826"/>
      <c r="AB2851" s="826"/>
      <c r="AC2851" s="826"/>
      <c r="AD2851" s="826"/>
      <c r="AE2851" s="826"/>
      <c r="AF2851" s="826"/>
      <c r="AG2851" s="826"/>
      <c r="AH2851" s="826"/>
      <c r="AI2851" s="826"/>
      <c r="AJ2851" s="826"/>
      <c r="AK2851" s="826"/>
      <c r="AL2851" s="826"/>
      <c r="AM2851" s="826"/>
    </row>
    <row r="2852" spans="1:60" s="707" customFormat="1" ht="21" customHeight="1">
      <c r="A2852"/>
      <c r="B2852" s="797" t="s">
        <v>13</v>
      </c>
      <c r="C2852" s="960">
        <v>2023</v>
      </c>
      <c r="D2852" s="875"/>
      <c r="E2852" s="875"/>
      <c r="F2852" s="808"/>
      <c r="G2852" s="807"/>
      <c r="H2852" s="807"/>
      <c r="I2852" s="807"/>
      <c r="J2852" s="881"/>
      <c r="K2852" s="807"/>
      <c r="L2852" s="819"/>
      <c r="M2852" s="819"/>
      <c r="N2852" s="819"/>
      <c r="O2852" s="819"/>
      <c r="P2852" s="820"/>
      <c r="Q2852" s="807"/>
      <c r="R2852" s="807"/>
      <c r="S2852" s="807"/>
      <c r="T2852" s="807"/>
      <c r="U2852" s="807"/>
      <c r="V2852" s="710"/>
      <c r="W2852" s="819"/>
      <c r="X2852" s="819"/>
      <c r="Y2852" s="819"/>
      <c r="Z2852" s="819"/>
      <c r="AA2852" s="710"/>
      <c r="AB2852" s="710"/>
      <c r="AC2852" s="710"/>
      <c r="AD2852" s="710"/>
      <c r="AE2852" s="710"/>
      <c r="AF2852" s="710"/>
      <c r="AG2852" s="710"/>
      <c r="AH2852" s="710"/>
      <c r="AI2852" s="710"/>
      <c r="AJ2852" s="710"/>
      <c r="AK2852" s="710"/>
      <c r="AL2852" s="710"/>
      <c r="AM2852" s="710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</row>
    <row r="2853" spans="1:60">
      <c r="B2853" s="895">
        <v>4</v>
      </c>
      <c r="C2853" s="1050" t="s">
        <v>901</v>
      </c>
      <c r="D2853" s="12" t="s">
        <v>5933</v>
      </c>
      <c r="E2853" s="12" t="s">
        <v>5934</v>
      </c>
      <c r="F2853" s="749">
        <v>1</v>
      </c>
      <c r="G2853" s="3" t="s">
        <v>60</v>
      </c>
      <c r="H2853" s="3" t="s">
        <v>60</v>
      </c>
      <c r="I2853" s="786">
        <v>107.48</v>
      </c>
      <c r="J2853" s="786">
        <v>64.010000000000005</v>
      </c>
      <c r="K2853" s="3" t="s">
        <v>2272</v>
      </c>
      <c r="L2853" s="761">
        <v>45021</v>
      </c>
      <c r="M2853" s="3" t="s">
        <v>2272</v>
      </c>
      <c r="N2853" s="761">
        <v>45021</v>
      </c>
      <c r="O2853" s="761" t="s">
        <v>62</v>
      </c>
      <c r="P2853" s="882">
        <v>4.38</v>
      </c>
      <c r="Q2853" s="882">
        <v>4.41</v>
      </c>
      <c r="R2853" s="3" t="s">
        <v>905</v>
      </c>
      <c r="S2853" s="3" t="s">
        <v>1757</v>
      </c>
      <c r="T2853" s="786">
        <v>116.74</v>
      </c>
      <c r="U2853" s="786">
        <v>69.540000000000006</v>
      </c>
      <c r="V2853" s="4" t="s">
        <v>2272</v>
      </c>
      <c r="W2853" s="761">
        <v>45021</v>
      </c>
      <c r="X2853" s="761" t="s">
        <v>2272</v>
      </c>
      <c r="Y2853" s="761">
        <v>45021</v>
      </c>
      <c r="Z2853" s="761" t="s">
        <v>62</v>
      </c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</row>
    <row r="2854" spans="1:60" s="707" customFormat="1">
      <c r="A2854"/>
      <c r="B2854" s="976" t="s">
        <v>13</v>
      </c>
      <c r="C2854" s="807" t="s">
        <v>1761</v>
      </c>
      <c r="D2854" s="807"/>
      <c r="E2854" s="807"/>
      <c r="F2854" s="808"/>
      <c r="G2854" s="807"/>
      <c r="H2854" s="807"/>
      <c r="I2854" s="807"/>
      <c r="J2854" s="820"/>
      <c r="K2854" s="807"/>
      <c r="L2854" s="807"/>
      <c r="M2854" s="819"/>
      <c r="N2854" s="819"/>
      <c r="O2854" s="819"/>
      <c r="P2854" s="807"/>
      <c r="Q2854" s="807"/>
      <c r="R2854" s="807"/>
      <c r="S2854" s="807"/>
      <c r="T2854" s="807"/>
      <c r="U2854" s="807"/>
      <c r="V2854" s="710"/>
      <c r="W2854" s="819"/>
      <c r="X2854" s="819"/>
      <c r="Y2854" s="819"/>
      <c r="Z2854" s="819"/>
      <c r="AA2854" s="710"/>
      <c r="AB2854" s="710"/>
      <c r="AC2854" s="710"/>
      <c r="AD2854" s="710"/>
      <c r="AE2854" s="710"/>
      <c r="AF2854" s="710"/>
      <c r="AG2854" s="710"/>
      <c r="AH2854" s="710"/>
      <c r="AI2854" s="710"/>
      <c r="AJ2854" s="710"/>
      <c r="AK2854" s="710"/>
      <c r="AL2854" s="710"/>
      <c r="AM2854" s="710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</row>
    <row r="2855" spans="1:60">
      <c r="B2855" s="895">
        <v>8</v>
      </c>
      <c r="C2855" s="1050" t="s">
        <v>901</v>
      </c>
      <c r="D2855" s="12" t="s">
        <v>5935</v>
      </c>
      <c r="E2855" s="12" t="s">
        <v>5936</v>
      </c>
      <c r="F2855" s="749">
        <v>1</v>
      </c>
      <c r="G2855" s="3" t="s">
        <v>60</v>
      </c>
      <c r="H2855" s="3" t="s">
        <v>60</v>
      </c>
      <c r="I2855" s="786">
        <v>106.82</v>
      </c>
      <c r="J2855" s="786">
        <v>63.66</v>
      </c>
      <c r="K2855" s="3" t="s">
        <v>2556</v>
      </c>
      <c r="L2855" s="761">
        <v>45153</v>
      </c>
      <c r="M2855" s="3" t="s">
        <v>2556</v>
      </c>
      <c r="N2855" s="761">
        <v>45153</v>
      </c>
      <c r="O2855" s="761" t="s">
        <v>62</v>
      </c>
      <c r="P2855" s="1058">
        <v>4.34</v>
      </c>
      <c r="Q2855" s="1058">
        <v>4.04</v>
      </c>
      <c r="R2855" s="3" t="s">
        <v>905</v>
      </c>
      <c r="S2855" s="3" t="s">
        <v>1757</v>
      </c>
      <c r="T2855" s="786">
        <v>116.25</v>
      </c>
      <c r="U2855" s="786">
        <v>69.28</v>
      </c>
      <c r="V2855" s="4" t="s">
        <v>2556</v>
      </c>
      <c r="W2855" s="761">
        <v>45154</v>
      </c>
      <c r="X2855" s="3" t="s">
        <v>2556</v>
      </c>
      <c r="Y2855" s="761">
        <v>45154</v>
      </c>
      <c r="Z2855" s="761" t="s">
        <v>62</v>
      </c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</row>
    <row r="2856" spans="1:60" s="707" customFormat="1">
      <c r="A2856"/>
      <c r="B2856" s="976" t="s">
        <v>13</v>
      </c>
      <c r="C2856" s="807" t="s">
        <v>1899</v>
      </c>
      <c r="D2856" s="807"/>
      <c r="E2856" s="807"/>
      <c r="F2856" s="808"/>
      <c r="G2856" s="807"/>
      <c r="H2856" s="807"/>
      <c r="I2856" s="807"/>
      <c r="J2856" s="820"/>
      <c r="K2856" s="807"/>
      <c r="L2856" s="807"/>
      <c r="M2856" s="819"/>
      <c r="N2856" s="819"/>
      <c r="O2856" s="819"/>
      <c r="P2856" s="9"/>
      <c r="Q2856" s="9"/>
      <c r="R2856" s="807"/>
      <c r="S2856" s="807"/>
      <c r="T2856" s="807"/>
      <c r="U2856" s="807"/>
      <c r="V2856" s="710"/>
      <c r="W2856" s="819"/>
      <c r="X2856" s="819"/>
      <c r="Y2856" s="819"/>
      <c r="Z2856" s="819"/>
      <c r="AA2856" s="710"/>
      <c r="AB2856" s="710"/>
      <c r="AC2856" s="710"/>
      <c r="AD2856" s="710"/>
      <c r="AE2856" s="710"/>
      <c r="AF2856" s="710"/>
      <c r="AG2856" s="710"/>
      <c r="AH2856" s="710"/>
      <c r="AI2856" s="710"/>
      <c r="AJ2856" s="710"/>
      <c r="AK2856" s="710"/>
      <c r="AL2856" s="710"/>
      <c r="AM2856" s="710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</row>
    <row r="2857" spans="1:60" s="707" customFormat="1">
      <c r="A2857"/>
      <c r="B2857" s="975">
        <v>10</v>
      </c>
      <c r="C2857" s="1050" t="s">
        <v>901</v>
      </c>
      <c r="D2857" s="3">
        <v>200103736</v>
      </c>
      <c r="E2857" s="3">
        <v>101683</v>
      </c>
      <c r="F2857" s="749">
        <v>1</v>
      </c>
      <c r="G2857" s="3" t="s">
        <v>128</v>
      </c>
      <c r="H2857" s="3" t="s">
        <v>128</v>
      </c>
      <c r="I2857" s="786">
        <v>108</v>
      </c>
      <c r="J2857" s="786">
        <v>63.95</v>
      </c>
      <c r="K2857" s="3" t="s">
        <v>2716</v>
      </c>
      <c r="L2857" s="761">
        <v>45211</v>
      </c>
      <c r="M2857" s="3" t="s">
        <v>2716</v>
      </c>
      <c r="N2857" s="761">
        <v>45211</v>
      </c>
      <c r="O2857" s="761" t="s">
        <v>62</v>
      </c>
      <c r="P2857" s="3">
        <v>4.5</v>
      </c>
      <c r="Q2857" s="3">
        <v>4.1900000000000004</v>
      </c>
      <c r="R2857" s="3" t="s">
        <v>905</v>
      </c>
      <c r="S2857" s="3" t="s">
        <v>1757</v>
      </c>
      <c r="T2857" s="762">
        <v>117.29</v>
      </c>
      <c r="U2857" s="762">
        <v>69.63</v>
      </c>
      <c r="V2857" s="4" t="s">
        <v>2698</v>
      </c>
      <c r="W2857" s="761">
        <v>45212</v>
      </c>
      <c r="X2857" s="4" t="s">
        <v>2698</v>
      </c>
      <c r="Y2857" s="761">
        <v>45212</v>
      </c>
      <c r="Z2857" s="761" t="s">
        <v>62</v>
      </c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</row>
    <row r="2858" spans="1:60" s="707" customFormat="1">
      <c r="A2858"/>
      <c r="B2858" s="976"/>
      <c r="C2858" s="807" t="s">
        <v>1756</v>
      </c>
      <c r="D2858" s="807"/>
      <c r="E2858" s="807"/>
      <c r="F2858" s="808"/>
      <c r="G2858" s="807"/>
      <c r="H2858" s="807"/>
      <c r="I2858" s="807"/>
      <c r="J2858" s="820"/>
      <c r="K2858" s="807"/>
      <c r="L2858" s="807"/>
      <c r="M2858" s="819"/>
      <c r="N2858" s="819"/>
      <c r="O2858" s="819"/>
      <c r="P2858" s="9"/>
      <c r="Q2858" s="9"/>
      <c r="R2858" s="807"/>
      <c r="S2858" s="807"/>
      <c r="T2858" s="807"/>
      <c r="U2858" s="807"/>
      <c r="V2858" s="710"/>
      <c r="W2858" s="819"/>
      <c r="X2858" s="819"/>
      <c r="Y2858" s="819"/>
      <c r="Z2858" s="819"/>
      <c r="AA2858" s="710"/>
      <c r="AB2858" s="710"/>
      <c r="AC2858" s="710"/>
      <c r="AD2858" s="710"/>
      <c r="AE2858" s="710"/>
      <c r="AF2858" s="710"/>
      <c r="AG2858" s="710"/>
      <c r="AH2858" s="710"/>
      <c r="AI2858" s="710"/>
      <c r="AJ2858" s="710"/>
      <c r="AK2858" s="710"/>
      <c r="AL2858" s="710"/>
      <c r="AM2858" s="710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</row>
    <row r="2859" spans="1:60" s="707" customFormat="1">
      <c r="A2859"/>
      <c r="B2859" s="975">
        <v>11</v>
      </c>
      <c r="C2859" s="1050" t="s">
        <v>901</v>
      </c>
      <c r="D2859" s="3">
        <v>200103861</v>
      </c>
      <c r="E2859" s="3">
        <v>110143</v>
      </c>
      <c r="F2859" s="749">
        <v>1</v>
      </c>
      <c r="G2859" s="3" t="s">
        <v>128</v>
      </c>
      <c r="H2859" s="3" t="s">
        <v>128</v>
      </c>
      <c r="I2859" s="786">
        <v>108.96</v>
      </c>
      <c r="J2859" s="786">
        <v>64.11</v>
      </c>
      <c r="K2859" s="3" t="s">
        <v>2716</v>
      </c>
      <c r="L2859" s="761">
        <v>45211</v>
      </c>
      <c r="M2859" s="3" t="s">
        <v>2716</v>
      </c>
      <c r="N2859" s="761">
        <v>45211</v>
      </c>
      <c r="O2859" s="761" t="s">
        <v>62</v>
      </c>
      <c r="P2859" s="3">
        <v>4.45</v>
      </c>
      <c r="Q2859" s="3">
        <v>4.1100000000000003</v>
      </c>
      <c r="R2859" s="3" t="s">
        <v>905</v>
      </c>
      <c r="S2859" s="3" t="s">
        <v>1757</v>
      </c>
      <c r="T2859" s="786">
        <v>118.29</v>
      </c>
      <c r="U2859" s="786">
        <v>69.739999999999995</v>
      </c>
      <c r="V2859" s="4" t="s">
        <v>2698</v>
      </c>
      <c r="W2859" s="761">
        <v>45212</v>
      </c>
      <c r="X2859" s="4" t="s">
        <v>2698</v>
      </c>
      <c r="Y2859" s="761">
        <v>45212</v>
      </c>
      <c r="Z2859" s="761" t="s">
        <v>62</v>
      </c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</row>
    <row r="2860" spans="1:60" s="707" customFormat="1">
      <c r="A2860"/>
      <c r="B2860" s="976"/>
      <c r="C2860" s="807" t="s">
        <v>1710</v>
      </c>
      <c r="D2860" s="807"/>
      <c r="E2860" s="807"/>
      <c r="F2860" s="808"/>
      <c r="G2860" s="807"/>
      <c r="H2860" s="807"/>
      <c r="I2860" s="807"/>
      <c r="J2860" s="820"/>
      <c r="K2860" s="807"/>
      <c r="L2860" s="807"/>
      <c r="M2860" s="819"/>
      <c r="N2860" s="819"/>
      <c r="O2860" s="819"/>
      <c r="P2860" s="9"/>
      <c r="Q2860" s="9"/>
      <c r="R2860" s="807"/>
      <c r="S2860" s="807"/>
      <c r="T2860" s="807"/>
      <c r="U2860" s="807"/>
      <c r="V2860" s="710"/>
      <c r="W2860" s="819"/>
      <c r="X2860" s="819"/>
      <c r="Y2860" s="819"/>
      <c r="Z2860" s="819"/>
      <c r="AA2860" s="710"/>
      <c r="AB2860" s="710"/>
      <c r="AC2860" s="710"/>
      <c r="AD2860" s="710"/>
      <c r="AE2860" s="710"/>
      <c r="AF2860" s="710"/>
      <c r="AG2860" s="710"/>
      <c r="AH2860" s="710"/>
      <c r="AI2860" s="710"/>
      <c r="AJ2860" s="710"/>
      <c r="AK2860" s="710"/>
      <c r="AL2860" s="710"/>
      <c r="AM2860" s="71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</row>
    <row r="2861" spans="1:60" s="707" customFormat="1">
      <c r="A2861"/>
      <c r="B2861" s="975">
        <v>12</v>
      </c>
      <c r="C2861" s="1050" t="s">
        <v>901</v>
      </c>
      <c r="D2861" s="3">
        <v>200104213</v>
      </c>
      <c r="E2861" s="3">
        <v>120213</v>
      </c>
      <c r="F2861" s="749">
        <v>1</v>
      </c>
      <c r="G2861" s="3" t="s">
        <v>60</v>
      </c>
      <c r="H2861" s="3" t="s">
        <v>60</v>
      </c>
      <c r="I2861" s="762">
        <v>107.63</v>
      </c>
      <c r="J2861" s="786">
        <v>64.569999999999993</v>
      </c>
      <c r="K2861" s="3" t="s">
        <v>2067</v>
      </c>
      <c r="L2861" s="761">
        <v>45274</v>
      </c>
      <c r="M2861" s="3" t="s">
        <v>1710</v>
      </c>
      <c r="N2861" s="761">
        <v>45273</v>
      </c>
      <c r="O2861" s="761" t="s">
        <v>62</v>
      </c>
      <c r="P2861" s="764">
        <v>4.4000000000000004</v>
      </c>
      <c r="Q2861" s="882">
        <v>4.43</v>
      </c>
      <c r="R2861" s="3" t="s">
        <v>905</v>
      </c>
      <c r="S2861" s="3" t="s">
        <v>905</v>
      </c>
      <c r="T2861" s="762">
        <v>117.11</v>
      </c>
      <c r="U2861" s="762">
        <v>70.17</v>
      </c>
      <c r="V2861" s="4" t="s">
        <v>2067</v>
      </c>
      <c r="W2861" s="761">
        <v>45274</v>
      </c>
      <c r="X2861" s="4" t="s">
        <v>2067</v>
      </c>
      <c r="Y2861" s="761">
        <v>45274</v>
      </c>
      <c r="Z2861" s="761" t="s">
        <v>62</v>
      </c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</row>
    <row r="2862" spans="1:60" s="707" customFormat="1" ht="28.05" customHeight="1">
      <c r="A2862"/>
      <c r="B2862" s="976"/>
      <c r="C2862" s="1051">
        <v>2024</v>
      </c>
      <c r="D2862" s="807"/>
      <c r="E2862" s="807"/>
      <c r="F2862" s="808"/>
      <c r="G2862" s="807"/>
      <c r="H2862" s="807"/>
      <c r="I2862" s="807"/>
      <c r="J2862" s="820"/>
      <c r="K2862" s="807"/>
      <c r="L2862" s="807"/>
      <c r="M2862" s="819"/>
      <c r="N2862" s="819"/>
      <c r="O2862" s="819"/>
      <c r="P2862" s="9"/>
      <c r="Q2862" s="9"/>
      <c r="R2862" s="807"/>
      <c r="S2862" s="807"/>
      <c r="T2862" s="807"/>
      <c r="U2862" s="807"/>
      <c r="V2862" s="710"/>
      <c r="W2862" s="819"/>
      <c r="X2862" s="819"/>
      <c r="Y2862" s="819"/>
      <c r="Z2862" s="819"/>
      <c r="AA2862" s="710"/>
      <c r="AB2862" s="710"/>
      <c r="AC2862" s="710"/>
      <c r="AD2862" s="710"/>
      <c r="AE2862" s="710"/>
      <c r="AF2862" s="710"/>
      <c r="AG2862" s="710"/>
      <c r="AH2862" s="710"/>
      <c r="AI2862" s="710"/>
      <c r="AJ2862" s="710"/>
      <c r="AK2862" s="710"/>
      <c r="AL2862" s="710"/>
      <c r="AM2862" s="710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</row>
    <row r="2863" spans="1:60" s="707" customFormat="1">
      <c r="A2863"/>
      <c r="B2863" s="1499" t="s">
        <v>125</v>
      </c>
      <c r="C2863" s="1050" t="s">
        <v>901</v>
      </c>
      <c r="D2863" s="3">
        <v>200104443</v>
      </c>
      <c r="E2863" s="1469" t="s">
        <v>904</v>
      </c>
      <c r="F2863" s="749">
        <v>2</v>
      </c>
      <c r="G2863" s="3" t="s">
        <v>60</v>
      </c>
      <c r="H2863" s="3" t="s">
        <v>60</v>
      </c>
      <c r="I2863" s="762">
        <v>108.08</v>
      </c>
      <c r="J2863" s="786">
        <v>64.3</v>
      </c>
      <c r="K2863" s="3" t="s">
        <v>2067</v>
      </c>
      <c r="L2863" s="890">
        <v>45274</v>
      </c>
      <c r="M2863" s="890" t="s">
        <v>1710</v>
      </c>
      <c r="N2863" s="890">
        <v>45273</v>
      </c>
      <c r="O2863" s="761" t="s">
        <v>62</v>
      </c>
      <c r="P2863" s="764">
        <v>4.3899999999999997</v>
      </c>
      <c r="Q2863" s="882">
        <v>4.41</v>
      </c>
      <c r="R2863" s="3" t="s">
        <v>905</v>
      </c>
      <c r="S2863" s="3" t="s">
        <v>905</v>
      </c>
      <c r="T2863" s="762">
        <v>117.6</v>
      </c>
      <c r="U2863" s="762">
        <v>70</v>
      </c>
      <c r="V2863" s="4" t="s">
        <v>2067</v>
      </c>
      <c r="W2863" s="890">
        <v>45274</v>
      </c>
      <c r="X2863" s="4" t="s">
        <v>2067</v>
      </c>
      <c r="Y2863" s="892">
        <v>45274</v>
      </c>
      <c r="Z2863" s="761" t="s">
        <v>62</v>
      </c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</row>
    <row r="2864" spans="1:60" s="707" customFormat="1" ht="15" customHeight="1">
      <c r="A2864"/>
      <c r="B2864" s="976"/>
      <c r="C2864" s="1052" t="s">
        <v>3316</v>
      </c>
      <c r="D2864" s="807"/>
      <c r="E2864" s="807"/>
      <c r="F2864" s="808"/>
      <c r="G2864" s="807"/>
      <c r="H2864" s="807"/>
      <c r="I2864" s="807"/>
      <c r="J2864" s="820"/>
      <c r="K2864" s="807"/>
      <c r="L2864" s="807"/>
      <c r="M2864" s="819"/>
      <c r="N2864" s="819"/>
      <c r="O2864" s="819"/>
      <c r="P2864" s="9"/>
      <c r="Q2864" s="9"/>
      <c r="R2864" s="807"/>
      <c r="S2864" s="807"/>
      <c r="T2864" s="807"/>
      <c r="U2864" s="807"/>
      <c r="V2864" s="710"/>
      <c r="W2864" s="974"/>
      <c r="X2864" s="819"/>
      <c r="Y2864" s="961"/>
      <c r="Z2864" s="819"/>
      <c r="AA2864" s="710"/>
      <c r="AB2864" s="710"/>
      <c r="AC2864" s="710"/>
      <c r="AD2864" s="710"/>
      <c r="AE2864" s="710"/>
      <c r="AF2864" s="710"/>
      <c r="AG2864" s="710"/>
      <c r="AH2864" s="710"/>
      <c r="AI2864" s="710"/>
      <c r="AJ2864" s="710"/>
      <c r="AK2864" s="710"/>
      <c r="AL2864" s="710"/>
      <c r="AM2864" s="710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</row>
    <row r="2865" spans="1:60" s="707" customFormat="1" ht="18" customHeight="1">
      <c r="A2865"/>
      <c r="B2865" s="1499" t="s">
        <v>213</v>
      </c>
      <c r="C2865" s="1050" t="s">
        <v>901</v>
      </c>
      <c r="D2865" s="3">
        <v>200105088</v>
      </c>
      <c r="E2865" s="1469" t="s">
        <v>906</v>
      </c>
      <c r="F2865" s="749">
        <v>1</v>
      </c>
      <c r="G2865" s="3" t="s">
        <v>60</v>
      </c>
      <c r="H2865" s="3" t="s">
        <v>60</v>
      </c>
      <c r="I2865" s="3">
        <v>107.6</v>
      </c>
      <c r="J2865" s="3">
        <v>65.650000000000006</v>
      </c>
      <c r="K2865" s="3" t="s">
        <v>1716</v>
      </c>
      <c r="L2865" s="890">
        <v>45358</v>
      </c>
      <c r="M2865" s="890" t="s">
        <v>1716</v>
      </c>
      <c r="N2865" s="890">
        <v>45358</v>
      </c>
      <c r="O2865" s="761" t="s">
        <v>62</v>
      </c>
      <c r="P2865" s="3">
        <v>4.4000000000000004</v>
      </c>
      <c r="Q2865" s="3">
        <v>4.3899999999999997</v>
      </c>
      <c r="R2865" s="3" t="s">
        <v>905</v>
      </c>
      <c r="S2865" s="3" t="s">
        <v>905</v>
      </c>
      <c r="T2865" s="762">
        <v>117.01</v>
      </c>
      <c r="U2865" s="762">
        <v>68.27</v>
      </c>
      <c r="V2865" s="4" t="s">
        <v>1716</v>
      </c>
      <c r="W2865" s="890">
        <v>45359</v>
      </c>
      <c r="X2865" s="4" t="s">
        <v>1716</v>
      </c>
      <c r="Y2865" s="892">
        <v>45359</v>
      </c>
      <c r="Z2865" s="761" t="s">
        <v>62</v>
      </c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</row>
    <row r="2866" spans="1:60" s="707" customFormat="1" ht="15" customHeight="1">
      <c r="A2866"/>
      <c r="B2866" s="976"/>
      <c r="C2866" s="1052" t="s">
        <v>3316</v>
      </c>
      <c r="D2866" s="807"/>
      <c r="E2866" s="807"/>
      <c r="F2866" s="808"/>
      <c r="G2866" s="807"/>
      <c r="H2866" s="807"/>
      <c r="I2866" s="807"/>
      <c r="J2866" s="820"/>
      <c r="K2866" s="807"/>
      <c r="L2866" s="974"/>
      <c r="M2866" s="974"/>
      <c r="N2866" s="974"/>
      <c r="O2866" s="819"/>
      <c r="P2866" s="9"/>
      <c r="Q2866" s="9"/>
      <c r="R2866" s="807"/>
      <c r="S2866" s="807"/>
      <c r="T2866" s="807"/>
      <c r="U2866" s="807"/>
      <c r="V2866" s="710"/>
      <c r="W2866" s="974"/>
      <c r="X2866" s="819"/>
      <c r="Y2866" s="961"/>
      <c r="Z2866" s="819"/>
      <c r="AA2866" s="710"/>
      <c r="AB2866" s="710"/>
      <c r="AC2866" s="710"/>
      <c r="AD2866" s="710"/>
      <c r="AE2866" s="710"/>
      <c r="AF2866" s="710"/>
      <c r="AG2866" s="710"/>
      <c r="AH2866" s="710"/>
      <c r="AI2866" s="710"/>
      <c r="AJ2866" s="710"/>
      <c r="AK2866" s="710"/>
      <c r="AL2866" s="710"/>
      <c r="AM2866" s="710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</row>
    <row r="2867" spans="1:60" s="707" customFormat="1" ht="18" customHeight="1">
      <c r="A2867"/>
      <c r="B2867" s="975" t="s">
        <v>100</v>
      </c>
      <c r="C2867" s="1050" t="s">
        <v>901</v>
      </c>
      <c r="D2867" s="3">
        <v>200106944</v>
      </c>
      <c r="E2867" s="1469" t="s">
        <v>907</v>
      </c>
      <c r="F2867" s="749">
        <v>1</v>
      </c>
      <c r="G2867" s="3" t="s">
        <v>60</v>
      </c>
      <c r="H2867" s="3" t="s">
        <v>60</v>
      </c>
      <c r="I2867" s="858">
        <v>106.6</v>
      </c>
      <c r="J2867" s="858">
        <v>64.53</v>
      </c>
      <c r="K2867" s="3" t="s">
        <v>2556</v>
      </c>
      <c r="L2867" s="890">
        <v>45510</v>
      </c>
      <c r="M2867" s="890" t="s">
        <v>2556</v>
      </c>
      <c r="N2867" s="890">
        <v>45510</v>
      </c>
      <c r="O2867" s="761" t="s">
        <v>62</v>
      </c>
      <c r="P2867" s="1059">
        <v>4.2699999999999996</v>
      </c>
      <c r="Q2867" s="1059">
        <v>4.07</v>
      </c>
      <c r="R2867" s="3" t="s">
        <v>905</v>
      </c>
      <c r="S2867" s="3" t="s">
        <v>905</v>
      </c>
      <c r="T2867" s="858">
        <v>116.11</v>
      </c>
      <c r="U2867" s="858">
        <v>70.099999999999994</v>
      </c>
      <c r="V2867" s="4" t="s">
        <v>2556</v>
      </c>
      <c r="W2867" s="890">
        <v>45511</v>
      </c>
      <c r="X2867" s="4" t="s">
        <v>2556</v>
      </c>
      <c r="Y2867" s="892">
        <v>45511</v>
      </c>
      <c r="Z2867" s="761" t="s">
        <v>62</v>
      </c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</row>
    <row r="2868" spans="1:60" s="707" customFormat="1" ht="18" customHeight="1">
      <c r="A2868"/>
      <c r="B2868" s="975" t="s">
        <v>100</v>
      </c>
      <c r="C2868" s="1050" t="s">
        <v>901</v>
      </c>
      <c r="D2868" s="3">
        <v>200106945</v>
      </c>
      <c r="E2868" s="1469" t="s">
        <v>908</v>
      </c>
      <c r="F2868" s="749">
        <v>2</v>
      </c>
      <c r="G2868" s="3" t="s">
        <v>60</v>
      </c>
      <c r="H2868" s="3" t="s">
        <v>60</v>
      </c>
      <c r="I2868" s="858">
        <f>60.55+46.66</f>
        <v>107.21</v>
      </c>
      <c r="J2868" s="858">
        <v>64.02</v>
      </c>
      <c r="K2868" s="3" t="s">
        <v>2556</v>
      </c>
      <c r="L2868" s="890">
        <v>45511</v>
      </c>
      <c r="M2868" s="890" t="s">
        <v>2556</v>
      </c>
      <c r="N2868" s="890">
        <v>45510</v>
      </c>
      <c r="O2868" s="761" t="s">
        <v>62</v>
      </c>
      <c r="P2868" s="1044">
        <v>4.3899999999999997</v>
      </c>
      <c r="Q2868" s="1059">
        <v>4.29</v>
      </c>
      <c r="R2868" s="3" t="s">
        <v>905</v>
      </c>
      <c r="S2868" s="3" t="s">
        <v>905</v>
      </c>
      <c r="T2868" s="858">
        <v>116.63</v>
      </c>
      <c r="U2868" s="858">
        <v>69.599999999999994</v>
      </c>
      <c r="V2868" s="4" t="s">
        <v>2556</v>
      </c>
      <c r="W2868" s="890">
        <v>45511</v>
      </c>
      <c r="X2868" s="4" t="s">
        <v>2556</v>
      </c>
      <c r="Y2868" s="892">
        <v>45511</v>
      </c>
      <c r="Z2868" s="761" t="s">
        <v>62</v>
      </c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</row>
    <row r="2869" spans="1:60" s="707" customFormat="1" ht="25.05" customHeight="1">
      <c r="A2869"/>
      <c r="B2869" s="797"/>
      <c r="C2869" s="1053" t="s">
        <v>5937</v>
      </c>
      <c r="D2869" s="875"/>
      <c r="E2869" s="874"/>
      <c r="F2869" s="808"/>
      <c r="G2869" s="807"/>
      <c r="H2869" s="807"/>
      <c r="I2869" s="807"/>
      <c r="J2869" s="807"/>
      <c r="K2869" s="807"/>
      <c r="L2869" s="819"/>
      <c r="M2869" s="819"/>
      <c r="N2869" s="819"/>
      <c r="O2869" s="819"/>
      <c r="P2869" s="820"/>
      <c r="Q2869" s="807"/>
      <c r="R2869" s="807"/>
      <c r="S2869" s="807"/>
      <c r="T2869" s="807"/>
      <c r="U2869" s="807"/>
      <c r="V2869" s="710"/>
      <c r="W2869" s="819"/>
      <c r="X2869" s="819"/>
      <c r="Y2869" s="819"/>
      <c r="Z2869" s="819"/>
      <c r="AA2869" s="710"/>
      <c r="AB2869" s="710"/>
      <c r="AC2869" s="710"/>
      <c r="AD2869" s="710"/>
      <c r="AE2869" s="710"/>
      <c r="AF2869" s="710"/>
      <c r="AG2869" s="710"/>
      <c r="AH2869" s="710"/>
      <c r="AI2869" s="710"/>
      <c r="AJ2869" s="710"/>
      <c r="AK2869" s="710"/>
      <c r="AL2869" s="710"/>
      <c r="AM2869" s="710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</row>
    <row r="2870" spans="1:60">
      <c r="B2870" s="895">
        <v>12</v>
      </c>
      <c r="C2870" s="3" t="s">
        <v>5937</v>
      </c>
      <c r="D2870" s="12" t="s">
        <v>5938</v>
      </c>
      <c r="E2870" s="11" t="s">
        <v>5939</v>
      </c>
      <c r="F2870" s="749">
        <v>1</v>
      </c>
      <c r="G2870" s="3" t="s">
        <v>932</v>
      </c>
      <c r="H2870" s="3"/>
      <c r="I2870" s="3">
        <v>140.30000000000001</v>
      </c>
      <c r="J2870" s="3"/>
      <c r="K2870" s="3" t="str">
        <f t="shared" ref="K2870:K2884" si="47">TEXT(L2870,"mmmm")</f>
        <v>December</v>
      </c>
      <c r="L2870" s="761">
        <v>44531</v>
      </c>
      <c r="M2870" s="761"/>
      <c r="N2870" s="761"/>
      <c r="O2870" s="761" t="s">
        <v>62</v>
      </c>
      <c r="P2870" s="762"/>
      <c r="Q2870" s="3"/>
      <c r="R2870" s="3" t="s">
        <v>1757</v>
      </c>
      <c r="S2870" s="3" t="s">
        <v>1757</v>
      </c>
      <c r="T2870" s="3">
        <v>152.30000000000001</v>
      </c>
      <c r="U2870" s="3">
        <v>102.8</v>
      </c>
      <c r="V2870" s="4"/>
      <c r="W2870" s="761">
        <v>44532</v>
      </c>
      <c r="X2870" s="761"/>
      <c r="Y2870" s="761">
        <v>44533</v>
      </c>
      <c r="Z2870" s="761" t="s">
        <v>62</v>
      </c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</row>
    <row r="2871" spans="1:60">
      <c r="B2871" s="895">
        <v>12</v>
      </c>
      <c r="C2871" s="3" t="s">
        <v>5937</v>
      </c>
      <c r="D2871" s="12" t="s">
        <v>5940</v>
      </c>
      <c r="E2871" s="11" t="s">
        <v>5941</v>
      </c>
      <c r="F2871" s="749">
        <v>2</v>
      </c>
      <c r="G2871" s="3" t="s">
        <v>932</v>
      </c>
      <c r="H2871" s="3"/>
      <c r="I2871" s="3">
        <v>139.94</v>
      </c>
      <c r="J2871" s="3"/>
      <c r="K2871" s="3" t="str">
        <f t="shared" si="47"/>
        <v>December</v>
      </c>
      <c r="L2871" s="761">
        <v>44532</v>
      </c>
      <c r="M2871" s="761"/>
      <c r="N2871" s="761"/>
      <c r="O2871" s="761" t="s">
        <v>62</v>
      </c>
      <c r="P2871" s="762"/>
      <c r="Q2871" s="3"/>
      <c r="R2871" s="3" t="s">
        <v>1757</v>
      </c>
      <c r="S2871" s="3" t="s">
        <v>1757</v>
      </c>
      <c r="T2871" s="3">
        <v>152.80000000000001</v>
      </c>
      <c r="U2871" s="3">
        <v>102.9</v>
      </c>
      <c r="V2871" s="4"/>
      <c r="W2871" s="761">
        <v>44532</v>
      </c>
      <c r="X2871" s="761"/>
      <c r="Y2871" s="761">
        <v>44533</v>
      </c>
      <c r="Z2871" s="761" t="s">
        <v>62</v>
      </c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</row>
    <row r="2872" spans="1:60">
      <c r="B2872" s="895">
        <v>12</v>
      </c>
      <c r="C2872" s="3" t="s">
        <v>5937</v>
      </c>
      <c r="D2872" s="12" t="s">
        <v>5942</v>
      </c>
      <c r="E2872" s="11" t="s">
        <v>5943</v>
      </c>
      <c r="F2872" s="749">
        <v>3</v>
      </c>
      <c r="G2872" s="3" t="s">
        <v>1041</v>
      </c>
      <c r="H2872" s="3"/>
      <c r="I2872" s="3">
        <v>139.68</v>
      </c>
      <c r="J2872" s="3"/>
      <c r="K2872" s="3" t="str">
        <f t="shared" si="47"/>
        <v>December</v>
      </c>
      <c r="L2872" s="761">
        <v>44536</v>
      </c>
      <c r="M2872" s="761"/>
      <c r="N2872" s="761"/>
      <c r="O2872" s="761" t="s">
        <v>62</v>
      </c>
      <c r="P2872" s="762"/>
      <c r="Q2872" s="3"/>
      <c r="R2872" s="3" t="s">
        <v>1757</v>
      </c>
      <c r="S2872" s="3" t="s">
        <v>1757</v>
      </c>
      <c r="T2872" s="3">
        <v>152</v>
      </c>
      <c r="U2872" s="3">
        <v>102.8</v>
      </c>
      <c r="V2872" s="4"/>
      <c r="W2872" s="761">
        <v>44536</v>
      </c>
      <c r="X2872" s="761"/>
      <c r="Y2872" s="761">
        <v>44533</v>
      </c>
      <c r="Z2872" s="761" t="s">
        <v>62</v>
      </c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</row>
    <row r="2873" spans="1:60">
      <c r="B2873" s="895">
        <v>12</v>
      </c>
      <c r="C2873" s="3" t="s">
        <v>5937</v>
      </c>
      <c r="D2873" s="12" t="s">
        <v>5944</v>
      </c>
      <c r="E2873" s="11" t="s">
        <v>5945</v>
      </c>
      <c r="F2873" s="749">
        <v>4</v>
      </c>
      <c r="G2873" s="3" t="s">
        <v>1041</v>
      </c>
      <c r="H2873" s="3"/>
      <c r="I2873" s="3">
        <v>142.86000000000001</v>
      </c>
      <c r="J2873" s="3"/>
      <c r="K2873" s="3" t="str">
        <f t="shared" si="47"/>
        <v>December</v>
      </c>
      <c r="L2873" s="761">
        <v>44536</v>
      </c>
      <c r="M2873" s="761"/>
      <c r="N2873" s="761"/>
      <c r="O2873" s="761" t="s">
        <v>62</v>
      </c>
      <c r="P2873" s="762"/>
      <c r="Q2873" s="3"/>
      <c r="R2873" s="3" t="s">
        <v>1757</v>
      </c>
      <c r="S2873" s="3" t="s">
        <v>1757</v>
      </c>
      <c r="T2873" s="3">
        <v>155.4</v>
      </c>
      <c r="U2873" s="3">
        <v>102.6</v>
      </c>
      <c r="V2873" s="4"/>
      <c r="W2873" s="761">
        <v>44536</v>
      </c>
      <c r="X2873" s="761"/>
      <c r="Y2873" s="761">
        <v>44536</v>
      </c>
      <c r="Z2873" s="761" t="s">
        <v>62</v>
      </c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</row>
    <row r="2874" spans="1:60">
      <c r="B2874" s="895">
        <v>12</v>
      </c>
      <c r="C2874" s="3" t="s">
        <v>5937</v>
      </c>
      <c r="D2874" s="12" t="s">
        <v>5946</v>
      </c>
      <c r="E2874" s="11" t="s">
        <v>5947</v>
      </c>
      <c r="F2874" s="749">
        <v>5</v>
      </c>
      <c r="G2874" s="3" t="s">
        <v>1041</v>
      </c>
      <c r="H2874" s="3"/>
      <c r="I2874" s="3">
        <v>141.63999999999999</v>
      </c>
      <c r="J2874" s="3"/>
      <c r="K2874" s="3" t="str">
        <f t="shared" si="47"/>
        <v>December</v>
      </c>
      <c r="L2874" s="761">
        <v>44536</v>
      </c>
      <c r="M2874" s="761"/>
      <c r="N2874" s="761"/>
      <c r="O2874" s="761" t="s">
        <v>62</v>
      </c>
      <c r="P2874" s="762"/>
      <c r="Q2874" s="3"/>
      <c r="R2874" s="3" t="s">
        <v>1757</v>
      </c>
      <c r="S2874" s="3" t="s">
        <v>1757</v>
      </c>
      <c r="T2874" s="3">
        <v>154.04</v>
      </c>
      <c r="U2874" s="3">
        <v>102.4</v>
      </c>
      <c r="V2874" s="4"/>
      <c r="W2874" s="761">
        <v>44536</v>
      </c>
      <c r="X2874" s="761"/>
      <c r="Y2874" s="761">
        <v>44536</v>
      </c>
      <c r="Z2874" s="761" t="s">
        <v>62</v>
      </c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</row>
    <row r="2875" spans="1:60">
      <c r="B2875" s="895">
        <v>12</v>
      </c>
      <c r="C2875" s="3" t="s">
        <v>5937</v>
      </c>
      <c r="D2875" s="12" t="s">
        <v>5948</v>
      </c>
      <c r="E2875" s="11" t="s">
        <v>5949</v>
      </c>
      <c r="F2875" s="749">
        <v>6</v>
      </c>
      <c r="G2875" s="3" t="s">
        <v>1041</v>
      </c>
      <c r="H2875" s="3"/>
      <c r="I2875" s="3">
        <v>145.44</v>
      </c>
      <c r="J2875" s="3"/>
      <c r="K2875" s="3" t="str">
        <f t="shared" si="47"/>
        <v>December</v>
      </c>
      <c r="L2875" s="761">
        <v>44536</v>
      </c>
      <c r="M2875" s="761"/>
      <c r="N2875" s="761"/>
      <c r="O2875" s="761" t="s">
        <v>62</v>
      </c>
      <c r="P2875" s="762"/>
      <c r="Q2875" s="3"/>
      <c r="R2875" s="3" t="s">
        <v>1757</v>
      </c>
      <c r="S2875" s="3" t="s">
        <v>1757</v>
      </c>
      <c r="T2875" s="3">
        <v>157.80000000000001</v>
      </c>
      <c r="U2875" s="3">
        <v>102.5</v>
      </c>
      <c r="V2875" s="4"/>
      <c r="W2875" s="761">
        <v>44536</v>
      </c>
      <c r="X2875" s="761"/>
      <c r="Y2875" s="761">
        <v>44536</v>
      </c>
      <c r="Z2875" s="761" t="s">
        <v>62</v>
      </c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</row>
    <row r="2876" spans="1:60">
      <c r="B2876" s="895">
        <v>12</v>
      </c>
      <c r="C2876" s="3" t="s">
        <v>5937</v>
      </c>
      <c r="D2876" s="12" t="s">
        <v>5950</v>
      </c>
      <c r="E2876" s="11" t="s">
        <v>5951</v>
      </c>
      <c r="F2876" s="749">
        <v>7</v>
      </c>
      <c r="G2876" s="3" t="s">
        <v>932</v>
      </c>
      <c r="H2876" s="3"/>
      <c r="I2876" s="3">
        <v>141</v>
      </c>
      <c r="J2876" s="3"/>
      <c r="K2876" s="3" t="str">
        <f t="shared" si="47"/>
        <v>December</v>
      </c>
      <c r="L2876" s="761">
        <v>44537</v>
      </c>
      <c r="M2876" s="761"/>
      <c r="N2876" s="761"/>
      <c r="O2876" s="761" t="s">
        <v>62</v>
      </c>
      <c r="P2876" s="762"/>
      <c r="Q2876" s="3"/>
      <c r="R2876" s="3" t="s">
        <v>1757</v>
      </c>
      <c r="S2876" s="3" t="s">
        <v>1757</v>
      </c>
      <c r="T2876" s="3">
        <v>153.4</v>
      </c>
      <c r="U2876" s="3">
        <v>102.62</v>
      </c>
      <c r="V2876" s="4"/>
      <c r="W2876" s="761">
        <v>44537</v>
      </c>
      <c r="X2876" s="761"/>
      <c r="Y2876" s="761">
        <v>44537</v>
      </c>
      <c r="Z2876" s="761" t="s">
        <v>62</v>
      </c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</row>
    <row r="2877" spans="1:60">
      <c r="B2877" s="895">
        <v>12</v>
      </c>
      <c r="C2877" s="3" t="s">
        <v>5937</v>
      </c>
      <c r="D2877" s="12" t="s">
        <v>5952</v>
      </c>
      <c r="E2877" s="11" t="s">
        <v>5953</v>
      </c>
      <c r="F2877" s="749">
        <v>8</v>
      </c>
      <c r="G2877" s="3" t="s">
        <v>932</v>
      </c>
      <c r="H2877" s="3"/>
      <c r="I2877" s="3">
        <v>143.36000000000001</v>
      </c>
      <c r="J2877" s="3"/>
      <c r="K2877" s="3" t="str">
        <f t="shared" si="47"/>
        <v>December</v>
      </c>
      <c r="L2877" s="761">
        <v>44537</v>
      </c>
      <c r="M2877" s="761"/>
      <c r="N2877" s="761"/>
      <c r="O2877" s="761" t="s">
        <v>62</v>
      </c>
      <c r="P2877" s="762"/>
      <c r="Q2877" s="3"/>
      <c r="R2877" s="3" t="s">
        <v>1757</v>
      </c>
      <c r="S2877" s="3" t="s">
        <v>1757</v>
      </c>
      <c r="T2877" s="3">
        <v>155.6</v>
      </c>
      <c r="U2877" s="3">
        <v>102.6</v>
      </c>
      <c r="V2877" s="4"/>
      <c r="W2877" s="761">
        <v>44537</v>
      </c>
      <c r="X2877" s="761"/>
      <c r="Y2877" s="761">
        <v>44537</v>
      </c>
      <c r="Z2877" s="761" t="s">
        <v>62</v>
      </c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</row>
    <row r="2878" spans="1:60">
      <c r="B2878" s="895">
        <v>12</v>
      </c>
      <c r="C2878" s="3" t="s">
        <v>5937</v>
      </c>
      <c r="D2878" s="12" t="s">
        <v>5954</v>
      </c>
      <c r="E2878" s="11" t="s">
        <v>5955</v>
      </c>
      <c r="F2878" s="749">
        <v>9</v>
      </c>
      <c r="G2878" s="3" t="s">
        <v>932</v>
      </c>
      <c r="H2878" s="3"/>
      <c r="I2878" s="3">
        <v>143.6</v>
      </c>
      <c r="J2878" s="3"/>
      <c r="K2878" s="3" t="str">
        <f t="shared" si="47"/>
        <v>December</v>
      </c>
      <c r="L2878" s="761">
        <v>44537</v>
      </c>
      <c r="M2878" s="761"/>
      <c r="N2878" s="761"/>
      <c r="O2878" s="761" t="s">
        <v>62</v>
      </c>
      <c r="P2878" s="762"/>
      <c r="Q2878" s="3"/>
      <c r="R2878" s="3" t="s">
        <v>1757</v>
      </c>
      <c r="S2878" s="3" t="s">
        <v>1757</v>
      </c>
      <c r="T2878" s="3">
        <v>156</v>
      </c>
      <c r="U2878" s="3">
        <v>102.8</v>
      </c>
      <c r="V2878" s="4"/>
      <c r="W2878" s="761">
        <v>44537</v>
      </c>
      <c r="X2878" s="761"/>
      <c r="Y2878" s="761">
        <v>44537</v>
      </c>
      <c r="Z2878" s="761" t="s">
        <v>62</v>
      </c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</row>
    <row r="2879" spans="1:60">
      <c r="B2879" s="895">
        <v>12</v>
      </c>
      <c r="C2879" s="3" t="s">
        <v>5937</v>
      </c>
      <c r="D2879" s="12" t="s">
        <v>5956</v>
      </c>
      <c r="E2879" s="11" t="s">
        <v>5957</v>
      </c>
      <c r="F2879" s="749">
        <v>10</v>
      </c>
      <c r="G2879" s="3" t="s">
        <v>932</v>
      </c>
      <c r="H2879" s="3"/>
      <c r="I2879" s="3">
        <v>141.4</v>
      </c>
      <c r="J2879" s="3"/>
      <c r="K2879" s="3" t="str">
        <f t="shared" si="47"/>
        <v>December</v>
      </c>
      <c r="L2879" s="761">
        <v>44537</v>
      </c>
      <c r="M2879" s="761"/>
      <c r="N2879" s="761"/>
      <c r="O2879" s="761" t="s">
        <v>62</v>
      </c>
      <c r="P2879" s="762"/>
      <c r="Q2879" s="3"/>
      <c r="R2879" s="3" t="s">
        <v>1757</v>
      </c>
      <c r="S2879" s="3" t="s">
        <v>1757</v>
      </c>
      <c r="T2879" s="3">
        <v>153.80000000000001</v>
      </c>
      <c r="U2879" s="3">
        <v>102.52</v>
      </c>
      <c r="V2879" s="4"/>
      <c r="W2879" s="761">
        <v>44537</v>
      </c>
      <c r="X2879" s="761"/>
      <c r="Y2879" s="761">
        <v>44538</v>
      </c>
      <c r="Z2879" s="761" t="s">
        <v>62</v>
      </c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</row>
    <row r="2880" spans="1:60">
      <c r="B2880" s="895">
        <v>12</v>
      </c>
      <c r="C2880" s="3" t="s">
        <v>5937</v>
      </c>
      <c r="D2880" s="12" t="s">
        <v>5958</v>
      </c>
      <c r="E2880" s="11" t="s">
        <v>5959</v>
      </c>
      <c r="F2880" s="749">
        <v>11</v>
      </c>
      <c r="G2880" s="3" t="s">
        <v>932</v>
      </c>
      <c r="H2880" s="3"/>
      <c r="I2880" s="3">
        <v>144.58000000000001</v>
      </c>
      <c r="J2880" s="3"/>
      <c r="K2880" s="3" t="str">
        <f t="shared" si="47"/>
        <v>December</v>
      </c>
      <c r="L2880" s="761">
        <v>44537</v>
      </c>
      <c r="M2880" s="761"/>
      <c r="N2880" s="761"/>
      <c r="O2880" s="761" t="s">
        <v>62</v>
      </c>
      <c r="P2880" s="762"/>
      <c r="Q2880" s="3"/>
      <c r="R2880" s="3" t="s">
        <v>1757</v>
      </c>
      <c r="S2880" s="3" t="s">
        <v>1757</v>
      </c>
      <c r="T2880" s="3">
        <v>157.30000000000001</v>
      </c>
      <c r="U2880" s="3">
        <v>102.6</v>
      </c>
      <c r="V2880" s="4"/>
      <c r="W2880" s="761">
        <v>44538</v>
      </c>
      <c r="X2880" s="761"/>
      <c r="Y2880" s="761">
        <v>44538</v>
      </c>
      <c r="Z2880" s="761" t="s">
        <v>62</v>
      </c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</row>
    <row r="2881" spans="1:39">
      <c r="B2881" s="895">
        <v>12</v>
      </c>
      <c r="C2881" s="3" t="s">
        <v>5937</v>
      </c>
      <c r="D2881" s="12" t="s">
        <v>5960</v>
      </c>
      <c r="E2881" s="11" t="s">
        <v>5961</v>
      </c>
      <c r="F2881" s="749">
        <v>12</v>
      </c>
      <c r="G2881" s="3" t="s">
        <v>932</v>
      </c>
      <c r="H2881" s="3"/>
      <c r="I2881" s="3">
        <v>141.78</v>
      </c>
      <c r="J2881" s="3"/>
      <c r="K2881" s="3" t="str">
        <f t="shared" si="47"/>
        <v>December</v>
      </c>
      <c r="L2881" s="761">
        <v>44537</v>
      </c>
      <c r="M2881" s="761"/>
      <c r="N2881" s="761"/>
      <c r="O2881" s="761" t="s">
        <v>62</v>
      </c>
      <c r="P2881" s="762"/>
      <c r="Q2881" s="3"/>
      <c r="R2881" s="3" t="s">
        <v>1757</v>
      </c>
      <c r="S2881" s="3" t="s">
        <v>1757</v>
      </c>
      <c r="T2881" s="3">
        <v>156.80000000000001</v>
      </c>
      <c r="U2881" s="3">
        <v>102.58</v>
      </c>
      <c r="V2881" s="4"/>
      <c r="W2881" s="761">
        <v>44538</v>
      </c>
      <c r="X2881" s="761"/>
      <c r="Y2881" s="761">
        <v>44538</v>
      </c>
      <c r="Z2881" s="761" t="s">
        <v>62</v>
      </c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</row>
    <row r="2882" spans="1:39">
      <c r="B2882" s="895">
        <v>12</v>
      </c>
      <c r="C2882" s="3" t="s">
        <v>5937</v>
      </c>
      <c r="D2882" s="12" t="s">
        <v>5962</v>
      </c>
      <c r="E2882" s="11" t="s">
        <v>5963</v>
      </c>
      <c r="F2882" s="749">
        <v>13</v>
      </c>
      <c r="G2882" s="3" t="s">
        <v>932</v>
      </c>
      <c r="H2882" s="3"/>
      <c r="I2882" s="3">
        <v>141.22</v>
      </c>
      <c r="J2882" s="3"/>
      <c r="K2882" s="3" t="str">
        <f t="shared" si="47"/>
        <v>December</v>
      </c>
      <c r="L2882" s="761">
        <v>44539</v>
      </c>
      <c r="M2882" s="761"/>
      <c r="N2882" s="761"/>
      <c r="O2882" s="761" t="s">
        <v>62</v>
      </c>
      <c r="P2882" s="762"/>
      <c r="Q2882" s="3"/>
      <c r="R2882" s="3" t="s">
        <v>1757</v>
      </c>
      <c r="S2882" s="3" t="s">
        <v>1757</v>
      </c>
      <c r="T2882" s="3">
        <v>153.6</v>
      </c>
      <c r="U2882" s="3">
        <v>102.6</v>
      </c>
      <c r="V2882" s="4"/>
      <c r="W2882" s="761">
        <v>44539</v>
      </c>
      <c r="X2882" s="761"/>
      <c r="Y2882" s="761">
        <v>44543</v>
      </c>
      <c r="Z2882" s="761" t="s">
        <v>62</v>
      </c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</row>
    <row r="2883" spans="1:39">
      <c r="B2883" s="895">
        <v>12</v>
      </c>
      <c r="C2883" s="3" t="s">
        <v>5937</v>
      </c>
      <c r="D2883" s="12" t="s">
        <v>5964</v>
      </c>
      <c r="E2883" s="11" t="s">
        <v>5965</v>
      </c>
      <c r="F2883" s="749">
        <v>14</v>
      </c>
      <c r="G2883" s="3" t="s">
        <v>932</v>
      </c>
      <c r="H2883" s="3"/>
      <c r="I2883" s="3">
        <v>143.72</v>
      </c>
      <c r="J2883" s="3"/>
      <c r="K2883" s="3" t="str">
        <f t="shared" si="47"/>
        <v>December</v>
      </c>
      <c r="L2883" s="761">
        <v>44539</v>
      </c>
      <c r="M2883" s="761"/>
      <c r="N2883" s="761"/>
      <c r="O2883" s="761" t="s">
        <v>62</v>
      </c>
      <c r="P2883" s="762"/>
      <c r="Q2883" s="3"/>
      <c r="R2883" s="3" t="s">
        <v>1757</v>
      </c>
      <c r="S2883" s="3" t="s">
        <v>1757</v>
      </c>
      <c r="T2883" s="3">
        <v>156.19999999999999</v>
      </c>
      <c r="U2883" s="3">
        <v>102.7</v>
      </c>
      <c r="V2883" s="4"/>
      <c r="W2883" s="761">
        <v>44539</v>
      </c>
      <c r="X2883" s="761"/>
      <c r="Y2883" s="761">
        <v>44543</v>
      </c>
      <c r="Z2883" s="761" t="s">
        <v>62</v>
      </c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</row>
    <row r="2884" spans="1:39">
      <c r="B2884" s="895">
        <v>12</v>
      </c>
      <c r="C2884" s="3" t="s">
        <v>5937</v>
      </c>
      <c r="D2884" s="12" t="s">
        <v>5966</v>
      </c>
      <c r="E2884" s="11" t="s">
        <v>5967</v>
      </c>
      <c r="F2884" s="749">
        <v>15</v>
      </c>
      <c r="G2884" s="3" t="s">
        <v>932</v>
      </c>
      <c r="H2884" s="3"/>
      <c r="I2884" s="3">
        <v>143.80000000000001</v>
      </c>
      <c r="J2884" s="3"/>
      <c r="K2884" s="3" t="str">
        <f t="shared" si="47"/>
        <v>December</v>
      </c>
      <c r="L2884" s="761">
        <v>44539</v>
      </c>
      <c r="M2884" s="761"/>
      <c r="N2884" s="761"/>
      <c r="O2884" s="761" t="s">
        <v>62</v>
      </c>
      <c r="P2884" s="762"/>
      <c r="Q2884" s="3"/>
      <c r="R2884" s="3" t="s">
        <v>1757</v>
      </c>
      <c r="S2884" s="3" t="s">
        <v>1757</v>
      </c>
      <c r="T2884" s="3">
        <v>156.9</v>
      </c>
      <c r="U2884" s="3">
        <v>102.7</v>
      </c>
      <c r="V2884" s="4"/>
      <c r="W2884" s="761">
        <v>44539</v>
      </c>
      <c r="X2884" s="761"/>
      <c r="Y2884" s="761">
        <v>44543</v>
      </c>
      <c r="Z2884" s="761" t="s">
        <v>62</v>
      </c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</row>
    <row r="2885" spans="1:39">
      <c r="B2885" s="895">
        <v>12</v>
      </c>
      <c r="C2885" s="3" t="s">
        <v>5937</v>
      </c>
      <c r="D2885" s="12" t="s">
        <v>5948</v>
      </c>
      <c r="E2885" s="11" t="s">
        <v>5968</v>
      </c>
      <c r="F2885" s="749">
        <v>16</v>
      </c>
      <c r="G2885" s="3"/>
      <c r="H2885" s="3"/>
      <c r="I2885" s="3">
        <v>144.58000000000001</v>
      </c>
      <c r="J2885" s="3"/>
      <c r="K2885" s="3"/>
      <c r="L2885" s="761"/>
      <c r="M2885" s="761"/>
      <c r="N2885" s="761"/>
      <c r="O2885" s="761"/>
      <c r="P2885" s="762"/>
      <c r="Q2885" s="3"/>
      <c r="R2885" s="3"/>
      <c r="S2885" s="3"/>
      <c r="T2885" s="3"/>
      <c r="U2885" s="3"/>
      <c r="V2885" s="4"/>
      <c r="W2885" s="761"/>
      <c r="X2885" s="761"/>
      <c r="Y2885" s="761"/>
      <c r="Z2885" s="761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</row>
    <row r="2886" spans="1:39">
      <c r="B2886" s="895">
        <v>12</v>
      </c>
      <c r="C2886" s="3" t="s">
        <v>5937</v>
      </c>
      <c r="D2886" s="12" t="s">
        <v>5950</v>
      </c>
      <c r="E2886" s="11" t="s">
        <v>5969</v>
      </c>
      <c r="F2886" s="749">
        <v>17</v>
      </c>
      <c r="G2886" s="3"/>
      <c r="H2886" s="3"/>
      <c r="I2886" s="3">
        <v>141.78</v>
      </c>
      <c r="J2886" s="3"/>
      <c r="K2886" s="3"/>
      <c r="L2886" s="761"/>
      <c r="M2886" s="761"/>
      <c r="N2886" s="761"/>
      <c r="O2886" s="761"/>
      <c r="P2886" s="762"/>
      <c r="Q2886" s="3"/>
      <c r="R2886" s="3"/>
      <c r="S2886" s="3"/>
      <c r="T2886" s="3"/>
      <c r="U2886" s="3"/>
      <c r="V2886" s="4"/>
      <c r="W2886" s="761"/>
      <c r="X2886" s="761"/>
      <c r="Y2886" s="761"/>
      <c r="Z2886" s="761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</row>
    <row r="2887" spans="1:39">
      <c r="B2887" s="895">
        <v>12</v>
      </c>
      <c r="C2887" s="3" t="s">
        <v>5937</v>
      </c>
      <c r="D2887" s="12" t="s">
        <v>5952</v>
      </c>
      <c r="E2887" s="11" t="s">
        <v>5970</v>
      </c>
      <c r="F2887" s="749">
        <v>18</v>
      </c>
      <c r="G2887" s="3"/>
      <c r="H2887" s="3"/>
      <c r="I2887" s="3">
        <v>141.22</v>
      </c>
      <c r="J2887" s="3"/>
      <c r="K2887" s="3"/>
      <c r="L2887" s="761"/>
      <c r="M2887" s="761"/>
      <c r="N2887" s="761"/>
      <c r="O2887" s="761"/>
      <c r="P2887" s="762"/>
      <c r="Q2887" s="3"/>
      <c r="R2887" s="3"/>
      <c r="S2887" s="3"/>
      <c r="T2887" s="3"/>
      <c r="U2887" s="3"/>
      <c r="V2887" s="4"/>
      <c r="W2887" s="761"/>
      <c r="X2887" s="761"/>
      <c r="Y2887" s="761"/>
      <c r="Z2887" s="761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</row>
    <row r="2888" spans="1:39" s="707" customFormat="1" ht="22.95" customHeight="1">
      <c r="A2888"/>
      <c r="B2888" s="797" t="s">
        <v>13</v>
      </c>
      <c r="C2888" s="1049">
        <v>2022</v>
      </c>
      <c r="D2888" s="875"/>
      <c r="E2888" s="874"/>
      <c r="F2888" s="808"/>
      <c r="G2888" s="807"/>
      <c r="H2888" s="807"/>
      <c r="I2888" s="807"/>
      <c r="J2888" s="807"/>
      <c r="K2888" s="807"/>
      <c r="L2888" s="819"/>
      <c r="M2888" s="819"/>
      <c r="N2888" s="819"/>
      <c r="O2888" s="819"/>
      <c r="P2888" s="820"/>
      <c r="Q2888" s="807"/>
      <c r="R2888" s="807"/>
      <c r="S2888" s="807"/>
      <c r="T2888" s="807"/>
      <c r="U2888" s="807"/>
      <c r="V2888" s="710"/>
      <c r="W2888" s="819"/>
      <c r="X2888" s="819"/>
      <c r="Y2888" s="819"/>
      <c r="Z2888" s="819"/>
      <c r="AA2888" s="710"/>
      <c r="AB2888" s="710"/>
      <c r="AC2888" s="710"/>
      <c r="AD2888" s="710"/>
      <c r="AE2888" s="710"/>
      <c r="AF2888" s="710"/>
      <c r="AG2888" s="710"/>
      <c r="AH2888" s="710"/>
      <c r="AI2888" s="710"/>
      <c r="AJ2888" s="710"/>
      <c r="AK2888" s="710"/>
      <c r="AL2888" s="710"/>
      <c r="AM2888" s="710"/>
    </row>
    <row r="2889" spans="1:39">
      <c r="B2889" s="1496" t="s">
        <v>213</v>
      </c>
      <c r="C2889" s="3" t="s">
        <v>5937</v>
      </c>
      <c r="D2889" s="12" t="s">
        <v>5971</v>
      </c>
      <c r="E2889" s="12" t="s">
        <v>5972</v>
      </c>
      <c r="F2889" s="749">
        <v>1</v>
      </c>
      <c r="G2889" s="3"/>
      <c r="H2889" s="3"/>
      <c r="I2889" s="3"/>
      <c r="J2889" s="3"/>
      <c r="K2889" s="3"/>
      <c r="L2889" s="761"/>
      <c r="M2889" s="761"/>
      <c r="N2889" s="761"/>
      <c r="O2889" s="761"/>
      <c r="P2889" s="762"/>
      <c r="Q2889" s="3"/>
      <c r="R2889" s="3"/>
      <c r="S2889" s="3"/>
      <c r="T2889" s="3"/>
      <c r="U2889" s="3"/>
      <c r="V2889" s="4"/>
      <c r="W2889" s="761"/>
      <c r="X2889" s="761"/>
      <c r="Y2889" s="761"/>
      <c r="Z2889" s="761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</row>
    <row r="2890" spans="1:39">
      <c r="B2890" s="1496" t="s">
        <v>213</v>
      </c>
      <c r="C2890" s="3" t="s">
        <v>5937</v>
      </c>
      <c r="D2890" s="12" t="s">
        <v>5973</v>
      </c>
      <c r="E2890" s="12" t="s">
        <v>5974</v>
      </c>
      <c r="F2890" s="749">
        <v>2</v>
      </c>
      <c r="G2890" s="3"/>
      <c r="H2890" s="3"/>
      <c r="I2890" s="3"/>
      <c r="J2890" s="3"/>
      <c r="K2890" s="3"/>
      <c r="L2890" s="761"/>
      <c r="M2890" s="761"/>
      <c r="N2890" s="761"/>
      <c r="O2890" s="761"/>
      <c r="P2890" s="762"/>
      <c r="Q2890" s="3"/>
      <c r="R2890" s="3"/>
      <c r="S2890" s="3"/>
      <c r="T2890" s="3"/>
      <c r="U2890" s="3"/>
      <c r="V2890" s="4"/>
      <c r="W2890" s="761"/>
      <c r="X2890" s="761"/>
      <c r="Y2890" s="761"/>
      <c r="Z2890" s="761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</row>
    <row r="2891" spans="1:39">
      <c r="B2891" s="1496" t="s">
        <v>213</v>
      </c>
      <c r="C2891" s="3" t="s">
        <v>5937</v>
      </c>
      <c r="D2891" s="12" t="s">
        <v>5975</v>
      </c>
      <c r="E2891" s="12" t="s">
        <v>5976</v>
      </c>
      <c r="F2891" s="749">
        <v>3</v>
      </c>
      <c r="G2891" s="3"/>
      <c r="H2891" s="3"/>
      <c r="I2891" s="3"/>
      <c r="J2891" s="3"/>
      <c r="K2891" s="3"/>
      <c r="L2891" s="761"/>
      <c r="M2891" s="761"/>
      <c r="N2891" s="761"/>
      <c r="O2891" s="761"/>
      <c r="P2891" s="762"/>
      <c r="Q2891" s="3"/>
      <c r="R2891" s="3"/>
      <c r="S2891" s="3"/>
      <c r="T2891" s="3"/>
      <c r="U2891" s="3"/>
      <c r="V2891" s="4"/>
      <c r="W2891" s="761"/>
      <c r="X2891" s="761"/>
      <c r="Y2891" s="761"/>
      <c r="Z2891" s="761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</row>
    <row r="2892" spans="1:39">
      <c r="B2892" s="1496" t="s">
        <v>213</v>
      </c>
      <c r="C2892" s="3" t="s">
        <v>5937</v>
      </c>
      <c r="D2892" s="12" t="s">
        <v>5977</v>
      </c>
      <c r="E2892" s="12" t="s">
        <v>5978</v>
      </c>
      <c r="F2892" s="749">
        <v>4</v>
      </c>
      <c r="G2892" s="3"/>
      <c r="H2892" s="3"/>
      <c r="I2892" s="3"/>
      <c r="J2892" s="3"/>
      <c r="K2892" s="3"/>
      <c r="L2892" s="761"/>
      <c r="M2892" s="761"/>
      <c r="N2892" s="761"/>
      <c r="O2892" s="761"/>
      <c r="P2892" s="762"/>
      <c r="Q2892" s="3"/>
      <c r="R2892" s="3"/>
      <c r="S2892" s="3"/>
      <c r="T2892" s="3"/>
      <c r="U2892" s="3"/>
      <c r="V2892" s="4"/>
      <c r="W2892" s="761"/>
      <c r="X2892" s="761"/>
      <c r="Y2892" s="761"/>
      <c r="Z2892" s="761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</row>
    <row r="2893" spans="1:39">
      <c r="B2893" s="1496" t="s">
        <v>213</v>
      </c>
      <c r="C2893" s="3" t="s">
        <v>5937</v>
      </c>
      <c r="D2893" s="12" t="s">
        <v>5979</v>
      </c>
      <c r="E2893" s="12" t="s">
        <v>5980</v>
      </c>
      <c r="F2893" s="749">
        <v>5</v>
      </c>
      <c r="G2893" s="3"/>
      <c r="H2893" s="3"/>
      <c r="I2893" s="3"/>
      <c r="J2893" s="3"/>
      <c r="K2893" s="3"/>
      <c r="L2893" s="761"/>
      <c r="M2893" s="761"/>
      <c r="N2893" s="761"/>
      <c r="O2893" s="761"/>
      <c r="P2893" s="762"/>
      <c r="Q2893" s="3"/>
      <c r="R2893" s="3"/>
      <c r="S2893" s="3"/>
      <c r="T2893" s="3"/>
      <c r="U2893" s="3"/>
      <c r="V2893" s="4"/>
      <c r="W2893" s="761"/>
      <c r="X2893" s="761"/>
      <c r="Y2893" s="761"/>
      <c r="Z2893" s="761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</row>
    <row r="2894" spans="1:39">
      <c r="B2894" s="1496" t="s">
        <v>213</v>
      </c>
      <c r="C2894" s="3" t="s">
        <v>5937</v>
      </c>
      <c r="D2894" s="12" t="s">
        <v>5981</v>
      </c>
      <c r="E2894" s="12" t="s">
        <v>5982</v>
      </c>
      <c r="F2894" s="749">
        <v>6</v>
      </c>
      <c r="G2894" s="3"/>
      <c r="H2894" s="3"/>
      <c r="I2894" s="3"/>
      <c r="J2894" s="3"/>
      <c r="K2894" s="3"/>
      <c r="L2894" s="761"/>
      <c r="M2894" s="761"/>
      <c r="N2894" s="761"/>
      <c r="O2894" s="761"/>
      <c r="P2894" s="762"/>
      <c r="Q2894" s="3"/>
      <c r="R2894" s="3"/>
      <c r="S2894" s="3"/>
      <c r="T2894" s="3"/>
      <c r="U2894" s="3"/>
      <c r="V2894" s="4"/>
      <c r="W2894" s="761"/>
      <c r="X2894" s="761"/>
      <c r="Y2894" s="761"/>
      <c r="Z2894" s="761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</row>
    <row r="2895" spans="1:39">
      <c r="B2895" s="1496" t="s">
        <v>213</v>
      </c>
      <c r="C2895" s="3" t="s">
        <v>5937</v>
      </c>
      <c r="D2895" s="12" t="s">
        <v>5983</v>
      </c>
      <c r="E2895" s="12" t="s">
        <v>5984</v>
      </c>
      <c r="F2895" s="749">
        <v>7</v>
      </c>
      <c r="G2895" s="3"/>
      <c r="H2895" s="3"/>
      <c r="I2895" s="3"/>
      <c r="J2895" s="3"/>
      <c r="K2895" s="3"/>
      <c r="L2895" s="761"/>
      <c r="M2895" s="761"/>
      <c r="N2895" s="761"/>
      <c r="O2895" s="761"/>
      <c r="P2895" s="762"/>
      <c r="Q2895" s="3"/>
      <c r="R2895" s="3"/>
      <c r="S2895" s="3"/>
      <c r="T2895" s="3"/>
      <c r="U2895" s="3"/>
      <c r="V2895" s="4"/>
      <c r="W2895" s="761"/>
      <c r="X2895" s="761"/>
      <c r="Y2895" s="761"/>
      <c r="Z2895" s="761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</row>
    <row r="2896" spans="1:39">
      <c r="B2896" s="1496" t="s">
        <v>213</v>
      </c>
      <c r="C2896" s="3" t="s">
        <v>5937</v>
      </c>
      <c r="D2896" s="12" t="s">
        <v>5985</v>
      </c>
      <c r="E2896" s="12" t="s">
        <v>5986</v>
      </c>
      <c r="F2896" s="749">
        <v>8</v>
      </c>
      <c r="G2896" s="3"/>
      <c r="H2896" s="3"/>
      <c r="I2896" s="3"/>
      <c r="J2896" s="3"/>
      <c r="K2896" s="3"/>
      <c r="L2896" s="761"/>
      <c r="M2896" s="761"/>
      <c r="N2896" s="761"/>
      <c r="O2896" s="761"/>
      <c r="P2896" s="762"/>
      <c r="Q2896" s="3"/>
      <c r="R2896" s="3"/>
      <c r="S2896" s="3"/>
      <c r="T2896" s="3"/>
      <c r="U2896" s="3"/>
      <c r="V2896" s="4"/>
      <c r="W2896" s="761"/>
      <c r="X2896" s="761"/>
      <c r="Y2896" s="761"/>
      <c r="Z2896" s="761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</row>
    <row r="2897" spans="1:39">
      <c r="B2897" s="1496" t="s">
        <v>213</v>
      </c>
      <c r="C2897" s="3" t="s">
        <v>5937</v>
      </c>
      <c r="D2897" s="12" t="s">
        <v>5987</v>
      </c>
      <c r="E2897" s="12" t="s">
        <v>5988</v>
      </c>
      <c r="F2897" s="749">
        <v>9</v>
      </c>
      <c r="G2897" s="3"/>
      <c r="H2897" s="3"/>
      <c r="I2897" s="3"/>
      <c r="J2897" s="3"/>
      <c r="K2897" s="3"/>
      <c r="L2897" s="761"/>
      <c r="M2897" s="761"/>
      <c r="N2897" s="761"/>
      <c r="O2897" s="761"/>
      <c r="P2897" s="762"/>
      <c r="Q2897" s="3"/>
      <c r="R2897" s="3"/>
      <c r="S2897" s="3"/>
      <c r="T2897" s="3"/>
      <c r="U2897" s="3"/>
      <c r="V2897" s="4"/>
      <c r="W2897" s="761"/>
      <c r="X2897" s="761"/>
      <c r="Y2897" s="761"/>
      <c r="Z2897" s="761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</row>
    <row r="2898" spans="1:39">
      <c r="B2898" s="1496" t="s">
        <v>213</v>
      </c>
      <c r="C2898" s="3" t="s">
        <v>5937</v>
      </c>
      <c r="D2898" s="12" t="s">
        <v>5989</v>
      </c>
      <c r="E2898" s="12" t="s">
        <v>5990</v>
      </c>
      <c r="F2898" s="749">
        <v>10</v>
      </c>
      <c r="G2898" s="3"/>
      <c r="H2898" s="3"/>
      <c r="I2898" s="3"/>
      <c r="J2898" s="3"/>
      <c r="K2898" s="3"/>
      <c r="L2898" s="761"/>
      <c r="M2898" s="761"/>
      <c r="N2898" s="761"/>
      <c r="O2898" s="761"/>
      <c r="P2898" s="762"/>
      <c r="Q2898" s="3"/>
      <c r="R2898" s="3"/>
      <c r="S2898" s="3"/>
      <c r="T2898" s="3"/>
      <c r="U2898" s="3"/>
      <c r="V2898" s="4"/>
      <c r="W2898" s="761"/>
      <c r="X2898" s="761"/>
      <c r="Y2898" s="761"/>
      <c r="Z2898" s="761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</row>
    <row r="2899" spans="1:39">
      <c r="B2899" s="1496" t="s">
        <v>213</v>
      </c>
      <c r="C2899" s="3" t="s">
        <v>5937</v>
      </c>
      <c r="D2899" s="12" t="s">
        <v>5991</v>
      </c>
      <c r="E2899" s="12" t="s">
        <v>5992</v>
      </c>
      <c r="F2899" s="749">
        <v>11</v>
      </c>
      <c r="G2899" s="3"/>
      <c r="H2899" s="3"/>
      <c r="I2899" s="3"/>
      <c r="J2899" s="3"/>
      <c r="K2899" s="3"/>
      <c r="L2899" s="761"/>
      <c r="M2899" s="761"/>
      <c r="N2899" s="761"/>
      <c r="O2899" s="761"/>
      <c r="P2899" s="762"/>
      <c r="Q2899" s="3"/>
      <c r="R2899" s="3"/>
      <c r="S2899" s="3"/>
      <c r="T2899" s="3"/>
      <c r="U2899" s="3"/>
      <c r="V2899" s="4"/>
      <c r="W2899" s="761"/>
      <c r="X2899" s="761"/>
      <c r="Y2899" s="761"/>
      <c r="Z2899" s="761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</row>
    <row r="2900" spans="1:39">
      <c r="B2900" s="1496" t="s">
        <v>213</v>
      </c>
      <c r="C2900" s="3" t="s">
        <v>5937</v>
      </c>
      <c r="D2900" s="12" t="s">
        <v>5993</v>
      </c>
      <c r="E2900" s="12" t="s">
        <v>5994</v>
      </c>
      <c r="F2900" s="749">
        <v>12</v>
      </c>
      <c r="G2900" s="3"/>
      <c r="H2900" s="3"/>
      <c r="I2900" s="3"/>
      <c r="J2900" s="3"/>
      <c r="K2900" s="3"/>
      <c r="L2900" s="761"/>
      <c r="M2900" s="761"/>
      <c r="N2900" s="761"/>
      <c r="O2900" s="761"/>
      <c r="P2900" s="762"/>
      <c r="Q2900" s="3"/>
      <c r="R2900" s="3"/>
      <c r="S2900" s="3"/>
      <c r="T2900" s="3"/>
      <c r="U2900" s="3"/>
      <c r="V2900" s="4"/>
      <c r="W2900" s="761"/>
      <c r="X2900" s="761"/>
      <c r="Y2900" s="761"/>
      <c r="Z2900" s="761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4"/>
    </row>
    <row r="2901" spans="1:39">
      <c r="B2901" s="1496" t="s">
        <v>213</v>
      </c>
      <c r="C2901" s="3" t="s">
        <v>5937</v>
      </c>
      <c r="D2901" s="12" t="s">
        <v>5995</v>
      </c>
      <c r="E2901" s="12" t="s">
        <v>5996</v>
      </c>
      <c r="F2901" s="749">
        <v>13</v>
      </c>
      <c r="G2901" s="3"/>
      <c r="H2901" s="3"/>
      <c r="I2901" s="3"/>
      <c r="J2901" s="3"/>
      <c r="K2901" s="3"/>
      <c r="L2901" s="761"/>
      <c r="M2901" s="761"/>
      <c r="N2901" s="761"/>
      <c r="O2901" s="761"/>
      <c r="P2901" s="762"/>
      <c r="Q2901" s="3"/>
      <c r="R2901" s="3"/>
      <c r="S2901" s="3"/>
      <c r="T2901" s="3"/>
      <c r="U2901" s="3"/>
      <c r="V2901" s="4"/>
      <c r="W2901" s="761"/>
      <c r="X2901" s="761"/>
      <c r="Y2901" s="761"/>
      <c r="Z2901" s="761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</row>
    <row r="2902" spans="1:39">
      <c r="B2902" s="1496" t="s">
        <v>213</v>
      </c>
      <c r="C2902" s="3" t="s">
        <v>5937</v>
      </c>
      <c r="D2902" s="12" t="s">
        <v>5997</v>
      </c>
      <c r="E2902" s="12" t="s">
        <v>5998</v>
      </c>
      <c r="F2902" s="749">
        <v>14</v>
      </c>
      <c r="G2902" s="3"/>
      <c r="H2902" s="3"/>
      <c r="I2902" s="3"/>
      <c r="J2902" s="3"/>
      <c r="K2902" s="3"/>
      <c r="L2902" s="761"/>
      <c r="M2902" s="761"/>
      <c r="N2902" s="761"/>
      <c r="O2902" s="761"/>
      <c r="P2902" s="762"/>
      <c r="Q2902" s="3"/>
      <c r="R2902" s="3"/>
      <c r="S2902" s="3"/>
      <c r="T2902" s="3"/>
      <c r="U2902" s="3"/>
      <c r="V2902" s="4"/>
      <c r="W2902" s="761"/>
      <c r="X2902" s="761"/>
      <c r="Y2902" s="761"/>
      <c r="Z2902" s="761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</row>
    <row r="2903" spans="1:39">
      <c r="B2903" s="1496" t="s">
        <v>213</v>
      </c>
      <c r="C2903" s="3" t="s">
        <v>5937</v>
      </c>
      <c r="D2903" s="12" t="s">
        <v>5999</v>
      </c>
      <c r="E2903" s="12" t="s">
        <v>6000</v>
      </c>
      <c r="F2903" s="749">
        <v>15</v>
      </c>
      <c r="G2903" s="3"/>
      <c r="H2903" s="3"/>
      <c r="I2903" s="3"/>
      <c r="J2903" s="3"/>
      <c r="K2903" s="3"/>
      <c r="L2903" s="761"/>
      <c r="M2903" s="761"/>
      <c r="N2903" s="761"/>
      <c r="O2903" s="761"/>
      <c r="P2903" s="762"/>
      <c r="Q2903" s="3"/>
      <c r="R2903" s="3"/>
      <c r="S2903" s="3"/>
      <c r="T2903" s="3"/>
      <c r="U2903" s="3"/>
      <c r="V2903" s="4"/>
      <c r="W2903" s="761"/>
      <c r="X2903" s="761"/>
      <c r="Y2903" s="761"/>
      <c r="Z2903" s="761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</row>
    <row r="2904" spans="1:39" s="707" customFormat="1">
      <c r="A2904"/>
      <c r="B2904" s="797" t="s">
        <v>13</v>
      </c>
      <c r="C2904" s="807"/>
      <c r="D2904" s="875"/>
      <c r="E2904" s="875"/>
      <c r="F2904" s="808"/>
      <c r="G2904" s="807"/>
      <c r="H2904" s="807"/>
      <c r="I2904" s="807"/>
      <c r="J2904" s="807"/>
      <c r="K2904" s="807"/>
      <c r="L2904" s="819"/>
      <c r="M2904" s="819"/>
      <c r="N2904" s="819"/>
      <c r="O2904" s="819"/>
      <c r="P2904" s="820"/>
      <c r="Q2904" s="807"/>
      <c r="R2904" s="807"/>
      <c r="S2904" s="807"/>
      <c r="T2904" s="807"/>
      <c r="U2904" s="807"/>
      <c r="V2904" s="710"/>
      <c r="W2904" s="819"/>
      <c r="X2904" s="819"/>
      <c r="Y2904" s="819"/>
      <c r="Z2904" s="819"/>
      <c r="AA2904" s="710"/>
      <c r="AB2904" s="710"/>
      <c r="AC2904" s="710"/>
      <c r="AD2904" s="710"/>
      <c r="AE2904" s="710"/>
      <c r="AF2904" s="710"/>
      <c r="AG2904" s="710"/>
      <c r="AH2904" s="710"/>
      <c r="AI2904" s="710"/>
      <c r="AJ2904" s="710"/>
      <c r="AK2904" s="710"/>
      <c r="AL2904" s="710"/>
      <c r="AM2904" s="710"/>
    </row>
    <row r="2905" spans="1:39">
      <c r="B2905" s="895">
        <v>6</v>
      </c>
      <c r="C2905" s="3" t="s">
        <v>54</v>
      </c>
      <c r="D2905" s="12" t="s">
        <v>6001</v>
      </c>
      <c r="E2905" s="12" t="s">
        <v>6002</v>
      </c>
      <c r="F2905" s="749">
        <v>1</v>
      </c>
      <c r="G2905" s="749" t="s">
        <v>1041</v>
      </c>
      <c r="H2905" s="3"/>
      <c r="I2905" s="3">
        <v>142.47999999999999</v>
      </c>
      <c r="J2905" s="783"/>
      <c r="K2905" s="3" t="s">
        <v>2327</v>
      </c>
      <c r="L2905" s="761">
        <v>44708</v>
      </c>
      <c r="M2905" s="761"/>
      <c r="N2905" s="761"/>
      <c r="O2905" s="761" t="s">
        <v>62</v>
      </c>
      <c r="P2905" s="762">
        <v>6.06</v>
      </c>
      <c r="Q2905" s="3"/>
      <c r="R2905" s="3" t="s">
        <v>1757</v>
      </c>
      <c r="S2905" s="3" t="s">
        <v>1757</v>
      </c>
      <c r="T2905" s="3">
        <v>154.43</v>
      </c>
      <c r="U2905" s="3">
        <v>102.7</v>
      </c>
      <c r="V2905" s="4" t="s">
        <v>2327</v>
      </c>
      <c r="W2905" s="761">
        <v>44708</v>
      </c>
      <c r="X2905" s="761" t="s">
        <v>2327</v>
      </c>
      <c r="Y2905" s="761">
        <v>44708</v>
      </c>
      <c r="Z2905" s="761" t="s">
        <v>62</v>
      </c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</row>
    <row r="2906" spans="1:39">
      <c r="B2906" s="895">
        <v>6</v>
      </c>
      <c r="C2906" s="3" t="s">
        <v>54</v>
      </c>
      <c r="D2906" s="12" t="s">
        <v>6003</v>
      </c>
      <c r="E2906" s="12" t="s">
        <v>6004</v>
      </c>
      <c r="F2906" s="749">
        <v>2</v>
      </c>
      <c r="G2906" s="749" t="s">
        <v>1041</v>
      </c>
      <c r="H2906" s="3"/>
      <c r="I2906" s="3">
        <v>139.78</v>
      </c>
      <c r="J2906" s="783"/>
      <c r="K2906" s="3" t="s">
        <v>2327</v>
      </c>
      <c r="L2906" s="761">
        <v>44708</v>
      </c>
      <c r="M2906" s="761"/>
      <c r="N2906" s="761"/>
      <c r="O2906" s="761" t="s">
        <v>62</v>
      </c>
      <c r="P2906" s="762">
        <v>6.12</v>
      </c>
      <c r="Q2906" s="3"/>
      <c r="R2906" s="3" t="s">
        <v>1757</v>
      </c>
      <c r="S2906" s="3" t="s">
        <v>1757</v>
      </c>
      <c r="T2906" s="3">
        <v>152.22999999999999</v>
      </c>
      <c r="U2906" s="3">
        <v>102.56</v>
      </c>
      <c r="V2906" s="4" t="s">
        <v>2327</v>
      </c>
      <c r="W2906" s="761">
        <v>44708</v>
      </c>
      <c r="X2906" s="761" t="s">
        <v>2327</v>
      </c>
      <c r="Y2906" s="761">
        <v>44708</v>
      </c>
      <c r="Z2906" s="761" t="s">
        <v>62</v>
      </c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/>
    </row>
    <row r="2907" spans="1:39">
      <c r="B2907" s="895">
        <v>6</v>
      </c>
      <c r="C2907" s="3" t="s">
        <v>54</v>
      </c>
      <c r="D2907" s="12" t="s">
        <v>6005</v>
      </c>
      <c r="E2907" s="12" t="s">
        <v>6006</v>
      </c>
      <c r="F2907" s="749">
        <v>3</v>
      </c>
      <c r="G2907" s="749" t="s">
        <v>1041</v>
      </c>
      <c r="H2907" s="3"/>
      <c r="I2907" s="3">
        <v>142.88</v>
      </c>
      <c r="J2907" s="783"/>
      <c r="K2907" s="3" t="s">
        <v>2327</v>
      </c>
      <c r="L2907" s="761">
        <v>44708</v>
      </c>
      <c r="M2907" s="761"/>
      <c r="N2907" s="761"/>
      <c r="O2907" s="761" t="s">
        <v>62</v>
      </c>
      <c r="P2907" s="762">
        <v>6.15</v>
      </c>
      <c r="Q2907" s="3"/>
      <c r="R2907" s="3" t="s">
        <v>1757</v>
      </c>
      <c r="S2907" s="3" t="s">
        <v>1757</v>
      </c>
      <c r="T2907" s="3">
        <v>155.65</v>
      </c>
      <c r="U2907" s="3">
        <v>102.58</v>
      </c>
      <c r="V2907" s="4" t="s">
        <v>2327</v>
      </c>
      <c r="W2907" s="761">
        <v>44708</v>
      </c>
      <c r="X2907" s="761" t="s">
        <v>2327</v>
      </c>
      <c r="Y2907" s="761">
        <v>44708</v>
      </c>
      <c r="Z2907" s="761" t="s">
        <v>62</v>
      </c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</row>
    <row r="2908" spans="1:39">
      <c r="B2908" s="895">
        <v>6</v>
      </c>
      <c r="C2908" s="3" t="s">
        <v>54</v>
      </c>
      <c r="D2908" s="12" t="s">
        <v>6007</v>
      </c>
      <c r="E2908" s="12" t="s">
        <v>6008</v>
      </c>
      <c r="F2908" s="749">
        <v>4</v>
      </c>
      <c r="G2908" s="749" t="s">
        <v>932</v>
      </c>
      <c r="H2908" s="3"/>
      <c r="I2908" s="3">
        <v>138.6</v>
      </c>
      <c r="J2908" s="783"/>
      <c r="K2908" s="3" t="s">
        <v>2327</v>
      </c>
      <c r="L2908" s="761">
        <v>44711</v>
      </c>
      <c r="M2908" s="761"/>
      <c r="N2908" s="761"/>
      <c r="O2908" s="761" t="s">
        <v>62</v>
      </c>
      <c r="P2908" s="762">
        <v>6.21</v>
      </c>
      <c r="Q2908" s="3"/>
      <c r="R2908" s="3" t="s">
        <v>1757</v>
      </c>
      <c r="S2908" s="3" t="s">
        <v>1757</v>
      </c>
      <c r="T2908" s="3">
        <v>150.9</v>
      </c>
      <c r="U2908" s="3">
        <v>102.51</v>
      </c>
      <c r="V2908" s="4" t="s">
        <v>2327</v>
      </c>
      <c r="W2908" s="761">
        <v>44711</v>
      </c>
      <c r="X2908" s="761" t="s">
        <v>2327</v>
      </c>
      <c r="Y2908" s="761">
        <v>44711</v>
      </c>
      <c r="Z2908" s="761" t="s">
        <v>62</v>
      </c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</row>
    <row r="2909" spans="1:39">
      <c r="B2909" s="895">
        <v>6</v>
      </c>
      <c r="C2909" s="3" t="s">
        <v>54</v>
      </c>
      <c r="D2909" s="12" t="s">
        <v>6009</v>
      </c>
      <c r="E2909" s="12" t="s">
        <v>6010</v>
      </c>
      <c r="F2909" s="749">
        <v>5</v>
      </c>
      <c r="G2909" s="749" t="s">
        <v>932</v>
      </c>
      <c r="H2909" s="3"/>
      <c r="I2909" s="3">
        <v>143.68</v>
      </c>
      <c r="J2909" s="783"/>
      <c r="K2909" s="3" t="s">
        <v>2327</v>
      </c>
      <c r="L2909" s="761">
        <v>44711</v>
      </c>
      <c r="M2909" s="761"/>
      <c r="N2909" s="761"/>
      <c r="O2909" s="761" t="s">
        <v>62</v>
      </c>
      <c r="P2909" s="762">
        <v>6.11</v>
      </c>
      <c r="Q2909" s="3"/>
      <c r="R2909" s="3" t="s">
        <v>1757</v>
      </c>
      <c r="S2909" s="3" t="s">
        <v>1757</v>
      </c>
      <c r="T2909" s="3">
        <v>156.21</v>
      </c>
      <c r="U2909" s="3">
        <v>102.54</v>
      </c>
      <c r="V2909" s="4" t="s">
        <v>2327</v>
      </c>
      <c r="W2909" s="761">
        <v>44711</v>
      </c>
      <c r="X2909" s="761" t="s">
        <v>2327</v>
      </c>
      <c r="Y2909" s="761">
        <v>44711</v>
      </c>
      <c r="Z2909" s="761" t="s">
        <v>62</v>
      </c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</row>
    <row r="2910" spans="1:39">
      <c r="B2910" s="895">
        <v>6</v>
      </c>
      <c r="C2910" s="3" t="s">
        <v>54</v>
      </c>
      <c r="D2910" s="12" t="s">
        <v>6011</v>
      </c>
      <c r="E2910" s="12" t="s">
        <v>6012</v>
      </c>
      <c r="F2910" s="749">
        <v>6</v>
      </c>
      <c r="G2910" s="749" t="s">
        <v>932</v>
      </c>
      <c r="H2910" s="3"/>
      <c r="I2910" s="3">
        <v>142.88</v>
      </c>
      <c r="J2910" s="783"/>
      <c r="K2910" s="3" t="s">
        <v>2327</v>
      </c>
      <c r="L2910" s="761">
        <v>44711</v>
      </c>
      <c r="M2910" s="761"/>
      <c r="N2910" s="761"/>
      <c r="O2910" s="761" t="s">
        <v>62</v>
      </c>
      <c r="P2910" s="762">
        <v>6</v>
      </c>
      <c r="Q2910" s="3"/>
      <c r="R2910" s="3" t="s">
        <v>1757</v>
      </c>
      <c r="S2910" s="3" t="s">
        <v>1757</v>
      </c>
      <c r="T2910" s="3">
        <v>155.35</v>
      </c>
      <c r="U2910" s="3">
        <v>102.61</v>
      </c>
      <c r="V2910" s="4" t="s">
        <v>2327</v>
      </c>
      <c r="W2910" s="761">
        <v>44711</v>
      </c>
      <c r="X2910" s="761" t="s">
        <v>2327</v>
      </c>
      <c r="Y2910" s="761">
        <v>44711</v>
      </c>
      <c r="Z2910" s="761" t="s">
        <v>62</v>
      </c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/>
    </row>
    <row r="2911" spans="1:39">
      <c r="B2911" s="895">
        <v>6</v>
      </c>
      <c r="C2911" s="3" t="s">
        <v>54</v>
      </c>
      <c r="D2911" s="12" t="s">
        <v>6013</v>
      </c>
      <c r="E2911" s="12" t="s">
        <v>6014</v>
      </c>
      <c r="F2911" s="749">
        <v>7</v>
      </c>
      <c r="G2911" s="749" t="s">
        <v>932</v>
      </c>
      <c r="H2911" s="3"/>
      <c r="I2911" s="3">
        <v>143.46</v>
      </c>
      <c r="J2911" s="783"/>
      <c r="K2911" s="3" t="s">
        <v>2327</v>
      </c>
      <c r="L2911" s="761">
        <v>44711</v>
      </c>
      <c r="M2911" s="761"/>
      <c r="N2911" s="761"/>
      <c r="O2911" s="761" t="s">
        <v>62</v>
      </c>
      <c r="P2911" s="762">
        <v>5.7</v>
      </c>
      <c r="Q2911" s="3"/>
      <c r="R2911" s="3" t="s">
        <v>5549</v>
      </c>
      <c r="S2911" s="3" t="s">
        <v>1757</v>
      </c>
      <c r="T2911" s="3">
        <v>155.78</v>
      </c>
      <c r="U2911" s="3">
        <v>102.65</v>
      </c>
      <c r="V2911" s="4" t="s">
        <v>2327</v>
      </c>
      <c r="W2911" s="761">
        <v>44711</v>
      </c>
      <c r="X2911" s="761" t="s">
        <v>2327</v>
      </c>
      <c r="Y2911" s="761">
        <v>44712</v>
      </c>
      <c r="Z2911" s="761" t="s">
        <v>62</v>
      </c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</row>
    <row r="2912" spans="1:39">
      <c r="B2912" s="895">
        <v>6</v>
      </c>
      <c r="C2912" s="3" t="s">
        <v>54</v>
      </c>
      <c r="D2912" s="12" t="s">
        <v>6015</v>
      </c>
      <c r="E2912" s="12" t="s">
        <v>6016</v>
      </c>
      <c r="F2912" s="749">
        <v>8</v>
      </c>
      <c r="G2912" s="749" t="s">
        <v>932</v>
      </c>
      <c r="H2912" s="3"/>
      <c r="I2912" s="3">
        <v>141</v>
      </c>
      <c r="J2912" s="783"/>
      <c r="K2912" s="3" t="s">
        <v>2327</v>
      </c>
      <c r="L2912" s="761">
        <v>44712</v>
      </c>
      <c r="M2912" s="761"/>
      <c r="N2912" s="761"/>
      <c r="O2912" s="761" t="s">
        <v>62</v>
      </c>
      <c r="P2912" s="762">
        <v>6.06</v>
      </c>
      <c r="Q2912" s="3"/>
      <c r="R2912" s="3" t="s">
        <v>1757</v>
      </c>
      <c r="S2912" s="3" t="s">
        <v>1757</v>
      </c>
      <c r="T2912" s="3">
        <v>153.63</v>
      </c>
      <c r="U2912" s="3">
        <v>102.62</v>
      </c>
      <c r="V2912" s="4" t="s">
        <v>2327</v>
      </c>
      <c r="W2912" s="761">
        <v>44712</v>
      </c>
      <c r="X2912" s="761" t="s">
        <v>2327</v>
      </c>
      <c r="Y2912" s="761">
        <v>44712</v>
      </c>
      <c r="Z2912" s="761" t="s">
        <v>62</v>
      </c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</row>
    <row r="2913" spans="1:39">
      <c r="B2913" s="895">
        <v>6</v>
      </c>
      <c r="C2913" s="3" t="s">
        <v>54</v>
      </c>
      <c r="D2913" s="12" t="s">
        <v>6017</v>
      </c>
      <c r="E2913" s="12" t="s">
        <v>6018</v>
      </c>
      <c r="F2913" s="749">
        <v>9</v>
      </c>
      <c r="G2913" s="749" t="s">
        <v>932</v>
      </c>
      <c r="H2913" s="3"/>
      <c r="I2913" s="3">
        <v>143.852</v>
      </c>
      <c r="J2913" s="783"/>
      <c r="K2913" s="3" t="s">
        <v>2327</v>
      </c>
      <c r="L2913" s="761">
        <v>44712</v>
      </c>
      <c r="M2913" s="761"/>
      <c r="N2913" s="761"/>
      <c r="O2913" s="761" t="s">
        <v>62</v>
      </c>
      <c r="P2913" s="762">
        <v>6.05</v>
      </c>
      <c r="Q2913" s="3"/>
      <c r="R2913" s="3" t="s">
        <v>1757</v>
      </c>
      <c r="S2913" s="3" t="s">
        <v>1757</v>
      </c>
      <c r="T2913" s="3">
        <v>156.44999999999999</v>
      </c>
      <c r="U2913" s="3">
        <v>102.93</v>
      </c>
      <c r="V2913" s="4" t="s">
        <v>2327</v>
      </c>
      <c r="W2913" s="761">
        <v>44712</v>
      </c>
      <c r="X2913" s="761" t="s">
        <v>2327</v>
      </c>
      <c r="Y2913" s="761">
        <v>44712</v>
      </c>
      <c r="Z2913" s="761" t="s">
        <v>62</v>
      </c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</row>
    <row r="2914" spans="1:39">
      <c r="B2914" s="895">
        <v>6</v>
      </c>
      <c r="C2914" s="3" t="s">
        <v>54</v>
      </c>
      <c r="D2914" s="12" t="s">
        <v>6019</v>
      </c>
      <c r="E2914" s="12" t="s">
        <v>6020</v>
      </c>
      <c r="F2914" s="749">
        <v>10</v>
      </c>
      <c r="G2914" s="749" t="s">
        <v>932</v>
      </c>
      <c r="H2914" s="3"/>
      <c r="I2914" s="3">
        <v>141.62</v>
      </c>
      <c r="J2914" s="783"/>
      <c r="K2914" s="3" t="s">
        <v>2327</v>
      </c>
      <c r="L2914" s="761">
        <v>44712</v>
      </c>
      <c r="M2914" s="761"/>
      <c r="N2914" s="761"/>
      <c r="O2914" s="761" t="s">
        <v>62</v>
      </c>
      <c r="P2914" s="762">
        <v>6.01</v>
      </c>
      <c r="Q2914" s="3"/>
      <c r="R2914" s="3" t="s">
        <v>1757</v>
      </c>
      <c r="S2914" s="3" t="s">
        <v>1757</v>
      </c>
      <c r="T2914" s="3">
        <v>154.33000000000001</v>
      </c>
      <c r="U2914" s="3">
        <v>102.62</v>
      </c>
      <c r="V2914" s="4" t="s">
        <v>2411</v>
      </c>
      <c r="W2914" s="761">
        <v>44713</v>
      </c>
      <c r="X2914" s="761" t="s">
        <v>2411</v>
      </c>
      <c r="Y2914" s="761">
        <v>44714</v>
      </c>
      <c r="Z2914" s="761" t="s">
        <v>62</v>
      </c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</row>
    <row r="2915" spans="1:39">
      <c r="B2915" s="895">
        <v>6</v>
      </c>
      <c r="C2915" s="3" t="s">
        <v>54</v>
      </c>
      <c r="D2915" s="12" t="s">
        <v>6021</v>
      </c>
      <c r="E2915" s="12" t="s">
        <v>6022</v>
      </c>
      <c r="F2915" s="749">
        <v>11</v>
      </c>
      <c r="G2915" s="749" t="s">
        <v>932</v>
      </c>
      <c r="H2915" s="3"/>
      <c r="I2915" s="3">
        <v>143.84</v>
      </c>
      <c r="J2915" s="783"/>
      <c r="K2915" s="3" t="s">
        <v>2327</v>
      </c>
      <c r="L2915" s="761">
        <v>44712</v>
      </c>
      <c r="M2915" s="761"/>
      <c r="N2915" s="761"/>
      <c r="O2915" s="761" t="s">
        <v>62</v>
      </c>
      <c r="P2915" s="762">
        <v>6.27</v>
      </c>
      <c r="Q2915" s="3"/>
      <c r="R2915" s="3" t="s">
        <v>1757</v>
      </c>
      <c r="S2915" s="3" t="s">
        <v>1757</v>
      </c>
      <c r="T2915" s="3">
        <v>156.5</v>
      </c>
      <c r="U2915" s="3">
        <v>102.75</v>
      </c>
      <c r="V2915" s="4" t="s">
        <v>2411</v>
      </c>
      <c r="W2915" s="761">
        <v>44714</v>
      </c>
      <c r="X2915" s="761" t="s">
        <v>2411</v>
      </c>
      <c r="Y2915" s="761">
        <v>44714</v>
      </c>
      <c r="Z2915" s="761" t="s">
        <v>62</v>
      </c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</row>
    <row r="2916" spans="1:39">
      <c r="B2916" s="895">
        <v>6</v>
      </c>
      <c r="C2916" s="3" t="s">
        <v>54</v>
      </c>
      <c r="D2916" s="12" t="s">
        <v>6023</v>
      </c>
      <c r="E2916" s="12" t="s">
        <v>6024</v>
      </c>
      <c r="F2916" s="749">
        <v>12</v>
      </c>
      <c r="G2916" s="749" t="s">
        <v>932</v>
      </c>
      <c r="H2916" s="3"/>
      <c r="I2916" s="3">
        <v>140.80000000000001</v>
      </c>
      <c r="J2916" s="783"/>
      <c r="K2916" s="3" t="s">
        <v>2411</v>
      </c>
      <c r="L2916" s="761">
        <v>44715</v>
      </c>
      <c r="M2916" s="761"/>
      <c r="N2916" s="761"/>
      <c r="O2916" s="761" t="s">
        <v>62</v>
      </c>
      <c r="P2916" s="762">
        <v>6</v>
      </c>
      <c r="Q2916" s="3"/>
      <c r="R2916" s="3" t="s">
        <v>1757</v>
      </c>
      <c r="S2916" s="3" t="s">
        <v>1757</v>
      </c>
      <c r="T2916" s="3">
        <v>153.29</v>
      </c>
      <c r="U2916" s="3">
        <v>102.78</v>
      </c>
      <c r="V2916" s="4" t="s">
        <v>2411</v>
      </c>
      <c r="W2916" s="761">
        <v>44715</v>
      </c>
      <c r="X2916" s="761" t="s">
        <v>2411</v>
      </c>
      <c r="Y2916" s="761">
        <v>44714</v>
      </c>
      <c r="Z2916" s="761" t="s">
        <v>62</v>
      </c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</row>
    <row r="2917" spans="1:39">
      <c r="B2917" s="895">
        <v>6</v>
      </c>
      <c r="C2917" s="3" t="s">
        <v>54</v>
      </c>
      <c r="D2917" s="12" t="s">
        <v>6025</v>
      </c>
      <c r="E2917" s="12" t="s">
        <v>6026</v>
      </c>
      <c r="F2917" s="749">
        <v>13</v>
      </c>
      <c r="G2917" s="749" t="s">
        <v>932</v>
      </c>
      <c r="H2917" s="3"/>
      <c r="I2917" s="3">
        <v>140.91999999999999</v>
      </c>
      <c r="J2917" s="783"/>
      <c r="K2917" s="3" t="s">
        <v>2411</v>
      </c>
      <c r="L2917" s="761">
        <v>44715</v>
      </c>
      <c r="M2917" s="761"/>
      <c r="N2917" s="761"/>
      <c r="O2917" s="761" t="s">
        <v>62</v>
      </c>
      <c r="P2917" s="762">
        <v>5.98</v>
      </c>
      <c r="Q2917" s="3"/>
      <c r="R2917" s="3" t="s">
        <v>1757</v>
      </c>
      <c r="S2917" s="3" t="s">
        <v>1757</v>
      </c>
      <c r="T2917" s="3">
        <v>153.47</v>
      </c>
      <c r="U2917" s="3">
        <v>102.85</v>
      </c>
      <c r="V2917" s="4" t="s">
        <v>2411</v>
      </c>
      <c r="W2917" s="761">
        <v>44715</v>
      </c>
      <c r="X2917" s="761" t="s">
        <v>2411</v>
      </c>
      <c r="Y2917" s="761">
        <v>44715</v>
      </c>
      <c r="Z2917" s="761" t="s">
        <v>62</v>
      </c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</row>
    <row r="2918" spans="1:39">
      <c r="B2918" s="895">
        <v>6</v>
      </c>
      <c r="C2918" s="3" t="s">
        <v>54</v>
      </c>
      <c r="D2918" s="12" t="s">
        <v>6027</v>
      </c>
      <c r="E2918" s="12" t="s">
        <v>6028</v>
      </c>
      <c r="F2918" s="749">
        <v>14</v>
      </c>
      <c r="G2918" s="749" t="s">
        <v>932</v>
      </c>
      <c r="H2918" s="3"/>
      <c r="I2918" s="3">
        <v>145.88</v>
      </c>
      <c r="J2918" s="783"/>
      <c r="K2918" s="3" t="s">
        <v>2411</v>
      </c>
      <c r="L2918" s="761">
        <v>44715</v>
      </c>
      <c r="M2918" s="761"/>
      <c r="N2918" s="761"/>
      <c r="O2918" s="761" t="s">
        <v>62</v>
      </c>
      <c r="P2918" s="762">
        <v>6.25</v>
      </c>
      <c r="Q2918" s="3"/>
      <c r="R2918" s="3" t="s">
        <v>1757</v>
      </c>
      <c r="S2918" s="3" t="s">
        <v>1757</v>
      </c>
      <c r="T2918" s="3">
        <v>158.12</v>
      </c>
      <c r="U2918" s="3">
        <v>102.79</v>
      </c>
      <c r="V2918" s="4" t="s">
        <v>2411</v>
      </c>
      <c r="W2918" s="761">
        <v>44715</v>
      </c>
      <c r="X2918" s="761" t="s">
        <v>2411</v>
      </c>
      <c r="Y2918" s="761">
        <v>44715</v>
      </c>
      <c r="Z2918" s="761" t="s">
        <v>62</v>
      </c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</row>
    <row r="2919" spans="1:39">
      <c r="B2919" s="895">
        <v>6</v>
      </c>
      <c r="C2919" s="3" t="s">
        <v>54</v>
      </c>
      <c r="D2919" s="12" t="s">
        <v>6029</v>
      </c>
      <c r="E2919" s="12" t="s">
        <v>6030</v>
      </c>
      <c r="F2919" s="749">
        <v>15</v>
      </c>
      <c r="G2919" s="749" t="s">
        <v>932</v>
      </c>
      <c r="H2919" s="3"/>
      <c r="I2919" s="3">
        <v>138.4</v>
      </c>
      <c r="J2919" s="783"/>
      <c r="K2919" s="3" t="s">
        <v>2411</v>
      </c>
      <c r="L2919" s="761">
        <v>44718</v>
      </c>
      <c r="M2919" s="761"/>
      <c r="N2919" s="761"/>
      <c r="O2919" s="761" t="s">
        <v>62</v>
      </c>
      <c r="P2919" s="762">
        <v>6.04</v>
      </c>
      <c r="Q2919" s="3"/>
      <c r="R2919" s="3" t="s">
        <v>1757</v>
      </c>
      <c r="S2919" s="3" t="s">
        <v>1757</v>
      </c>
      <c r="T2919" s="3">
        <v>151.1</v>
      </c>
      <c r="U2919" s="3">
        <v>102.46</v>
      </c>
      <c r="V2919" s="4" t="s">
        <v>2411</v>
      </c>
      <c r="W2919" s="761">
        <v>44718</v>
      </c>
      <c r="X2919" s="761" t="s">
        <v>2411</v>
      </c>
      <c r="Y2919" s="761">
        <v>44718</v>
      </c>
      <c r="Z2919" s="761" t="s">
        <v>62</v>
      </c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</row>
    <row r="2920" spans="1:39">
      <c r="B2920" s="895">
        <v>6</v>
      </c>
      <c r="C2920" s="3" t="s">
        <v>54</v>
      </c>
      <c r="D2920" s="12" t="s">
        <v>6031</v>
      </c>
      <c r="E2920" s="12" t="s">
        <v>6032</v>
      </c>
      <c r="F2920" s="749">
        <v>16</v>
      </c>
      <c r="G2920" s="749" t="s">
        <v>932</v>
      </c>
      <c r="H2920" s="3"/>
      <c r="I2920" s="3">
        <v>141.56</v>
      </c>
      <c r="J2920" s="783"/>
      <c r="K2920" s="3" t="s">
        <v>2411</v>
      </c>
      <c r="L2920" s="761">
        <v>44718</v>
      </c>
      <c r="M2920" s="761"/>
      <c r="N2920" s="761"/>
      <c r="O2920" s="761" t="s">
        <v>62</v>
      </c>
      <c r="P2920" s="762">
        <v>6.1</v>
      </c>
      <c r="Q2920" s="3"/>
      <c r="R2920" s="3" t="s">
        <v>1757</v>
      </c>
      <c r="S2920" s="3" t="s">
        <v>1757</v>
      </c>
      <c r="T2920" s="3">
        <v>154.21</v>
      </c>
      <c r="U2920" s="3">
        <v>102.36</v>
      </c>
      <c r="V2920" s="4" t="s">
        <v>2411</v>
      </c>
      <c r="W2920" s="761">
        <v>44718</v>
      </c>
      <c r="X2920" s="761" t="s">
        <v>2411</v>
      </c>
      <c r="Y2920" s="761">
        <v>44718</v>
      </c>
      <c r="Z2920" s="761" t="s">
        <v>62</v>
      </c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</row>
    <row r="2921" spans="1:39">
      <c r="B2921" s="895">
        <v>6</v>
      </c>
      <c r="C2921" s="3" t="s">
        <v>54</v>
      </c>
      <c r="D2921" s="12" t="s">
        <v>6033</v>
      </c>
      <c r="E2921" s="12" t="s">
        <v>6034</v>
      </c>
      <c r="F2921" s="749">
        <v>17</v>
      </c>
      <c r="G2921" s="749" t="s">
        <v>932</v>
      </c>
      <c r="H2921" s="3"/>
      <c r="I2921" s="3">
        <v>144.72</v>
      </c>
      <c r="J2921" s="783"/>
      <c r="K2921" s="3" t="s">
        <v>2411</v>
      </c>
      <c r="L2921" s="761">
        <v>44718</v>
      </c>
      <c r="M2921" s="761"/>
      <c r="N2921" s="761"/>
      <c r="O2921" s="761" t="s">
        <v>62</v>
      </c>
      <c r="P2921" s="762">
        <v>6.07</v>
      </c>
      <c r="Q2921" s="3"/>
      <c r="R2921" s="3" t="s">
        <v>1757</v>
      </c>
      <c r="S2921" s="3" t="s">
        <v>1757</v>
      </c>
      <c r="T2921" s="3">
        <v>157</v>
      </c>
      <c r="U2921" s="3">
        <v>102.69</v>
      </c>
      <c r="V2921" s="4" t="s">
        <v>2411</v>
      </c>
      <c r="W2921" s="761">
        <v>44719</v>
      </c>
      <c r="X2921" s="761" t="s">
        <v>2411</v>
      </c>
      <c r="Y2921" s="761">
        <v>44718</v>
      </c>
      <c r="Z2921" s="761" t="s">
        <v>62</v>
      </c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</row>
    <row r="2922" spans="1:39">
      <c r="B2922" s="1496" t="s">
        <v>72</v>
      </c>
      <c r="C2922" s="3" t="s">
        <v>54</v>
      </c>
      <c r="D2922" s="12" t="s">
        <v>6035</v>
      </c>
      <c r="E2922" s="12" t="s">
        <v>6036</v>
      </c>
      <c r="F2922" s="749">
        <v>18</v>
      </c>
      <c r="G2922" s="749" t="s">
        <v>1041</v>
      </c>
      <c r="H2922" s="3"/>
      <c r="I2922" s="3">
        <v>144</v>
      </c>
      <c r="J2922" s="783"/>
      <c r="K2922" s="3" t="s">
        <v>2411</v>
      </c>
      <c r="L2922" s="761">
        <v>44718</v>
      </c>
      <c r="M2922" s="761"/>
      <c r="N2922" s="761"/>
      <c r="O2922" s="761" t="s">
        <v>62</v>
      </c>
      <c r="P2922" s="762">
        <v>6.04</v>
      </c>
      <c r="Q2922" s="3"/>
      <c r="R2922" s="3" t="s">
        <v>1757</v>
      </c>
      <c r="S2922" s="3" t="s">
        <v>1757</v>
      </c>
      <c r="T2922" s="3">
        <v>156.43</v>
      </c>
      <c r="U2922" s="3">
        <v>102.58</v>
      </c>
      <c r="V2922" s="4" t="s">
        <v>2411</v>
      </c>
      <c r="W2922" s="761">
        <v>44719</v>
      </c>
      <c r="X2922" s="761" t="s">
        <v>2411</v>
      </c>
      <c r="Y2922" s="761">
        <v>44719</v>
      </c>
      <c r="Z2922" s="761" t="s">
        <v>62</v>
      </c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4"/>
    </row>
    <row r="2923" spans="1:39" s="707" customFormat="1">
      <c r="A2923"/>
      <c r="B2923" s="797" t="s">
        <v>13</v>
      </c>
      <c r="C2923" s="807"/>
      <c r="D2923" s="875"/>
      <c r="E2923" s="875"/>
      <c r="F2923" s="808"/>
      <c r="G2923" s="808"/>
      <c r="H2923" s="807"/>
      <c r="I2923" s="807"/>
      <c r="J2923" s="809"/>
      <c r="K2923" s="807"/>
      <c r="L2923" s="819"/>
      <c r="M2923" s="819"/>
      <c r="N2923" s="819"/>
      <c r="O2923" s="819"/>
      <c r="P2923" s="820"/>
      <c r="Q2923" s="807"/>
      <c r="R2923" s="807"/>
      <c r="S2923" s="807"/>
      <c r="T2923" s="807"/>
      <c r="U2923" s="807"/>
      <c r="V2923" s="710"/>
      <c r="W2923" s="819"/>
      <c r="X2923" s="819"/>
      <c r="Y2923" s="819"/>
      <c r="Z2923" s="819"/>
      <c r="AA2923" s="710"/>
      <c r="AB2923" s="710"/>
      <c r="AC2923" s="710"/>
      <c r="AD2923" s="710"/>
      <c r="AE2923" s="710"/>
      <c r="AF2923" s="710"/>
      <c r="AG2923" s="710"/>
      <c r="AH2923" s="710"/>
      <c r="AI2923" s="710"/>
      <c r="AJ2923" s="710"/>
      <c r="AK2923" s="710"/>
      <c r="AL2923" s="710"/>
      <c r="AM2923" s="710"/>
    </row>
    <row r="2924" spans="1:39">
      <c r="B2924" s="895">
        <v>7</v>
      </c>
      <c r="C2924" s="3" t="s">
        <v>54</v>
      </c>
      <c r="D2924" s="12" t="s">
        <v>6037</v>
      </c>
      <c r="E2924" s="12" t="s">
        <v>6038</v>
      </c>
      <c r="F2924" s="749">
        <v>1</v>
      </c>
      <c r="G2924" s="749" t="s">
        <v>60</v>
      </c>
      <c r="H2924" s="3"/>
      <c r="I2924" s="3">
        <v>140.82</v>
      </c>
      <c r="J2924" s="783"/>
      <c r="K2924" s="3" t="s">
        <v>2512</v>
      </c>
      <c r="L2924" s="761">
        <v>44749</v>
      </c>
      <c r="M2924" s="761"/>
      <c r="N2924" s="761"/>
      <c r="O2924" s="761" t="s">
        <v>62</v>
      </c>
      <c r="P2924" s="762">
        <v>6.18</v>
      </c>
      <c r="Q2924" s="3"/>
      <c r="R2924" s="3" t="s">
        <v>1757</v>
      </c>
      <c r="S2924" s="3" t="s">
        <v>1757</v>
      </c>
      <c r="T2924" s="3">
        <v>153.29</v>
      </c>
      <c r="U2924" s="3">
        <v>107.16</v>
      </c>
      <c r="V2924" s="4" t="str">
        <f t="shared" ref="V2924:V2933" si="48">TEXT(W2924,"mmmm")</f>
        <v>July</v>
      </c>
      <c r="W2924" s="761">
        <v>44750</v>
      </c>
      <c r="X2924" s="761" t="s">
        <v>2512</v>
      </c>
      <c r="Y2924" s="761">
        <v>44750</v>
      </c>
      <c r="Z2924" s="761" t="s">
        <v>62</v>
      </c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</row>
    <row r="2925" spans="1:39">
      <c r="B2925" s="895">
        <v>7</v>
      </c>
      <c r="C2925" s="3" t="s">
        <v>54</v>
      </c>
      <c r="D2925" s="12" t="s">
        <v>6039</v>
      </c>
      <c r="E2925" s="12" t="s">
        <v>6040</v>
      </c>
      <c r="F2925" s="749">
        <v>2</v>
      </c>
      <c r="G2925" s="749" t="s">
        <v>60</v>
      </c>
      <c r="H2925" s="3"/>
      <c r="I2925" s="3">
        <v>143.82</v>
      </c>
      <c r="J2925" s="783"/>
      <c r="K2925" s="3" t="s">
        <v>2512</v>
      </c>
      <c r="L2925" s="761">
        <v>44749</v>
      </c>
      <c r="M2925" s="761"/>
      <c r="N2925" s="761"/>
      <c r="O2925" s="761" t="s">
        <v>62</v>
      </c>
      <c r="P2925" s="762">
        <v>5.87</v>
      </c>
      <c r="Q2925" s="3"/>
      <c r="R2925" s="3" t="s">
        <v>1757</v>
      </c>
      <c r="S2925" s="3" t="s">
        <v>1757</v>
      </c>
      <c r="T2925" s="3">
        <v>156.36000000000001</v>
      </c>
      <c r="U2925" s="3">
        <v>102.47</v>
      </c>
      <c r="V2925" s="4" t="str">
        <f t="shared" si="48"/>
        <v>July</v>
      </c>
      <c r="W2925" s="761">
        <v>44750</v>
      </c>
      <c r="X2925" s="761" t="s">
        <v>2512</v>
      </c>
      <c r="Y2925" s="761">
        <v>44750</v>
      </c>
      <c r="Z2925" s="761" t="s">
        <v>62</v>
      </c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</row>
    <row r="2926" spans="1:39">
      <c r="B2926" s="895">
        <v>7</v>
      </c>
      <c r="C2926" s="3" t="s">
        <v>54</v>
      </c>
      <c r="D2926" s="12" t="s">
        <v>6041</v>
      </c>
      <c r="E2926" s="12" t="s">
        <v>6042</v>
      </c>
      <c r="F2926" s="749">
        <v>3</v>
      </c>
      <c r="G2926" s="749" t="s">
        <v>60</v>
      </c>
      <c r="H2926" s="3"/>
      <c r="I2926" s="3">
        <v>143.13999999999999</v>
      </c>
      <c r="J2926" s="783"/>
      <c r="K2926" s="3" t="s">
        <v>2512</v>
      </c>
      <c r="L2926" s="761">
        <v>44749</v>
      </c>
      <c r="M2926" s="761"/>
      <c r="N2926" s="761"/>
      <c r="O2926" s="761" t="s">
        <v>62</v>
      </c>
      <c r="P2926" s="762">
        <v>6.16</v>
      </c>
      <c r="Q2926" s="3"/>
      <c r="R2926" s="3" t="s">
        <v>1757</v>
      </c>
      <c r="S2926" s="3" t="s">
        <v>1757</v>
      </c>
      <c r="T2926" s="3">
        <v>155.63</v>
      </c>
      <c r="U2926" s="3">
        <v>102.72</v>
      </c>
      <c r="V2926" s="4" t="str">
        <f t="shared" si="48"/>
        <v>July</v>
      </c>
      <c r="W2926" s="761">
        <v>44750</v>
      </c>
      <c r="X2926" s="761" t="s">
        <v>2512</v>
      </c>
      <c r="Y2926" s="761">
        <v>44753</v>
      </c>
      <c r="Z2926" s="761" t="s">
        <v>62</v>
      </c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/>
    </row>
    <row r="2927" spans="1:39">
      <c r="B2927" s="895">
        <v>7</v>
      </c>
      <c r="C2927" s="3" t="s">
        <v>54</v>
      </c>
      <c r="D2927" s="12" t="s">
        <v>6043</v>
      </c>
      <c r="E2927" s="12" t="s">
        <v>6044</v>
      </c>
      <c r="F2927" s="749">
        <v>4</v>
      </c>
      <c r="G2927" s="749" t="s">
        <v>60</v>
      </c>
      <c r="H2927" s="3"/>
      <c r="I2927" s="3">
        <v>140.61000000000001</v>
      </c>
      <c r="J2927" s="783"/>
      <c r="K2927" s="3" t="s">
        <v>2512</v>
      </c>
      <c r="L2927" s="761">
        <v>44750</v>
      </c>
      <c r="M2927" s="761"/>
      <c r="N2927" s="761"/>
      <c r="O2927" s="761" t="s">
        <v>62</v>
      </c>
      <c r="P2927" s="762">
        <v>6.18</v>
      </c>
      <c r="Q2927" s="3"/>
      <c r="R2927" s="3" t="s">
        <v>1757</v>
      </c>
      <c r="S2927" s="3" t="s">
        <v>1757</v>
      </c>
      <c r="T2927" s="3">
        <v>153.1</v>
      </c>
      <c r="U2927" s="3">
        <v>102.96</v>
      </c>
      <c r="V2927" s="4" t="str">
        <f t="shared" si="48"/>
        <v>July</v>
      </c>
      <c r="W2927" s="761">
        <v>44753</v>
      </c>
      <c r="X2927" s="761" t="s">
        <v>2512</v>
      </c>
      <c r="Y2927" s="761">
        <v>44753</v>
      </c>
      <c r="Z2927" s="761" t="s">
        <v>62</v>
      </c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/>
    </row>
    <row r="2928" spans="1:39">
      <c r="B2928" s="895">
        <v>7</v>
      </c>
      <c r="C2928" s="3" t="s">
        <v>54</v>
      </c>
      <c r="D2928" s="12" t="s">
        <v>6045</v>
      </c>
      <c r="E2928" s="12" t="s">
        <v>6046</v>
      </c>
      <c r="F2928" s="749">
        <v>5</v>
      </c>
      <c r="G2928" s="749" t="s">
        <v>60</v>
      </c>
      <c r="H2928" s="3"/>
      <c r="I2928" s="3">
        <v>143.63</v>
      </c>
      <c r="J2928" s="783"/>
      <c r="K2928" s="3" t="s">
        <v>2512</v>
      </c>
      <c r="L2928" s="761">
        <v>44750</v>
      </c>
      <c r="M2928" s="761"/>
      <c r="N2928" s="761"/>
      <c r="O2928" s="761" t="s">
        <v>62</v>
      </c>
      <c r="P2928" s="762">
        <v>6.26</v>
      </c>
      <c r="Q2928" s="3"/>
      <c r="R2928" s="3" t="s">
        <v>1757</v>
      </c>
      <c r="S2928" s="3" t="s">
        <v>1757</v>
      </c>
      <c r="T2928" s="3">
        <v>156.09</v>
      </c>
      <c r="U2928" s="3">
        <v>102.59</v>
      </c>
      <c r="V2928" s="4" t="str">
        <f t="shared" si="48"/>
        <v>July</v>
      </c>
      <c r="W2928" s="761">
        <v>44753</v>
      </c>
      <c r="X2928" s="761" t="s">
        <v>2512</v>
      </c>
      <c r="Y2928" s="761">
        <v>44754</v>
      </c>
      <c r="Z2928" s="761" t="s">
        <v>62</v>
      </c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</row>
    <row r="2929" spans="1:39">
      <c r="B2929" s="895">
        <v>7</v>
      </c>
      <c r="C2929" s="3" t="s">
        <v>54</v>
      </c>
      <c r="D2929" s="12" t="s">
        <v>6047</v>
      </c>
      <c r="E2929" s="12" t="s">
        <v>6048</v>
      </c>
      <c r="F2929" s="749">
        <v>6</v>
      </c>
      <c r="G2929" s="749" t="s">
        <v>60</v>
      </c>
      <c r="H2929" s="3"/>
      <c r="I2929" s="3">
        <v>144.80000000000001</v>
      </c>
      <c r="J2929" s="783"/>
      <c r="K2929" s="3" t="s">
        <v>2512</v>
      </c>
      <c r="L2929" s="761">
        <v>44750</v>
      </c>
      <c r="M2929" s="761"/>
      <c r="N2929" s="761"/>
      <c r="O2929" s="761" t="s">
        <v>62</v>
      </c>
      <c r="P2929" s="762">
        <v>6.25</v>
      </c>
      <c r="Q2929" s="3"/>
      <c r="R2929" s="3" t="s">
        <v>1757</v>
      </c>
      <c r="S2929" s="3" t="s">
        <v>1757</v>
      </c>
      <c r="T2929" s="3">
        <v>156.88999999999999</v>
      </c>
      <c r="U2929" s="3">
        <v>102.79</v>
      </c>
      <c r="V2929" s="4" t="str">
        <f t="shared" si="48"/>
        <v>July</v>
      </c>
      <c r="W2929" s="761">
        <v>44753</v>
      </c>
      <c r="X2929" s="761" t="s">
        <v>2512</v>
      </c>
      <c r="Y2929" s="761">
        <v>44754</v>
      </c>
      <c r="Z2929" s="761" t="s">
        <v>62</v>
      </c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</row>
    <row r="2930" spans="1:39">
      <c r="B2930" s="895">
        <v>7</v>
      </c>
      <c r="C2930" s="3" t="s">
        <v>54</v>
      </c>
      <c r="D2930" s="12" t="s">
        <v>6049</v>
      </c>
      <c r="E2930" s="12" t="s">
        <v>6050</v>
      </c>
      <c r="F2930" s="749">
        <v>7</v>
      </c>
      <c r="G2930" s="749" t="s">
        <v>60</v>
      </c>
      <c r="H2930" s="3"/>
      <c r="I2930" s="3">
        <v>141.58000000000001</v>
      </c>
      <c r="J2930" s="783"/>
      <c r="K2930" s="3" t="s">
        <v>2512</v>
      </c>
      <c r="L2930" s="761">
        <v>44753</v>
      </c>
      <c r="M2930" s="761"/>
      <c r="N2930" s="761"/>
      <c r="O2930" s="761" t="s">
        <v>62</v>
      </c>
      <c r="P2930" s="762">
        <v>6</v>
      </c>
      <c r="Q2930" s="3"/>
      <c r="R2930" s="3" t="s">
        <v>1757</v>
      </c>
      <c r="S2930" s="3" t="s">
        <v>1757</v>
      </c>
      <c r="T2930" s="3">
        <v>154.09</v>
      </c>
      <c r="U2930" s="3">
        <v>102.64</v>
      </c>
      <c r="V2930" s="4" t="str">
        <f t="shared" si="48"/>
        <v>July</v>
      </c>
      <c r="W2930" s="761">
        <v>44753</v>
      </c>
      <c r="X2930" s="761" t="s">
        <v>2512</v>
      </c>
      <c r="Y2930" s="761">
        <v>44754</v>
      </c>
      <c r="Z2930" s="761" t="s">
        <v>62</v>
      </c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</row>
    <row r="2931" spans="1:39">
      <c r="B2931" s="895">
        <v>7</v>
      </c>
      <c r="C2931" s="3" t="s">
        <v>54</v>
      </c>
      <c r="D2931" s="12" t="s">
        <v>6051</v>
      </c>
      <c r="E2931" s="12" t="s">
        <v>6052</v>
      </c>
      <c r="F2931" s="749">
        <v>8</v>
      </c>
      <c r="G2931" s="749" t="s">
        <v>60</v>
      </c>
      <c r="H2931" s="3"/>
      <c r="I2931" s="3">
        <v>143.93</v>
      </c>
      <c r="J2931" s="783"/>
      <c r="K2931" s="3" t="s">
        <v>2512</v>
      </c>
      <c r="L2931" s="761">
        <v>44753</v>
      </c>
      <c r="M2931" s="761"/>
      <c r="N2931" s="761"/>
      <c r="O2931" s="761" t="s">
        <v>62</v>
      </c>
      <c r="P2931" s="762">
        <v>6.24</v>
      </c>
      <c r="Q2931" s="3"/>
      <c r="R2931" s="3" t="s">
        <v>1757</v>
      </c>
      <c r="S2931" s="3" t="s">
        <v>1757</v>
      </c>
      <c r="T2931" s="3">
        <v>156.47</v>
      </c>
      <c r="U2931" s="3">
        <v>102.6</v>
      </c>
      <c r="V2931" s="4" t="str">
        <f t="shared" si="48"/>
        <v>July</v>
      </c>
      <c r="W2931" s="761">
        <v>44753</v>
      </c>
      <c r="X2931" s="761" t="s">
        <v>2512</v>
      </c>
      <c r="Y2931" s="761">
        <v>44754</v>
      </c>
      <c r="Z2931" s="761" t="s">
        <v>62</v>
      </c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</row>
    <row r="2932" spans="1:39">
      <c r="B2932" s="895">
        <v>7</v>
      </c>
      <c r="C2932" s="3" t="s">
        <v>54</v>
      </c>
      <c r="D2932" s="12" t="s">
        <v>6053</v>
      </c>
      <c r="E2932" s="12" t="s">
        <v>6054</v>
      </c>
      <c r="F2932" s="749">
        <v>9</v>
      </c>
      <c r="G2932" s="749" t="s">
        <v>60</v>
      </c>
      <c r="H2932" s="3"/>
      <c r="I2932" s="3">
        <v>143.22</v>
      </c>
      <c r="J2932" s="783"/>
      <c r="K2932" s="3" t="s">
        <v>2512</v>
      </c>
      <c r="L2932" s="761">
        <v>44753</v>
      </c>
      <c r="M2932" s="761"/>
      <c r="N2932" s="761"/>
      <c r="O2932" s="761" t="s">
        <v>62</v>
      </c>
      <c r="P2932" s="762">
        <v>6.25</v>
      </c>
      <c r="Q2932" s="3"/>
      <c r="R2932" s="3" t="s">
        <v>1757</v>
      </c>
      <c r="S2932" s="3" t="s">
        <v>1757</v>
      </c>
      <c r="T2932" s="3">
        <v>155.6</v>
      </c>
      <c r="U2932" s="3">
        <v>102.49</v>
      </c>
      <c r="V2932" s="4" t="str">
        <f t="shared" si="48"/>
        <v>July</v>
      </c>
      <c r="W2932" s="761">
        <v>44754</v>
      </c>
      <c r="X2932" s="761" t="s">
        <v>2512</v>
      </c>
      <c r="Y2932" s="761">
        <v>44754</v>
      </c>
      <c r="Z2932" s="761" t="s">
        <v>62</v>
      </c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</row>
    <row r="2933" spans="1:39">
      <c r="B2933" s="895">
        <v>7</v>
      </c>
      <c r="C2933" s="3" t="s">
        <v>54</v>
      </c>
      <c r="D2933" s="12" t="s">
        <v>6055</v>
      </c>
      <c r="E2933" s="12" t="s">
        <v>6056</v>
      </c>
      <c r="F2933" s="749">
        <v>10</v>
      </c>
      <c r="G2933" s="749" t="s">
        <v>60</v>
      </c>
      <c r="H2933" s="3"/>
      <c r="I2933" s="3">
        <v>141.25</v>
      </c>
      <c r="J2933" s="783"/>
      <c r="K2933" s="3" t="s">
        <v>2512</v>
      </c>
      <c r="L2933" s="761">
        <v>44754</v>
      </c>
      <c r="M2933" s="761"/>
      <c r="N2933" s="761"/>
      <c r="O2933" s="761" t="s">
        <v>62</v>
      </c>
      <c r="P2933" s="762">
        <v>6.32</v>
      </c>
      <c r="Q2933" s="3"/>
      <c r="R2933" s="3" t="s">
        <v>1757</v>
      </c>
      <c r="S2933" s="3" t="s">
        <v>1757</v>
      </c>
      <c r="T2933" s="3">
        <v>153.80000000000001</v>
      </c>
      <c r="U2933" s="3">
        <v>102.61</v>
      </c>
      <c r="V2933" s="4" t="str">
        <f t="shared" si="48"/>
        <v>July</v>
      </c>
      <c r="W2933" s="761">
        <v>44754</v>
      </c>
      <c r="X2933" s="761" t="s">
        <v>2512</v>
      </c>
      <c r="Y2933" s="761">
        <v>44754</v>
      </c>
      <c r="Z2933" s="761" t="s">
        <v>62</v>
      </c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</row>
    <row r="2934" spans="1:39" s="707" customFormat="1">
      <c r="A2934"/>
      <c r="B2934" s="797" t="s">
        <v>13</v>
      </c>
      <c r="C2934" s="807"/>
      <c r="D2934" s="875"/>
      <c r="E2934" s="875"/>
      <c r="F2934" s="808"/>
      <c r="G2934" s="808"/>
      <c r="H2934" s="807"/>
      <c r="I2934" s="807"/>
      <c r="J2934" s="809"/>
      <c r="K2934" s="807"/>
      <c r="L2934" s="819"/>
      <c r="M2934" s="819"/>
      <c r="N2934" s="819"/>
      <c r="O2934" s="819"/>
      <c r="P2934" s="820"/>
      <c r="Q2934" s="807"/>
      <c r="R2934" s="807"/>
      <c r="S2934" s="807"/>
      <c r="T2934" s="807"/>
      <c r="U2934" s="807"/>
      <c r="V2934" s="710"/>
      <c r="W2934" s="819"/>
      <c r="X2934" s="819"/>
      <c r="Y2934" s="819"/>
      <c r="Z2934" s="819"/>
      <c r="AA2934" s="710"/>
      <c r="AB2934" s="710"/>
      <c r="AC2934" s="710"/>
      <c r="AD2934" s="710"/>
      <c r="AE2934" s="710"/>
      <c r="AF2934" s="710"/>
      <c r="AG2934" s="710"/>
      <c r="AH2934" s="710"/>
      <c r="AI2934" s="710"/>
      <c r="AJ2934" s="710"/>
      <c r="AK2934" s="710"/>
      <c r="AL2934" s="710"/>
      <c r="AM2934" s="710"/>
    </row>
    <row r="2935" spans="1:39">
      <c r="B2935" s="895">
        <v>9</v>
      </c>
      <c r="C2935" s="3" t="s">
        <v>54</v>
      </c>
      <c r="D2935" s="12" t="s">
        <v>6057</v>
      </c>
      <c r="E2935" s="12" t="s">
        <v>6058</v>
      </c>
      <c r="F2935" s="749">
        <v>1</v>
      </c>
      <c r="G2935" s="749" t="s">
        <v>60</v>
      </c>
      <c r="H2935" s="3"/>
      <c r="I2935" s="3">
        <v>138.77000000000001</v>
      </c>
      <c r="J2935" s="783"/>
      <c r="K2935" s="3" t="s">
        <v>2556</v>
      </c>
      <c r="L2935" s="761">
        <v>44799</v>
      </c>
      <c r="M2935" s="761"/>
      <c r="N2935" s="761"/>
      <c r="O2935" s="761" t="s">
        <v>62</v>
      </c>
      <c r="P2935" s="762">
        <v>5.62</v>
      </c>
      <c r="Q2935" s="3"/>
      <c r="R2935" s="3" t="s">
        <v>1757</v>
      </c>
      <c r="S2935" s="3" t="s">
        <v>1757</v>
      </c>
      <c r="T2935" s="3">
        <v>151.11000000000001</v>
      </c>
      <c r="U2935" s="3">
        <v>102.76</v>
      </c>
      <c r="V2935" s="4" t="str">
        <f t="shared" ref="V2935:V2942" si="49">TEXT(W2935,"mmmm")</f>
        <v>August</v>
      </c>
      <c r="W2935" s="761">
        <v>44799</v>
      </c>
      <c r="X2935" s="761" t="s">
        <v>2556</v>
      </c>
      <c r="Y2935" s="761">
        <v>44799</v>
      </c>
      <c r="Z2935" s="761" t="s">
        <v>62</v>
      </c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</row>
    <row r="2936" spans="1:39">
      <c r="B2936" s="895">
        <v>9</v>
      </c>
      <c r="C2936" s="3" t="s">
        <v>54</v>
      </c>
      <c r="D2936" s="12" t="s">
        <v>6059</v>
      </c>
      <c r="E2936" s="12" t="s">
        <v>6060</v>
      </c>
      <c r="F2936" s="749">
        <v>2</v>
      </c>
      <c r="G2936" s="749" t="s">
        <v>60</v>
      </c>
      <c r="H2936" s="3"/>
      <c r="I2936" s="3">
        <v>144.61000000000001</v>
      </c>
      <c r="J2936" s="783"/>
      <c r="K2936" s="3" t="s">
        <v>2556</v>
      </c>
      <c r="L2936" s="761">
        <v>44799</v>
      </c>
      <c r="M2936" s="761"/>
      <c r="N2936" s="761"/>
      <c r="O2936" s="761" t="s">
        <v>62</v>
      </c>
      <c r="P2936" s="762">
        <v>6.27</v>
      </c>
      <c r="Q2936" s="3"/>
      <c r="R2936" s="3" t="s">
        <v>1757</v>
      </c>
      <c r="S2936" s="3" t="s">
        <v>1757</v>
      </c>
      <c r="T2936" s="3">
        <v>157.13</v>
      </c>
      <c r="U2936" s="3">
        <v>102.78</v>
      </c>
      <c r="V2936" s="4" t="str">
        <f t="shared" si="49"/>
        <v>August</v>
      </c>
      <c r="W2936" s="761">
        <v>44799</v>
      </c>
      <c r="X2936" s="761" t="s">
        <v>2556</v>
      </c>
      <c r="Y2936" s="761">
        <v>44799</v>
      </c>
      <c r="Z2936" s="761" t="s">
        <v>62</v>
      </c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  <c r="AM2936" s="4"/>
    </row>
    <row r="2937" spans="1:39">
      <c r="B2937" s="895">
        <v>9</v>
      </c>
      <c r="C2937" s="3" t="s">
        <v>54</v>
      </c>
      <c r="D2937" s="12" t="s">
        <v>6061</v>
      </c>
      <c r="E2937" s="12" t="s">
        <v>6062</v>
      </c>
      <c r="F2937" s="749">
        <v>3</v>
      </c>
      <c r="G2937" s="749" t="s">
        <v>60</v>
      </c>
      <c r="H2937" s="3"/>
      <c r="I2937" s="3">
        <v>145.01</v>
      </c>
      <c r="J2937" s="783"/>
      <c r="K2937" s="3" t="s">
        <v>2556</v>
      </c>
      <c r="L2937" s="761">
        <v>44799</v>
      </c>
      <c r="M2937" s="761"/>
      <c r="N2937" s="761"/>
      <c r="O2937" s="761" t="s">
        <v>62</v>
      </c>
      <c r="P2937" s="762">
        <v>6.34</v>
      </c>
      <c r="Q2937" s="3"/>
      <c r="R2937" s="3" t="s">
        <v>1757</v>
      </c>
      <c r="S2937" s="3" t="s">
        <v>1757</v>
      </c>
      <c r="T2937" s="3">
        <v>157.52000000000001</v>
      </c>
      <c r="U2937" s="3">
        <v>102.62</v>
      </c>
      <c r="V2937" s="4" t="str">
        <f t="shared" si="49"/>
        <v>August</v>
      </c>
      <c r="W2937" s="761">
        <v>44799</v>
      </c>
      <c r="X2937" s="761" t="s">
        <v>2556</v>
      </c>
      <c r="Y2937" s="761">
        <v>44799</v>
      </c>
      <c r="Z2937" s="761" t="s">
        <v>62</v>
      </c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</row>
    <row r="2938" spans="1:39">
      <c r="B2938" s="895">
        <v>9</v>
      </c>
      <c r="C2938" s="3" t="s">
        <v>54</v>
      </c>
      <c r="D2938" s="12" t="s">
        <v>6063</v>
      </c>
      <c r="E2938" s="12" t="s">
        <v>6064</v>
      </c>
      <c r="F2938" s="749">
        <v>4</v>
      </c>
      <c r="G2938" s="749" t="s">
        <v>60</v>
      </c>
      <c r="H2938" s="3"/>
      <c r="I2938" s="762">
        <v>141.16999999999999</v>
      </c>
      <c r="J2938" s="783"/>
      <c r="K2938" s="3" t="s">
        <v>2556</v>
      </c>
      <c r="L2938" s="761">
        <v>44802</v>
      </c>
      <c r="M2938" s="761"/>
      <c r="N2938" s="761"/>
      <c r="O2938" s="761" t="s">
        <v>62</v>
      </c>
      <c r="P2938" s="762">
        <v>6.22</v>
      </c>
      <c r="Q2938" s="3"/>
      <c r="R2938" s="3" t="s">
        <v>1757</v>
      </c>
      <c r="S2938" s="3" t="s">
        <v>1757</v>
      </c>
      <c r="T2938" s="786">
        <v>153.69</v>
      </c>
      <c r="U2938" s="3">
        <v>102.67</v>
      </c>
      <c r="V2938" s="4" t="str">
        <f t="shared" si="49"/>
        <v>August</v>
      </c>
      <c r="W2938" s="761">
        <v>44802</v>
      </c>
      <c r="X2938" s="761" t="s">
        <v>2556</v>
      </c>
      <c r="Y2938" s="761">
        <v>44799</v>
      </c>
      <c r="Z2938" s="761" t="s">
        <v>62</v>
      </c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</row>
    <row r="2939" spans="1:39">
      <c r="B2939" s="895">
        <v>9</v>
      </c>
      <c r="C2939" s="3" t="s">
        <v>54</v>
      </c>
      <c r="D2939" s="12" t="s">
        <v>6065</v>
      </c>
      <c r="E2939" s="12" t="s">
        <v>6066</v>
      </c>
      <c r="F2939" s="749">
        <v>5</v>
      </c>
      <c r="G2939" s="749" t="s">
        <v>60</v>
      </c>
      <c r="H2939" s="3"/>
      <c r="I2939" s="762">
        <v>142.62</v>
      </c>
      <c r="J2939" s="783"/>
      <c r="K2939" s="3" t="s">
        <v>2556</v>
      </c>
      <c r="L2939" s="761">
        <v>44802</v>
      </c>
      <c r="M2939" s="761"/>
      <c r="N2939" s="761"/>
      <c r="O2939" s="761" t="s">
        <v>62</v>
      </c>
      <c r="P2939" s="762">
        <v>6.21</v>
      </c>
      <c r="Q2939" s="3"/>
      <c r="R2939" s="3" t="s">
        <v>1757</v>
      </c>
      <c r="S2939" s="3" t="s">
        <v>1757</v>
      </c>
      <c r="T2939" s="786">
        <v>155.12</v>
      </c>
      <c r="U2939" s="762">
        <v>102.66</v>
      </c>
      <c r="V2939" s="4" t="str">
        <f t="shared" si="49"/>
        <v>August</v>
      </c>
      <c r="W2939" s="761">
        <v>44802</v>
      </c>
      <c r="X2939" s="761" t="s">
        <v>2556</v>
      </c>
      <c r="Y2939" s="761">
        <v>44802</v>
      </c>
      <c r="Z2939" s="761" t="s">
        <v>62</v>
      </c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</row>
    <row r="2940" spans="1:39">
      <c r="B2940" s="895">
        <v>9</v>
      </c>
      <c r="C2940" s="3" t="s">
        <v>54</v>
      </c>
      <c r="D2940" s="12" t="s">
        <v>6067</v>
      </c>
      <c r="E2940" s="12" t="s">
        <v>6068</v>
      </c>
      <c r="F2940" s="749">
        <v>6</v>
      </c>
      <c r="G2940" s="749" t="s">
        <v>60</v>
      </c>
      <c r="H2940" s="3"/>
      <c r="I2940" s="762">
        <v>144.19999999999999</v>
      </c>
      <c r="J2940" s="783"/>
      <c r="K2940" s="3" t="s">
        <v>2556</v>
      </c>
      <c r="L2940" s="761">
        <v>44802</v>
      </c>
      <c r="M2940" s="761"/>
      <c r="N2940" s="761"/>
      <c r="O2940" s="761" t="s">
        <v>62</v>
      </c>
      <c r="P2940" s="762">
        <v>6.03</v>
      </c>
      <c r="Q2940" s="3"/>
      <c r="R2940" s="3" t="s">
        <v>1757</v>
      </c>
      <c r="S2940" s="3" t="s">
        <v>1757</v>
      </c>
      <c r="T2940" s="786">
        <v>156.71</v>
      </c>
      <c r="U2940" s="762">
        <v>102.69</v>
      </c>
      <c r="V2940" s="4" t="str">
        <f t="shared" si="49"/>
        <v>August</v>
      </c>
      <c r="W2940" s="761">
        <v>44802</v>
      </c>
      <c r="X2940" s="761" t="s">
        <v>2556</v>
      </c>
      <c r="Y2940" s="761">
        <v>44802</v>
      </c>
      <c r="Z2940" s="761" t="s">
        <v>62</v>
      </c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/>
    </row>
    <row r="2941" spans="1:39">
      <c r="B2941" s="895">
        <v>9</v>
      </c>
      <c r="C2941" s="3" t="s">
        <v>54</v>
      </c>
      <c r="D2941" s="12" t="s">
        <v>6069</v>
      </c>
      <c r="E2941" s="12" t="s">
        <v>6070</v>
      </c>
      <c r="F2941" s="749">
        <v>7</v>
      </c>
      <c r="G2941" s="749" t="s">
        <v>60</v>
      </c>
      <c r="H2941" s="3"/>
      <c r="I2941" s="762">
        <v>143.61000000000001</v>
      </c>
      <c r="J2941" s="783"/>
      <c r="K2941" s="3" t="s">
        <v>2556</v>
      </c>
      <c r="L2941" s="761">
        <v>44802</v>
      </c>
      <c r="M2941" s="761"/>
      <c r="N2941" s="761"/>
      <c r="O2941" s="761" t="s">
        <v>62</v>
      </c>
      <c r="P2941" s="762">
        <v>6.01</v>
      </c>
      <c r="Q2941" s="3"/>
      <c r="R2941" s="3" t="s">
        <v>1757</v>
      </c>
      <c r="S2941" s="3" t="s">
        <v>1757</v>
      </c>
      <c r="T2941" s="786">
        <v>156.04</v>
      </c>
      <c r="U2941" s="762">
        <v>102.57</v>
      </c>
      <c r="V2941" s="4" t="str">
        <f t="shared" si="49"/>
        <v>August</v>
      </c>
      <c r="W2941" s="761">
        <v>44802</v>
      </c>
      <c r="X2941" s="761" t="s">
        <v>2556</v>
      </c>
      <c r="Y2941" s="761">
        <v>44802</v>
      </c>
      <c r="Z2941" s="761" t="s">
        <v>62</v>
      </c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</row>
    <row r="2942" spans="1:39">
      <c r="B2942" s="895">
        <v>9</v>
      </c>
      <c r="C2942" s="3" t="s">
        <v>54</v>
      </c>
      <c r="D2942" s="12" t="s">
        <v>6071</v>
      </c>
      <c r="E2942" s="12" t="s">
        <v>6072</v>
      </c>
      <c r="F2942" s="749">
        <v>8</v>
      </c>
      <c r="G2942" s="749" t="s">
        <v>60</v>
      </c>
      <c r="H2942" s="3"/>
      <c r="I2942" s="762">
        <v>140.77000000000001</v>
      </c>
      <c r="J2942" s="783"/>
      <c r="K2942" s="3" t="s">
        <v>2556</v>
      </c>
      <c r="L2942" s="761">
        <v>44803</v>
      </c>
      <c r="M2942" s="761"/>
      <c r="N2942" s="761"/>
      <c r="O2942" s="761" t="s">
        <v>62</v>
      </c>
      <c r="P2942" s="762">
        <v>6.19</v>
      </c>
      <c r="Q2942" s="3"/>
      <c r="R2942" s="3" t="s">
        <v>1757</v>
      </c>
      <c r="S2942" s="3" t="s">
        <v>1757</v>
      </c>
      <c r="T2942" s="785">
        <v>153.21</v>
      </c>
      <c r="U2942" s="762">
        <v>102.57</v>
      </c>
      <c r="V2942" s="4" t="str">
        <f t="shared" si="49"/>
        <v>September</v>
      </c>
      <c r="W2942" s="761">
        <v>44805</v>
      </c>
      <c r="X2942" s="761" t="s">
        <v>2556</v>
      </c>
      <c r="Y2942" s="761">
        <v>44802</v>
      </c>
      <c r="Z2942" s="761" t="s">
        <v>62</v>
      </c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</row>
    <row r="2943" spans="1:39">
      <c r="B2943" s="895">
        <v>9</v>
      </c>
      <c r="C2943" s="3" t="s">
        <v>54</v>
      </c>
      <c r="D2943" s="12" t="s">
        <v>6073</v>
      </c>
      <c r="E2943" s="12" t="s">
        <v>6074</v>
      </c>
      <c r="F2943" s="749">
        <v>9</v>
      </c>
      <c r="G2943" s="749" t="s">
        <v>60</v>
      </c>
      <c r="H2943" s="3"/>
      <c r="I2943" s="786">
        <v>140.15</v>
      </c>
      <c r="J2943" s="783"/>
      <c r="K2943" s="761" t="s">
        <v>2661</v>
      </c>
      <c r="L2943" s="761">
        <v>44806</v>
      </c>
      <c r="M2943" s="761"/>
      <c r="N2943" s="761"/>
      <c r="O2943" s="761" t="s">
        <v>62</v>
      </c>
      <c r="P2943" s="882">
        <v>6.25</v>
      </c>
      <c r="Q2943" s="3"/>
      <c r="R2943" s="3" t="s">
        <v>1757</v>
      </c>
      <c r="S2943" s="3" t="s">
        <v>1757</v>
      </c>
      <c r="T2943" s="786">
        <v>152.66999999999999</v>
      </c>
      <c r="U2943" s="786">
        <v>102.58</v>
      </c>
      <c r="V2943" s="4" t="s">
        <v>2661</v>
      </c>
      <c r="W2943" s="761">
        <v>44806</v>
      </c>
      <c r="X2943" s="761" t="s">
        <v>2661</v>
      </c>
      <c r="Y2943" s="761">
        <v>44806</v>
      </c>
      <c r="Z2943" s="761" t="s">
        <v>62</v>
      </c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</row>
    <row r="2944" spans="1:39">
      <c r="B2944" s="895">
        <v>9</v>
      </c>
      <c r="C2944" s="3" t="s">
        <v>54</v>
      </c>
      <c r="D2944" s="12" t="s">
        <v>6075</v>
      </c>
      <c r="E2944" s="12" t="s">
        <v>6076</v>
      </c>
      <c r="F2944" s="749">
        <v>10</v>
      </c>
      <c r="G2944" s="749" t="s">
        <v>60</v>
      </c>
      <c r="H2944" s="3"/>
      <c r="I2944" s="786">
        <v>139.61000000000001</v>
      </c>
      <c r="J2944" s="783"/>
      <c r="K2944" s="761" t="s">
        <v>2661</v>
      </c>
      <c r="L2944" s="761">
        <v>44806</v>
      </c>
      <c r="M2944" s="761"/>
      <c r="N2944" s="761"/>
      <c r="O2944" s="761" t="s">
        <v>62</v>
      </c>
      <c r="P2944" s="882">
        <v>6.02</v>
      </c>
      <c r="Q2944" s="3"/>
      <c r="R2944" s="3" t="s">
        <v>1757</v>
      </c>
      <c r="S2944" s="3" t="s">
        <v>1757</v>
      </c>
      <c r="T2944" s="762">
        <v>152.19999999999999</v>
      </c>
      <c r="U2944" s="786">
        <v>102.65</v>
      </c>
      <c r="V2944" s="4" t="s">
        <v>2661</v>
      </c>
      <c r="W2944" s="761">
        <v>44806</v>
      </c>
      <c r="X2944" s="761" t="s">
        <v>2661</v>
      </c>
      <c r="Y2944" s="761">
        <v>44806</v>
      </c>
      <c r="Z2944" s="761" t="s">
        <v>62</v>
      </c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</row>
    <row r="2945" spans="2:39">
      <c r="B2945" s="895">
        <v>9</v>
      </c>
      <c r="C2945" s="3" t="s">
        <v>54</v>
      </c>
      <c r="D2945" s="12" t="s">
        <v>6077</v>
      </c>
      <c r="E2945" s="12" t="s">
        <v>6078</v>
      </c>
      <c r="F2945" s="749">
        <v>11</v>
      </c>
      <c r="G2945" s="749" t="s">
        <v>60</v>
      </c>
      <c r="H2945" s="3"/>
      <c r="I2945" s="786">
        <v>145.32</v>
      </c>
      <c r="J2945" s="783"/>
      <c r="K2945" s="761" t="s">
        <v>2661</v>
      </c>
      <c r="L2945" s="761">
        <v>44806</v>
      </c>
      <c r="M2945" s="761"/>
      <c r="N2945" s="761"/>
      <c r="O2945" s="761" t="s">
        <v>62</v>
      </c>
      <c r="P2945" s="762">
        <v>6.27</v>
      </c>
      <c r="Q2945" s="3"/>
      <c r="R2945" s="3" t="s">
        <v>1757</v>
      </c>
      <c r="S2945" s="3" t="s">
        <v>1757</v>
      </c>
      <c r="T2945" s="762">
        <v>157.66999999999999</v>
      </c>
      <c r="U2945" s="762">
        <v>102.73</v>
      </c>
      <c r="V2945" s="4" t="s">
        <v>2661</v>
      </c>
      <c r="W2945" s="761">
        <v>44806</v>
      </c>
      <c r="X2945" s="761" t="s">
        <v>2661</v>
      </c>
      <c r="Y2945" s="761">
        <v>44806</v>
      </c>
      <c r="Z2945" s="761" t="s">
        <v>62</v>
      </c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</row>
    <row r="2946" spans="2:39">
      <c r="B2946" s="895">
        <v>9</v>
      </c>
      <c r="C2946" s="3" t="s">
        <v>54</v>
      </c>
      <c r="D2946" s="12" t="s">
        <v>6079</v>
      </c>
      <c r="E2946" s="12" t="s">
        <v>6080</v>
      </c>
      <c r="F2946" s="749">
        <v>12</v>
      </c>
      <c r="G2946" s="749" t="s">
        <v>60</v>
      </c>
      <c r="H2946" s="3"/>
      <c r="I2946" s="786">
        <v>140.71</v>
      </c>
      <c r="J2946" s="783"/>
      <c r="K2946" s="761" t="s">
        <v>2661</v>
      </c>
      <c r="L2946" s="761">
        <v>44809</v>
      </c>
      <c r="M2946" s="761"/>
      <c r="N2946" s="761"/>
      <c r="O2946" s="761" t="s">
        <v>62</v>
      </c>
      <c r="P2946" s="882">
        <v>6.23</v>
      </c>
      <c r="Q2946" s="3"/>
      <c r="R2946" s="3" t="s">
        <v>1757</v>
      </c>
      <c r="S2946" s="3" t="s">
        <v>1757</v>
      </c>
      <c r="T2946" s="786">
        <v>152.80000000000001</v>
      </c>
      <c r="U2946" s="786">
        <v>102.27</v>
      </c>
      <c r="V2946" s="4" t="s">
        <v>2661</v>
      </c>
      <c r="W2946" s="761">
        <v>44810</v>
      </c>
      <c r="X2946" s="761" t="s">
        <v>2661</v>
      </c>
      <c r="Y2946" s="761">
        <v>44809</v>
      </c>
      <c r="Z2946" s="761" t="s">
        <v>62</v>
      </c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4"/>
    </row>
    <row r="2947" spans="2:39">
      <c r="B2947" s="895">
        <v>9</v>
      </c>
      <c r="C2947" s="3" t="s">
        <v>54</v>
      </c>
      <c r="D2947" s="12" t="s">
        <v>6081</v>
      </c>
      <c r="E2947" s="12" t="s">
        <v>6082</v>
      </c>
      <c r="F2947" s="749">
        <v>13</v>
      </c>
      <c r="G2947" s="749" t="s">
        <v>60</v>
      </c>
      <c r="H2947" s="3"/>
      <c r="I2947" s="786">
        <v>141.37</v>
      </c>
      <c r="J2947" s="783"/>
      <c r="K2947" s="761" t="s">
        <v>2661</v>
      </c>
      <c r="L2947" s="761">
        <v>44810</v>
      </c>
      <c r="M2947" s="761"/>
      <c r="N2947" s="761"/>
      <c r="O2947" s="761" t="s">
        <v>62</v>
      </c>
      <c r="P2947" s="882">
        <v>6.21</v>
      </c>
      <c r="Q2947" s="3"/>
      <c r="R2947" s="3" t="s">
        <v>1757</v>
      </c>
      <c r="S2947" s="3" t="s">
        <v>1757</v>
      </c>
      <c r="T2947" s="786">
        <v>154.1</v>
      </c>
      <c r="U2947" s="786">
        <v>102.5</v>
      </c>
      <c r="V2947" s="4" t="s">
        <v>2661</v>
      </c>
      <c r="W2947" s="761">
        <v>44811</v>
      </c>
      <c r="X2947" s="761" t="s">
        <v>2661</v>
      </c>
      <c r="Y2947" s="761">
        <v>44820</v>
      </c>
      <c r="Z2947" s="761" t="s">
        <v>62</v>
      </c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</row>
    <row r="2948" spans="2:39">
      <c r="B2948" s="895">
        <v>9</v>
      </c>
      <c r="C2948" s="3" t="s">
        <v>54</v>
      </c>
      <c r="D2948" s="12" t="s">
        <v>6083</v>
      </c>
      <c r="E2948" s="12" t="s">
        <v>6084</v>
      </c>
      <c r="F2948" s="749">
        <v>14</v>
      </c>
      <c r="G2948" s="749" t="s">
        <v>60</v>
      </c>
      <c r="H2948" s="3"/>
      <c r="I2948" s="786">
        <v>143.01</v>
      </c>
      <c r="J2948" s="783"/>
      <c r="K2948" s="761" t="s">
        <v>2661</v>
      </c>
      <c r="L2948" s="761">
        <v>44810</v>
      </c>
      <c r="M2948" s="761"/>
      <c r="N2948" s="761"/>
      <c r="O2948" s="761" t="s">
        <v>62</v>
      </c>
      <c r="P2948" s="882">
        <v>6.18</v>
      </c>
      <c r="Q2948" s="3"/>
      <c r="R2948" s="3" t="s">
        <v>1757</v>
      </c>
      <c r="S2948" s="3" t="s">
        <v>1757</v>
      </c>
      <c r="T2948" s="786">
        <v>155.58000000000001</v>
      </c>
      <c r="U2948" s="786">
        <v>102.62</v>
      </c>
      <c r="V2948" s="4" t="s">
        <v>2661</v>
      </c>
      <c r="W2948" s="761">
        <v>44818</v>
      </c>
      <c r="X2948" s="761" t="s">
        <v>2661</v>
      </c>
      <c r="Y2948" s="761">
        <v>44820</v>
      </c>
      <c r="Z2948" s="761" t="s">
        <v>62</v>
      </c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4"/>
    </row>
    <row r="2949" spans="2:39">
      <c r="B2949" s="895">
        <v>9</v>
      </c>
      <c r="C2949" s="3" t="s">
        <v>54</v>
      </c>
      <c r="D2949" s="12" t="s">
        <v>6085</v>
      </c>
      <c r="E2949" s="12" t="s">
        <v>6086</v>
      </c>
      <c r="F2949" s="749">
        <v>15</v>
      </c>
      <c r="G2949" s="749" t="s">
        <v>60</v>
      </c>
      <c r="H2949" s="3"/>
      <c r="I2949" s="786">
        <v>144.80000000000001</v>
      </c>
      <c r="J2949" s="783"/>
      <c r="K2949" s="761" t="s">
        <v>2661</v>
      </c>
      <c r="L2949" s="761">
        <v>44810</v>
      </c>
      <c r="M2949" s="761"/>
      <c r="N2949" s="761"/>
      <c r="O2949" s="761" t="s">
        <v>62</v>
      </c>
      <c r="P2949" s="882">
        <v>6.21</v>
      </c>
      <c r="Q2949" s="3"/>
      <c r="R2949" s="3" t="s">
        <v>1757</v>
      </c>
      <c r="S2949" s="3" t="s">
        <v>1757</v>
      </c>
      <c r="T2949" s="786">
        <v>157.32</v>
      </c>
      <c r="U2949" s="786">
        <v>102.48</v>
      </c>
      <c r="V2949" s="4" t="s">
        <v>2661</v>
      </c>
      <c r="W2949" s="761">
        <v>44818</v>
      </c>
      <c r="X2949" s="761" t="s">
        <v>2661</v>
      </c>
      <c r="Y2949" s="761">
        <v>44820</v>
      </c>
      <c r="Z2949" s="761" t="s">
        <v>62</v>
      </c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</row>
    <row r="2950" spans="2:39">
      <c r="B2950" s="895">
        <v>9</v>
      </c>
      <c r="C2950" s="3" t="s">
        <v>54</v>
      </c>
      <c r="D2950" s="12" t="s">
        <v>6087</v>
      </c>
      <c r="E2950" s="12" t="s">
        <v>6088</v>
      </c>
      <c r="F2950" s="749">
        <v>16</v>
      </c>
      <c r="G2950" s="749" t="s">
        <v>60</v>
      </c>
      <c r="H2950" s="3"/>
      <c r="I2950" s="786">
        <v>140.71</v>
      </c>
      <c r="J2950" s="783"/>
      <c r="K2950" s="761" t="s">
        <v>2661</v>
      </c>
      <c r="L2950" s="761">
        <v>44823</v>
      </c>
      <c r="M2950" s="761"/>
      <c r="N2950" s="761"/>
      <c r="O2950" s="761" t="s">
        <v>62</v>
      </c>
      <c r="P2950" s="882">
        <v>6.04</v>
      </c>
      <c r="Q2950" s="3"/>
      <c r="R2950" s="3" t="s">
        <v>130</v>
      </c>
      <c r="S2950" s="3" t="s">
        <v>1757</v>
      </c>
      <c r="T2950" s="762">
        <v>153.09</v>
      </c>
      <c r="U2950" s="786">
        <v>102.58</v>
      </c>
      <c r="V2950" s="4" t="str">
        <f t="shared" ref="V2950:V2972" si="50">TEXT(W2950,"mmmm")</f>
        <v>September</v>
      </c>
      <c r="W2950" s="761">
        <v>44823</v>
      </c>
      <c r="X2950" s="761" t="s">
        <v>2661</v>
      </c>
      <c r="Y2950" s="761">
        <v>44823</v>
      </c>
      <c r="Z2950" s="761" t="s">
        <v>62</v>
      </c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</row>
    <row r="2951" spans="2:39">
      <c r="B2951" s="895">
        <v>9</v>
      </c>
      <c r="C2951" s="3" t="s">
        <v>54</v>
      </c>
      <c r="D2951" s="12" t="s">
        <v>6089</v>
      </c>
      <c r="E2951" s="12" t="s">
        <v>6090</v>
      </c>
      <c r="F2951" s="749">
        <v>17</v>
      </c>
      <c r="G2951" s="749" t="s">
        <v>60</v>
      </c>
      <c r="H2951" s="3"/>
      <c r="I2951" s="762">
        <v>143.04</v>
      </c>
      <c r="J2951" s="783"/>
      <c r="K2951" s="761" t="s">
        <v>2661</v>
      </c>
      <c r="L2951" s="761">
        <v>44823</v>
      </c>
      <c r="M2951" s="761"/>
      <c r="N2951" s="761"/>
      <c r="O2951" s="761" t="s">
        <v>62</v>
      </c>
      <c r="P2951" s="762">
        <v>6.17</v>
      </c>
      <c r="Q2951" s="3"/>
      <c r="R2951" s="3" t="s">
        <v>130</v>
      </c>
      <c r="S2951" s="3" t="s">
        <v>1757</v>
      </c>
      <c r="T2951" s="762">
        <v>155.30000000000001</v>
      </c>
      <c r="U2951" s="786">
        <v>102.51</v>
      </c>
      <c r="V2951" s="4" t="str">
        <f t="shared" si="50"/>
        <v>September</v>
      </c>
      <c r="W2951" s="761">
        <v>44823</v>
      </c>
      <c r="X2951" s="761" t="s">
        <v>2661</v>
      </c>
      <c r="Y2951" s="761">
        <v>44823</v>
      </c>
      <c r="Z2951" s="761" t="s">
        <v>62</v>
      </c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</row>
    <row r="2952" spans="2:39">
      <c r="B2952" s="895">
        <v>9</v>
      </c>
      <c r="C2952" s="3" t="s">
        <v>54</v>
      </c>
      <c r="D2952" s="12" t="s">
        <v>6091</v>
      </c>
      <c r="E2952" s="12" t="s">
        <v>6092</v>
      </c>
      <c r="F2952" s="749">
        <v>18</v>
      </c>
      <c r="G2952" s="749" t="s">
        <v>60</v>
      </c>
      <c r="H2952" s="3"/>
      <c r="I2952" s="762">
        <v>144.41999999999999</v>
      </c>
      <c r="J2952" s="783"/>
      <c r="K2952" s="761" t="s">
        <v>2661</v>
      </c>
      <c r="L2952" s="761">
        <v>44823</v>
      </c>
      <c r="M2952" s="761"/>
      <c r="N2952" s="761"/>
      <c r="O2952" s="761" t="s">
        <v>62</v>
      </c>
      <c r="P2952" s="762">
        <v>6.24</v>
      </c>
      <c r="Q2952" s="3"/>
      <c r="R2952" s="3" t="s">
        <v>1757</v>
      </c>
      <c r="S2952" s="3" t="s">
        <v>1757</v>
      </c>
      <c r="T2952" s="786">
        <v>156.97</v>
      </c>
      <c r="U2952" s="786">
        <v>102.57</v>
      </c>
      <c r="V2952" s="4" t="str">
        <f t="shared" si="50"/>
        <v>September</v>
      </c>
      <c r="W2952" s="761">
        <v>44824</v>
      </c>
      <c r="X2952" s="761" t="s">
        <v>2661</v>
      </c>
      <c r="Y2952" s="761">
        <v>44823</v>
      </c>
      <c r="Z2952" s="761" t="s">
        <v>62</v>
      </c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</row>
    <row r="2953" spans="2:39">
      <c r="B2953" s="895">
        <v>9</v>
      </c>
      <c r="C2953" s="3" t="s">
        <v>54</v>
      </c>
      <c r="D2953" s="12" t="s">
        <v>6093</v>
      </c>
      <c r="E2953" s="12" t="s">
        <v>6094</v>
      </c>
      <c r="F2953" s="749">
        <v>19</v>
      </c>
      <c r="G2953" s="749" t="s">
        <v>60</v>
      </c>
      <c r="H2953" s="3"/>
      <c r="I2953" s="786">
        <v>138.9</v>
      </c>
      <c r="J2953" s="783"/>
      <c r="K2953" s="761" t="s">
        <v>2661</v>
      </c>
      <c r="L2953" s="761">
        <v>44824</v>
      </c>
      <c r="M2953" s="761"/>
      <c r="N2953" s="761"/>
      <c r="O2953" s="761" t="s">
        <v>62</v>
      </c>
      <c r="P2953" s="882">
        <v>6.14</v>
      </c>
      <c r="Q2953" s="3"/>
      <c r="R2953" s="3" t="s">
        <v>1757</v>
      </c>
      <c r="S2953" s="3" t="s">
        <v>1757</v>
      </c>
      <c r="T2953" s="786">
        <v>151.32</v>
      </c>
      <c r="U2953" s="786">
        <v>102.6</v>
      </c>
      <c r="V2953" s="4" t="str">
        <f t="shared" si="50"/>
        <v>September</v>
      </c>
      <c r="W2953" s="761">
        <v>44824</v>
      </c>
      <c r="X2953" s="761" t="s">
        <v>2661</v>
      </c>
      <c r="Y2953" s="761">
        <v>44824</v>
      </c>
      <c r="Z2953" s="761" t="s">
        <v>62</v>
      </c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</row>
    <row r="2954" spans="2:39">
      <c r="B2954" s="895">
        <v>9</v>
      </c>
      <c r="C2954" s="3" t="s">
        <v>54</v>
      </c>
      <c r="D2954" s="12" t="s">
        <v>6095</v>
      </c>
      <c r="E2954" s="12" t="s">
        <v>6096</v>
      </c>
      <c r="F2954" s="749">
        <v>20</v>
      </c>
      <c r="G2954" s="749" t="s">
        <v>60</v>
      </c>
      <c r="H2954" s="3"/>
      <c r="I2954" s="786">
        <v>142.93</v>
      </c>
      <c r="J2954" s="783"/>
      <c r="K2954" s="761" t="s">
        <v>2661</v>
      </c>
      <c r="L2954" s="761">
        <v>44824</v>
      </c>
      <c r="M2954" s="761"/>
      <c r="N2954" s="761"/>
      <c r="O2954" s="761" t="s">
        <v>62</v>
      </c>
      <c r="P2954" s="882">
        <v>6.21</v>
      </c>
      <c r="Q2954" s="3"/>
      <c r="R2954" s="3" t="s">
        <v>1757</v>
      </c>
      <c r="S2954" s="3" t="s">
        <v>1757</v>
      </c>
      <c r="T2954" s="786">
        <v>155.41</v>
      </c>
      <c r="U2954" s="786">
        <v>102.56</v>
      </c>
      <c r="V2954" s="4" t="str">
        <f t="shared" si="50"/>
        <v>September</v>
      </c>
      <c r="W2954" s="761">
        <v>44824</v>
      </c>
      <c r="X2954" s="761" t="s">
        <v>2661</v>
      </c>
      <c r="Y2954" s="761">
        <v>44824</v>
      </c>
      <c r="Z2954" s="761" t="s">
        <v>62</v>
      </c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</row>
    <row r="2955" spans="2:39">
      <c r="B2955" s="895">
        <v>9</v>
      </c>
      <c r="C2955" s="3" t="s">
        <v>54</v>
      </c>
      <c r="D2955" s="12" t="s">
        <v>6097</v>
      </c>
      <c r="E2955" s="12" t="s">
        <v>6098</v>
      </c>
      <c r="F2955" s="749">
        <v>21</v>
      </c>
      <c r="G2955" s="749" t="s">
        <v>60</v>
      </c>
      <c r="H2955" s="3"/>
      <c r="I2955" s="762">
        <v>141.75</v>
      </c>
      <c r="J2955" s="783"/>
      <c r="K2955" s="761" t="s">
        <v>2661</v>
      </c>
      <c r="L2955" s="761">
        <v>44824</v>
      </c>
      <c r="M2955" s="761"/>
      <c r="N2955" s="761"/>
      <c r="O2955" s="761" t="s">
        <v>62</v>
      </c>
      <c r="P2955" s="762">
        <v>6.11</v>
      </c>
      <c r="Q2955" s="3"/>
      <c r="R2955" s="3" t="s">
        <v>905</v>
      </c>
      <c r="S2955" s="3" t="s">
        <v>5549</v>
      </c>
      <c r="T2955" s="786">
        <v>154.36000000000001</v>
      </c>
      <c r="U2955" s="786">
        <v>102.58</v>
      </c>
      <c r="V2955" s="4" t="str">
        <f t="shared" si="50"/>
        <v>September</v>
      </c>
      <c r="W2955" s="761">
        <v>44824</v>
      </c>
      <c r="X2955" s="761" t="s">
        <v>2661</v>
      </c>
      <c r="Y2955" s="761">
        <v>44824</v>
      </c>
      <c r="Z2955" s="761" t="s">
        <v>62</v>
      </c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</row>
    <row r="2956" spans="2:39">
      <c r="B2956" s="895">
        <v>9</v>
      </c>
      <c r="C2956" s="3" t="s">
        <v>54</v>
      </c>
      <c r="D2956" s="12" t="s">
        <v>6099</v>
      </c>
      <c r="E2956" s="12" t="s">
        <v>6100</v>
      </c>
      <c r="F2956" s="749">
        <v>22</v>
      </c>
      <c r="G2956" s="749" t="s">
        <v>60</v>
      </c>
      <c r="H2956" s="3"/>
      <c r="I2956" s="762">
        <v>145.38999999999999</v>
      </c>
      <c r="J2956" s="783"/>
      <c r="K2956" s="761" t="s">
        <v>2661</v>
      </c>
      <c r="L2956" s="761">
        <v>44824</v>
      </c>
      <c r="M2956" s="761"/>
      <c r="N2956" s="761"/>
      <c r="O2956" s="761" t="s">
        <v>62</v>
      </c>
      <c r="P2956" s="762">
        <v>6.09</v>
      </c>
      <c r="Q2956" s="3"/>
      <c r="R2956" s="3" t="s">
        <v>905</v>
      </c>
      <c r="S2956" s="3" t="s">
        <v>5549</v>
      </c>
      <c r="T2956" s="786">
        <v>157.88</v>
      </c>
      <c r="U2956" s="786">
        <v>102.58</v>
      </c>
      <c r="V2956" s="4" t="str">
        <f t="shared" si="50"/>
        <v>September</v>
      </c>
      <c r="W2956" s="761">
        <v>44825</v>
      </c>
      <c r="X2956" s="761" t="s">
        <v>2661</v>
      </c>
      <c r="Y2956" s="761">
        <v>44825</v>
      </c>
      <c r="Z2956" s="761" t="s">
        <v>62</v>
      </c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</row>
    <row r="2957" spans="2:39">
      <c r="B2957" s="895">
        <v>9</v>
      </c>
      <c r="C2957" s="3" t="s">
        <v>54</v>
      </c>
      <c r="D2957" s="12" t="s">
        <v>6101</v>
      </c>
      <c r="E2957" s="12" t="s">
        <v>6102</v>
      </c>
      <c r="F2957" s="749">
        <v>23</v>
      </c>
      <c r="G2957" s="749" t="s">
        <v>60</v>
      </c>
      <c r="H2957" s="3"/>
      <c r="I2957" s="762">
        <v>145.31</v>
      </c>
      <c r="J2957" s="783"/>
      <c r="K2957" s="761" t="s">
        <v>2661</v>
      </c>
      <c r="L2957" s="761">
        <v>44824</v>
      </c>
      <c r="M2957" s="761"/>
      <c r="N2957" s="761"/>
      <c r="O2957" s="761" t="s">
        <v>62</v>
      </c>
      <c r="P2957" s="762">
        <v>6.03</v>
      </c>
      <c r="Q2957" s="3"/>
      <c r="R2957" s="3" t="s">
        <v>905</v>
      </c>
      <c r="S2957" s="3" t="s">
        <v>1757</v>
      </c>
      <c r="T2957" s="786">
        <v>157.72999999999999</v>
      </c>
      <c r="U2957" s="786">
        <v>102.56</v>
      </c>
      <c r="V2957" s="4" t="str">
        <f t="shared" si="50"/>
        <v>September</v>
      </c>
      <c r="W2957" s="761">
        <v>44825</v>
      </c>
      <c r="X2957" s="761" t="s">
        <v>2661</v>
      </c>
      <c r="Y2957" s="761">
        <v>44825</v>
      </c>
      <c r="Z2957" s="761" t="s">
        <v>62</v>
      </c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</row>
    <row r="2958" spans="2:39">
      <c r="B2958" s="895">
        <v>9</v>
      </c>
      <c r="C2958" s="3" t="s">
        <v>54</v>
      </c>
      <c r="D2958" s="12" t="s">
        <v>6103</v>
      </c>
      <c r="E2958" s="12" t="s">
        <v>6104</v>
      </c>
      <c r="F2958" s="749">
        <v>24</v>
      </c>
      <c r="G2958" s="749" t="s">
        <v>932</v>
      </c>
      <c r="H2958" s="3"/>
      <c r="I2958" s="786">
        <v>141.35</v>
      </c>
      <c r="J2958" s="783"/>
      <c r="K2958" s="761" t="s">
        <v>2661</v>
      </c>
      <c r="L2958" s="761">
        <v>44825</v>
      </c>
      <c r="M2958" s="761"/>
      <c r="N2958" s="761"/>
      <c r="O2958" s="761" t="s">
        <v>62</v>
      </c>
      <c r="P2958" s="882">
        <v>6.19</v>
      </c>
      <c r="Q2958" s="3"/>
      <c r="R2958" s="3" t="s">
        <v>905</v>
      </c>
      <c r="S2958" s="3" t="s">
        <v>1757</v>
      </c>
      <c r="T2958" s="786">
        <v>153.76</v>
      </c>
      <c r="U2958" s="786">
        <v>102.8</v>
      </c>
      <c r="V2958" s="4" t="str">
        <f t="shared" si="50"/>
        <v>September</v>
      </c>
      <c r="W2958" s="761">
        <v>44825</v>
      </c>
      <c r="X2958" s="761" t="s">
        <v>2661</v>
      </c>
      <c r="Y2958" s="761">
        <v>44825</v>
      </c>
      <c r="Z2958" s="761" t="s">
        <v>62</v>
      </c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</row>
    <row r="2959" spans="2:39">
      <c r="B2959" s="895">
        <v>9</v>
      </c>
      <c r="C2959" s="3" t="s">
        <v>54</v>
      </c>
      <c r="D2959" s="12" t="s">
        <v>6105</v>
      </c>
      <c r="E2959" s="12" t="s">
        <v>6106</v>
      </c>
      <c r="F2959" s="749">
        <v>25</v>
      </c>
      <c r="G2959" s="749" t="s">
        <v>60</v>
      </c>
      <c r="H2959" s="3"/>
      <c r="I2959" s="786">
        <v>143.83000000000001</v>
      </c>
      <c r="J2959" s="783"/>
      <c r="K2959" s="761" t="s">
        <v>2661</v>
      </c>
      <c r="L2959" s="761">
        <v>44825</v>
      </c>
      <c r="M2959" s="761"/>
      <c r="N2959" s="761"/>
      <c r="O2959" s="761" t="s">
        <v>62</v>
      </c>
      <c r="P2959" s="882">
        <v>6.24</v>
      </c>
      <c r="Q2959" s="3"/>
      <c r="R2959" s="3" t="s">
        <v>905</v>
      </c>
      <c r="S2959" s="3" t="s">
        <v>1757</v>
      </c>
      <c r="T2959" s="762">
        <v>156.32</v>
      </c>
      <c r="U2959" s="762">
        <v>102.79</v>
      </c>
      <c r="V2959" s="4" t="str">
        <f t="shared" si="50"/>
        <v>September</v>
      </c>
      <c r="W2959" s="761">
        <v>44825</v>
      </c>
      <c r="X2959" s="761" t="s">
        <v>2661</v>
      </c>
      <c r="Y2959" s="761">
        <v>44825</v>
      </c>
      <c r="Z2959" s="761" t="s">
        <v>62</v>
      </c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</row>
    <row r="2960" spans="2:39">
      <c r="B2960" s="895">
        <v>9</v>
      </c>
      <c r="C2960" s="3" t="s">
        <v>54</v>
      </c>
      <c r="D2960" s="12" t="s">
        <v>6107</v>
      </c>
      <c r="E2960" s="12" t="s">
        <v>6108</v>
      </c>
      <c r="F2960" s="749">
        <v>26</v>
      </c>
      <c r="G2960" s="749" t="s">
        <v>60</v>
      </c>
      <c r="H2960" s="3"/>
      <c r="I2960" s="786">
        <v>140.71</v>
      </c>
      <c r="J2960" s="783"/>
      <c r="K2960" s="761" t="s">
        <v>2661</v>
      </c>
      <c r="L2960" s="761">
        <v>44826</v>
      </c>
      <c r="M2960" s="761"/>
      <c r="N2960" s="761"/>
      <c r="O2960" s="761" t="s">
        <v>62</v>
      </c>
      <c r="P2960" s="882">
        <v>6.19</v>
      </c>
      <c r="Q2960" s="3"/>
      <c r="R2960" s="3" t="s">
        <v>905</v>
      </c>
      <c r="S2960" s="3" t="s">
        <v>1757</v>
      </c>
      <c r="T2960" s="786">
        <v>153.07</v>
      </c>
      <c r="U2960" s="786">
        <v>102.58</v>
      </c>
      <c r="V2960" s="4" t="str">
        <f t="shared" si="50"/>
        <v>September</v>
      </c>
      <c r="W2960" s="761">
        <v>44826</v>
      </c>
      <c r="X2960" s="761" t="s">
        <v>2661</v>
      </c>
      <c r="Y2960" s="761">
        <v>44826</v>
      </c>
      <c r="Z2960" s="761" t="s">
        <v>62</v>
      </c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</row>
    <row r="2961" spans="1:39">
      <c r="B2961" s="895">
        <v>9</v>
      </c>
      <c r="C2961" s="3" t="s">
        <v>54</v>
      </c>
      <c r="D2961" s="12" t="s">
        <v>6109</v>
      </c>
      <c r="E2961" s="12" t="s">
        <v>6110</v>
      </c>
      <c r="F2961" s="749">
        <v>27</v>
      </c>
      <c r="G2961" s="749" t="s">
        <v>60</v>
      </c>
      <c r="H2961" s="3"/>
      <c r="I2961" s="786">
        <v>143.96</v>
      </c>
      <c r="J2961" s="783"/>
      <c r="K2961" s="761" t="s">
        <v>2661</v>
      </c>
      <c r="L2961" s="761">
        <v>44826</v>
      </c>
      <c r="M2961" s="761"/>
      <c r="N2961" s="761"/>
      <c r="O2961" s="761" t="s">
        <v>62</v>
      </c>
      <c r="P2961" s="882">
        <v>6.26</v>
      </c>
      <c r="Q2961" s="3"/>
      <c r="R2961" s="3" t="s">
        <v>905</v>
      </c>
      <c r="S2961" s="3" t="s">
        <v>1757</v>
      </c>
      <c r="T2961" s="762">
        <v>156.38</v>
      </c>
      <c r="U2961" s="786">
        <v>102.58</v>
      </c>
      <c r="V2961" s="4" t="str">
        <f t="shared" si="50"/>
        <v>September</v>
      </c>
      <c r="W2961" s="761">
        <v>44826</v>
      </c>
      <c r="X2961" s="761" t="s">
        <v>2661</v>
      </c>
      <c r="Y2961" s="761">
        <v>44826</v>
      </c>
      <c r="Z2961" s="761" t="s">
        <v>62</v>
      </c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</row>
    <row r="2962" spans="1:39">
      <c r="B2962" s="895">
        <v>9</v>
      </c>
      <c r="C2962" s="3" t="s">
        <v>54</v>
      </c>
      <c r="D2962" s="12" t="s">
        <v>6111</v>
      </c>
      <c r="E2962" s="12" t="s">
        <v>6112</v>
      </c>
      <c r="F2962" s="749">
        <v>28</v>
      </c>
      <c r="G2962" s="749" t="s">
        <v>60</v>
      </c>
      <c r="H2962" s="3"/>
      <c r="I2962" s="786">
        <v>143.77000000000001</v>
      </c>
      <c r="J2962" s="783"/>
      <c r="K2962" s="761" t="s">
        <v>2661</v>
      </c>
      <c r="L2962" s="761">
        <v>44826</v>
      </c>
      <c r="M2962" s="761"/>
      <c r="N2962" s="761"/>
      <c r="O2962" s="761" t="s">
        <v>62</v>
      </c>
      <c r="P2962" s="882">
        <v>6.26</v>
      </c>
      <c r="Q2962" s="3"/>
      <c r="R2962" s="3" t="s">
        <v>905</v>
      </c>
      <c r="S2962" s="3" t="s">
        <v>1757</v>
      </c>
      <c r="T2962" s="786">
        <v>156.15</v>
      </c>
      <c r="U2962" s="786">
        <v>102.57</v>
      </c>
      <c r="V2962" s="4" t="str">
        <f t="shared" si="50"/>
        <v>September</v>
      </c>
      <c r="W2962" s="761">
        <v>44826</v>
      </c>
      <c r="X2962" s="761" t="s">
        <v>2661</v>
      </c>
      <c r="Y2962" s="761">
        <v>44826</v>
      </c>
      <c r="Z2962" s="761" t="s">
        <v>62</v>
      </c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</row>
    <row r="2963" spans="1:39">
      <c r="B2963" s="895">
        <v>9</v>
      </c>
      <c r="C2963" s="3" t="s">
        <v>54</v>
      </c>
      <c r="D2963" s="12" t="s">
        <v>6113</v>
      </c>
      <c r="E2963" s="12" t="s">
        <v>6114</v>
      </c>
      <c r="F2963" s="749">
        <v>29</v>
      </c>
      <c r="G2963" s="749" t="s">
        <v>60</v>
      </c>
      <c r="H2963" s="3"/>
      <c r="I2963" s="786">
        <v>143.69</v>
      </c>
      <c r="J2963" s="783"/>
      <c r="K2963" s="761" t="s">
        <v>2661</v>
      </c>
      <c r="L2963" s="761">
        <v>44826</v>
      </c>
      <c r="M2963" s="761"/>
      <c r="N2963" s="761"/>
      <c r="O2963" s="761" t="s">
        <v>62</v>
      </c>
      <c r="P2963" s="882">
        <v>6.12</v>
      </c>
      <c r="Q2963" s="3"/>
      <c r="R2963" s="3" t="s">
        <v>905</v>
      </c>
      <c r="S2963" s="3" t="s">
        <v>1757</v>
      </c>
      <c r="T2963" s="786">
        <v>156.18</v>
      </c>
      <c r="U2963" s="786">
        <v>102.59</v>
      </c>
      <c r="V2963" s="4" t="str">
        <f t="shared" si="50"/>
        <v>September</v>
      </c>
      <c r="W2963" s="761">
        <v>44826</v>
      </c>
      <c r="X2963" s="761" t="s">
        <v>2661</v>
      </c>
      <c r="Y2963" s="761">
        <v>44826</v>
      </c>
      <c r="Z2963" s="761" t="s">
        <v>62</v>
      </c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</row>
    <row r="2964" spans="1:39">
      <c r="B2964" s="895">
        <v>9</v>
      </c>
      <c r="C2964" s="3" t="s">
        <v>54</v>
      </c>
      <c r="D2964" s="12" t="s">
        <v>6115</v>
      </c>
      <c r="E2964" s="12" t="s">
        <v>6116</v>
      </c>
      <c r="F2964" s="749">
        <v>30</v>
      </c>
      <c r="G2964" s="749" t="s">
        <v>60</v>
      </c>
      <c r="H2964" s="3"/>
      <c r="I2964" s="786">
        <v>140.86000000000001</v>
      </c>
      <c r="J2964" s="783"/>
      <c r="K2964" s="761" t="s">
        <v>2661</v>
      </c>
      <c r="L2964" s="761">
        <v>44827</v>
      </c>
      <c r="M2964" s="761"/>
      <c r="N2964" s="761"/>
      <c r="O2964" s="761" t="s">
        <v>62</v>
      </c>
      <c r="P2964" s="882">
        <v>6.17</v>
      </c>
      <c r="Q2964" s="3"/>
      <c r="R2964" s="3" t="s">
        <v>905</v>
      </c>
      <c r="S2964" s="3" t="s">
        <v>1757</v>
      </c>
      <c r="T2964" s="786">
        <v>153.22</v>
      </c>
      <c r="U2964" s="786">
        <v>102.57</v>
      </c>
      <c r="V2964" s="4" t="str">
        <f t="shared" si="50"/>
        <v>September</v>
      </c>
      <c r="W2964" s="761">
        <v>44827</v>
      </c>
      <c r="X2964" s="761" t="s">
        <v>2661</v>
      </c>
      <c r="Y2964" s="761">
        <v>44830</v>
      </c>
      <c r="Z2964" s="761" t="s">
        <v>62</v>
      </c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</row>
    <row r="2965" spans="1:39">
      <c r="B2965" s="895">
        <v>9</v>
      </c>
      <c r="C2965" s="3" t="s">
        <v>54</v>
      </c>
      <c r="D2965" s="12" t="s">
        <v>6117</v>
      </c>
      <c r="E2965" s="12" t="s">
        <v>6118</v>
      </c>
      <c r="F2965" s="749">
        <v>31</v>
      </c>
      <c r="G2965" s="749" t="s">
        <v>60</v>
      </c>
      <c r="H2965" s="3"/>
      <c r="I2965" s="786">
        <v>143.49</v>
      </c>
      <c r="J2965" s="783"/>
      <c r="K2965" s="761" t="s">
        <v>2661</v>
      </c>
      <c r="L2965" s="761">
        <v>44827</v>
      </c>
      <c r="M2965" s="761"/>
      <c r="N2965" s="761"/>
      <c r="O2965" s="761" t="s">
        <v>62</v>
      </c>
      <c r="P2965" s="882">
        <v>6.26</v>
      </c>
      <c r="Q2965" s="3"/>
      <c r="R2965" s="3" t="s">
        <v>905</v>
      </c>
      <c r="S2965" s="3" t="s">
        <v>1757</v>
      </c>
      <c r="T2965" s="786">
        <v>155.93</v>
      </c>
      <c r="U2965" s="786">
        <v>102.57</v>
      </c>
      <c r="V2965" s="4" t="str">
        <f t="shared" si="50"/>
        <v>September</v>
      </c>
      <c r="W2965" s="761">
        <v>44827</v>
      </c>
      <c r="X2965" s="761" t="s">
        <v>2661</v>
      </c>
      <c r="Y2965" s="761">
        <v>44830</v>
      </c>
      <c r="Z2965" s="761" t="s">
        <v>62</v>
      </c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</row>
    <row r="2966" spans="1:39">
      <c r="B2966" s="895">
        <v>9</v>
      </c>
      <c r="C2966" s="3" t="s">
        <v>54</v>
      </c>
      <c r="D2966" s="12" t="s">
        <v>6119</v>
      </c>
      <c r="E2966" s="12" t="s">
        <v>6120</v>
      </c>
      <c r="F2966" s="749">
        <v>32</v>
      </c>
      <c r="G2966" s="749" t="s">
        <v>60</v>
      </c>
      <c r="H2966" s="3"/>
      <c r="I2966" s="786">
        <v>144.41</v>
      </c>
      <c r="J2966" s="783"/>
      <c r="K2966" s="761" t="s">
        <v>2661</v>
      </c>
      <c r="L2966" s="761">
        <v>44827</v>
      </c>
      <c r="M2966" s="761"/>
      <c r="N2966" s="761"/>
      <c r="O2966" s="761" t="s">
        <v>62</v>
      </c>
      <c r="P2966" s="882">
        <v>6.21</v>
      </c>
      <c r="Q2966" s="3"/>
      <c r="R2966" s="3" t="s">
        <v>905</v>
      </c>
      <c r="S2966" s="3" t="s">
        <v>1757</v>
      </c>
      <c r="T2966" s="786">
        <v>156.93</v>
      </c>
      <c r="U2966" s="786">
        <v>102.57</v>
      </c>
      <c r="V2966" s="4" t="str">
        <f t="shared" si="50"/>
        <v>September</v>
      </c>
      <c r="W2966" s="761">
        <v>44827</v>
      </c>
      <c r="X2966" s="761" t="s">
        <v>2661</v>
      </c>
      <c r="Y2966" s="761">
        <v>44830</v>
      </c>
      <c r="Z2966" s="761" t="s">
        <v>62</v>
      </c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</row>
    <row r="2967" spans="1:39">
      <c r="B2967" s="895">
        <v>9</v>
      </c>
      <c r="C2967" s="3" t="s">
        <v>54</v>
      </c>
      <c r="D2967" s="12" t="s">
        <v>6121</v>
      </c>
      <c r="E2967" s="12" t="s">
        <v>6122</v>
      </c>
      <c r="F2967" s="749">
        <v>33</v>
      </c>
      <c r="G2967" s="749" t="s">
        <v>60</v>
      </c>
      <c r="H2967" s="3"/>
      <c r="I2967" s="786">
        <v>140.18</v>
      </c>
      <c r="J2967" s="783"/>
      <c r="K2967" s="761" t="s">
        <v>2661</v>
      </c>
      <c r="L2967" s="761">
        <v>44830</v>
      </c>
      <c r="M2967" s="761"/>
      <c r="N2967" s="761"/>
      <c r="O2967" s="761" t="s">
        <v>62</v>
      </c>
      <c r="P2967" s="882">
        <v>6.09</v>
      </c>
      <c r="Q2967" s="3"/>
      <c r="R2967" s="3" t="s">
        <v>905</v>
      </c>
      <c r="S2967" s="3" t="s">
        <v>1757</v>
      </c>
      <c r="T2967" s="786">
        <v>152.72999999999999</v>
      </c>
      <c r="U2967" s="762">
        <v>102.71</v>
      </c>
      <c r="V2967" s="4" t="str">
        <f t="shared" si="50"/>
        <v>September</v>
      </c>
      <c r="W2967" s="761">
        <v>44830</v>
      </c>
      <c r="X2967" s="761" t="s">
        <v>2661</v>
      </c>
      <c r="Y2967" s="761">
        <v>44830</v>
      </c>
      <c r="Z2967" s="761" t="s">
        <v>62</v>
      </c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</row>
    <row r="2968" spans="1:39">
      <c r="B2968" s="895">
        <v>9</v>
      </c>
      <c r="C2968" s="3" t="s">
        <v>54</v>
      </c>
      <c r="D2968" s="12" t="s">
        <v>6123</v>
      </c>
      <c r="E2968" s="12" t="s">
        <v>6124</v>
      </c>
      <c r="F2968" s="749">
        <v>34</v>
      </c>
      <c r="G2968" s="749" t="s">
        <v>60</v>
      </c>
      <c r="H2968" s="3"/>
      <c r="I2968" s="786">
        <v>143.13999999999999</v>
      </c>
      <c r="J2968" s="783"/>
      <c r="K2968" s="761" t="s">
        <v>2661</v>
      </c>
      <c r="L2968" s="761">
        <v>44830</v>
      </c>
      <c r="M2968" s="761"/>
      <c r="N2968" s="761"/>
      <c r="O2968" s="761" t="s">
        <v>62</v>
      </c>
      <c r="P2968" s="882">
        <v>6.01</v>
      </c>
      <c r="Q2968" s="3"/>
      <c r="R2968" s="3" t="s">
        <v>905</v>
      </c>
      <c r="S2968" s="3" t="s">
        <v>1757</v>
      </c>
      <c r="T2968" s="786">
        <v>155.80000000000001</v>
      </c>
      <c r="U2968" s="786">
        <v>102.84</v>
      </c>
      <c r="V2968" s="4" t="str">
        <f t="shared" si="50"/>
        <v>September</v>
      </c>
      <c r="W2968" s="761">
        <v>44830</v>
      </c>
      <c r="X2968" s="761" t="s">
        <v>2661</v>
      </c>
      <c r="Y2968" s="761">
        <v>44830</v>
      </c>
      <c r="Z2968" s="761" t="s">
        <v>62</v>
      </c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</row>
    <row r="2969" spans="1:39">
      <c r="B2969" s="895">
        <v>9</v>
      </c>
      <c r="C2969" s="3" t="s">
        <v>54</v>
      </c>
      <c r="D2969" s="12" t="s">
        <v>6125</v>
      </c>
      <c r="E2969" s="12" t="s">
        <v>6126</v>
      </c>
      <c r="F2969" s="749">
        <v>35</v>
      </c>
      <c r="G2969" s="749" t="s">
        <v>60</v>
      </c>
      <c r="H2969" s="3"/>
      <c r="I2969" s="786">
        <v>140.63999999999999</v>
      </c>
      <c r="J2969" s="783"/>
      <c r="K2969" s="761" t="s">
        <v>2661</v>
      </c>
      <c r="L2969" s="761">
        <v>44830</v>
      </c>
      <c r="M2969" s="761"/>
      <c r="N2969" s="761"/>
      <c r="O2969" s="761" t="s">
        <v>62</v>
      </c>
      <c r="P2969" s="882">
        <v>6</v>
      </c>
      <c r="Q2969" s="3"/>
      <c r="R2969" s="3" t="s">
        <v>905</v>
      </c>
      <c r="S2969" s="3" t="s">
        <v>1757</v>
      </c>
      <c r="T2969" s="786">
        <v>153.05000000000001</v>
      </c>
      <c r="U2969" s="786">
        <v>102.71</v>
      </c>
      <c r="V2969" s="4" t="str">
        <f t="shared" si="50"/>
        <v>September</v>
      </c>
      <c r="W2969" s="761">
        <v>44831</v>
      </c>
      <c r="X2969" s="761" t="s">
        <v>2661</v>
      </c>
      <c r="Y2969" s="761">
        <v>44830</v>
      </c>
      <c r="Z2969" s="761" t="s">
        <v>62</v>
      </c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</row>
    <row r="2970" spans="1:39">
      <c r="B2970" s="895">
        <v>9</v>
      </c>
      <c r="C2970" s="3" t="s">
        <v>54</v>
      </c>
      <c r="D2970" s="12" t="s">
        <v>6127</v>
      </c>
      <c r="E2970" s="12" t="s">
        <v>6128</v>
      </c>
      <c r="F2970" s="749">
        <v>36</v>
      </c>
      <c r="G2970" s="749" t="s">
        <v>60</v>
      </c>
      <c r="H2970" s="3"/>
      <c r="I2970" s="786">
        <v>144.69999999999999</v>
      </c>
      <c r="J2970" s="783"/>
      <c r="K2970" s="761" t="s">
        <v>2661</v>
      </c>
      <c r="L2970" s="761">
        <v>44830</v>
      </c>
      <c r="M2970" s="761"/>
      <c r="N2970" s="761"/>
      <c r="O2970" s="761" t="s">
        <v>62</v>
      </c>
      <c r="P2970" s="882">
        <v>6.06</v>
      </c>
      <c r="Q2970" s="3"/>
      <c r="R2970" s="3" t="s">
        <v>905</v>
      </c>
      <c r="S2970" s="3" t="s">
        <v>1757</v>
      </c>
      <c r="T2970" s="786">
        <v>157.13999999999999</v>
      </c>
      <c r="U2970" s="786">
        <v>102.82</v>
      </c>
      <c r="V2970" s="4" t="str">
        <f t="shared" si="50"/>
        <v>September</v>
      </c>
      <c r="W2970" s="761">
        <v>44831</v>
      </c>
      <c r="X2970" s="761" t="s">
        <v>2661</v>
      </c>
      <c r="Y2970" s="761">
        <v>44831</v>
      </c>
      <c r="Z2970" s="761" t="s">
        <v>62</v>
      </c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</row>
    <row r="2971" spans="1:39">
      <c r="B2971" s="895">
        <v>9</v>
      </c>
      <c r="C2971" s="3" t="s">
        <v>54</v>
      </c>
      <c r="D2971" s="12" t="s">
        <v>6129</v>
      </c>
      <c r="E2971" s="12" t="s">
        <v>6130</v>
      </c>
      <c r="F2971" s="749">
        <v>37</v>
      </c>
      <c r="G2971" s="749" t="s">
        <v>60</v>
      </c>
      <c r="H2971" s="3"/>
      <c r="I2971" s="786">
        <v>139.76</v>
      </c>
      <c r="J2971" s="783"/>
      <c r="K2971" s="761" t="s">
        <v>2661</v>
      </c>
      <c r="L2971" s="761">
        <v>44831</v>
      </c>
      <c r="M2971" s="761"/>
      <c r="N2971" s="761"/>
      <c r="O2971" s="761" t="s">
        <v>62</v>
      </c>
      <c r="P2971" s="882">
        <v>6.29</v>
      </c>
      <c r="Q2971" s="3"/>
      <c r="R2971" s="3" t="s">
        <v>905</v>
      </c>
      <c r="S2971" s="3" t="s">
        <v>1757</v>
      </c>
      <c r="T2971" s="786">
        <v>152.28</v>
      </c>
      <c r="U2971" s="786">
        <v>102.6</v>
      </c>
      <c r="V2971" s="4" t="str">
        <f t="shared" si="50"/>
        <v>September</v>
      </c>
      <c r="W2971" s="761">
        <v>44831</v>
      </c>
      <c r="X2971" s="761" t="s">
        <v>2661</v>
      </c>
      <c r="Y2971" s="761">
        <v>44831</v>
      </c>
      <c r="Z2971" s="761" t="s">
        <v>62</v>
      </c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</row>
    <row r="2972" spans="1:39">
      <c r="B2972" s="895">
        <v>9</v>
      </c>
      <c r="C2972" s="3" t="s">
        <v>54</v>
      </c>
      <c r="D2972" s="12" t="s">
        <v>6131</v>
      </c>
      <c r="E2972" s="12" t="s">
        <v>6132</v>
      </c>
      <c r="F2972" s="749">
        <v>38</v>
      </c>
      <c r="G2972" s="749" t="s">
        <v>60</v>
      </c>
      <c r="H2972" s="3"/>
      <c r="I2972" s="786">
        <v>143.55000000000001</v>
      </c>
      <c r="J2972" s="783"/>
      <c r="K2972" s="761" t="s">
        <v>2661</v>
      </c>
      <c r="L2972" s="761">
        <v>44831</v>
      </c>
      <c r="M2972" s="761"/>
      <c r="N2972" s="761"/>
      <c r="O2972" s="761" t="s">
        <v>62</v>
      </c>
      <c r="P2972" s="882">
        <v>6.15</v>
      </c>
      <c r="Q2972" s="3"/>
      <c r="R2972" s="3" t="s">
        <v>905</v>
      </c>
      <c r="S2972" s="3" t="s">
        <v>1757</v>
      </c>
      <c r="T2972" s="786">
        <v>156.09</v>
      </c>
      <c r="U2972" s="786">
        <v>102.57</v>
      </c>
      <c r="V2972" s="4" t="str">
        <f t="shared" si="50"/>
        <v>September</v>
      </c>
      <c r="W2972" s="761">
        <v>44831</v>
      </c>
      <c r="X2972" s="761" t="s">
        <v>2661</v>
      </c>
      <c r="Y2972" s="761">
        <v>44831</v>
      </c>
      <c r="Z2972" s="761" t="s">
        <v>62</v>
      </c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</row>
    <row r="2973" spans="1:39" s="707" customFormat="1" ht="22.95" customHeight="1">
      <c r="A2973"/>
      <c r="B2973" s="797" t="s">
        <v>13</v>
      </c>
      <c r="C2973" s="807">
        <v>2023</v>
      </c>
      <c r="D2973" s="875"/>
      <c r="E2973" s="875"/>
      <c r="F2973" s="808"/>
      <c r="G2973" s="808"/>
      <c r="H2973" s="807"/>
      <c r="I2973" s="820"/>
      <c r="J2973" s="809"/>
      <c r="K2973" s="819"/>
      <c r="L2973" s="819"/>
      <c r="M2973" s="819"/>
      <c r="N2973" s="819"/>
      <c r="O2973" s="819"/>
      <c r="P2973" s="884"/>
      <c r="Q2973" s="807"/>
      <c r="R2973" s="807"/>
      <c r="S2973" s="807"/>
      <c r="T2973" s="820"/>
      <c r="U2973" s="820"/>
      <c r="V2973" s="710"/>
      <c r="W2973" s="819"/>
      <c r="X2973" s="819"/>
      <c r="Y2973" s="819"/>
      <c r="Z2973" s="819"/>
      <c r="AA2973" s="710"/>
      <c r="AB2973" s="710"/>
      <c r="AC2973" s="710"/>
      <c r="AD2973" s="710"/>
      <c r="AE2973" s="710"/>
      <c r="AF2973" s="710"/>
      <c r="AG2973" s="710"/>
      <c r="AH2973" s="710"/>
      <c r="AI2973" s="710"/>
      <c r="AJ2973" s="710"/>
      <c r="AK2973" s="710"/>
      <c r="AL2973" s="710"/>
      <c r="AM2973" s="710"/>
    </row>
    <row r="2974" spans="1:39">
      <c r="B2974" s="895">
        <v>1</v>
      </c>
      <c r="C2974" s="3" t="s">
        <v>6133</v>
      </c>
      <c r="D2974" s="12" t="s">
        <v>6134</v>
      </c>
      <c r="E2974" s="12" t="s">
        <v>6135</v>
      </c>
      <c r="F2974" s="749">
        <v>1</v>
      </c>
      <c r="G2974" s="749" t="s">
        <v>60</v>
      </c>
      <c r="H2974" s="3"/>
      <c r="I2974" s="762">
        <v>140.96</v>
      </c>
      <c r="J2974" s="783"/>
      <c r="K2974" s="761" t="s">
        <v>2327</v>
      </c>
      <c r="L2974" s="761">
        <v>45058</v>
      </c>
      <c r="M2974" s="761"/>
      <c r="N2974" s="761"/>
      <c r="O2974" s="761" t="s">
        <v>62</v>
      </c>
      <c r="P2974" s="764">
        <v>5.46</v>
      </c>
      <c r="Q2974" s="3"/>
      <c r="R2974" s="3" t="s">
        <v>905</v>
      </c>
      <c r="S2974" s="3" t="s">
        <v>1757</v>
      </c>
      <c r="T2974" s="762">
        <v>152.88</v>
      </c>
      <c r="U2974" s="762">
        <v>102.57</v>
      </c>
      <c r="V2974" s="4" t="s">
        <v>2327</v>
      </c>
      <c r="W2974" s="761">
        <v>45058</v>
      </c>
      <c r="X2974" s="761" t="s">
        <v>2327</v>
      </c>
      <c r="Y2974" s="761">
        <v>45058</v>
      </c>
      <c r="Z2974" s="761" t="s">
        <v>62</v>
      </c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</row>
    <row r="2975" spans="1:39" s="707" customFormat="1">
      <c r="B2975" s="797" t="s">
        <v>13</v>
      </c>
      <c r="C2975" s="807" t="s">
        <v>1759</v>
      </c>
      <c r="D2975" s="875"/>
      <c r="E2975" s="875"/>
      <c r="F2975" s="808"/>
      <c r="G2975" s="808"/>
      <c r="H2975" s="807"/>
      <c r="I2975" s="820"/>
      <c r="J2975" s="809"/>
      <c r="K2975" s="819"/>
      <c r="L2975" s="819"/>
      <c r="M2975" s="819"/>
      <c r="N2975" s="819"/>
      <c r="O2975" s="819"/>
      <c r="P2975" s="884"/>
      <c r="Q2975" s="807"/>
      <c r="R2975" s="807"/>
      <c r="S2975" s="807"/>
      <c r="T2975" s="820"/>
      <c r="U2975" s="820"/>
      <c r="V2975" s="710"/>
      <c r="W2975" s="819"/>
      <c r="X2975" s="819"/>
      <c r="Y2975" s="819"/>
      <c r="Z2975" s="819"/>
      <c r="AA2975" s="710"/>
      <c r="AB2975" s="710"/>
      <c r="AC2975" s="710"/>
      <c r="AD2975" s="710"/>
      <c r="AE2975" s="710"/>
      <c r="AF2975" s="710"/>
      <c r="AG2975" s="710"/>
      <c r="AH2975" s="710"/>
      <c r="AI2975" s="710"/>
      <c r="AJ2975" s="710"/>
      <c r="AK2975" s="710"/>
      <c r="AL2975" s="710"/>
      <c r="AM2975" s="710"/>
    </row>
    <row r="2976" spans="1:39">
      <c r="B2976" s="895">
        <v>1</v>
      </c>
      <c r="C2976" s="3" t="s">
        <v>54</v>
      </c>
      <c r="D2976" s="12" t="s">
        <v>6136</v>
      </c>
      <c r="E2976" s="12" t="s">
        <v>6137</v>
      </c>
      <c r="F2976" s="749">
        <v>1</v>
      </c>
      <c r="G2976" s="749" t="s">
        <v>60</v>
      </c>
      <c r="H2976" s="3"/>
      <c r="I2976" s="786">
        <v>140.22</v>
      </c>
      <c r="J2976" s="783"/>
      <c r="K2976" s="761" t="s">
        <v>2411</v>
      </c>
      <c r="L2976" s="761">
        <v>45086</v>
      </c>
      <c r="M2976" s="761"/>
      <c r="N2976" s="761"/>
      <c r="O2976" s="761" t="s">
        <v>62</v>
      </c>
      <c r="P2976" s="882">
        <v>6.23</v>
      </c>
      <c r="Q2976" s="3"/>
      <c r="R2976" s="3" t="s">
        <v>905</v>
      </c>
      <c r="S2976" s="3" t="s">
        <v>1757</v>
      </c>
      <c r="T2976" s="786">
        <v>152.72999999999999</v>
      </c>
      <c r="U2976" s="786">
        <v>102.68</v>
      </c>
      <c r="V2976" s="761" t="s">
        <v>2411</v>
      </c>
      <c r="W2976" s="761">
        <v>45086</v>
      </c>
      <c r="X2976" s="761" t="s">
        <v>2411</v>
      </c>
      <c r="Y2976" s="761">
        <v>45086</v>
      </c>
      <c r="Z2976" s="761" t="s">
        <v>62</v>
      </c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</row>
    <row r="2977" spans="2:39">
      <c r="B2977" s="895">
        <v>2</v>
      </c>
      <c r="C2977" s="3" t="s">
        <v>54</v>
      </c>
      <c r="D2977" s="12" t="s">
        <v>6138</v>
      </c>
      <c r="E2977" s="12" t="s">
        <v>6139</v>
      </c>
      <c r="F2977" s="749">
        <v>2</v>
      </c>
      <c r="G2977" s="749" t="s">
        <v>60</v>
      </c>
      <c r="H2977" s="3"/>
      <c r="I2977" s="786">
        <v>140.44999999999999</v>
      </c>
      <c r="J2977" s="783"/>
      <c r="K2977" s="761" t="s">
        <v>2411</v>
      </c>
      <c r="L2977" s="761">
        <v>45086</v>
      </c>
      <c r="M2977" s="761"/>
      <c r="N2977" s="761"/>
      <c r="O2977" s="761" t="s">
        <v>62</v>
      </c>
      <c r="P2977" s="882">
        <v>6.08</v>
      </c>
      <c r="Q2977" s="3"/>
      <c r="R2977" s="3" t="s">
        <v>905</v>
      </c>
      <c r="S2977" s="3" t="s">
        <v>1757</v>
      </c>
      <c r="T2977" s="786">
        <v>152.97</v>
      </c>
      <c r="U2977" s="786">
        <v>102.69</v>
      </c>
      <c r="V2977" s="761" t="s">
        <v>2411</v>
      </c>
      <c r="W2977" s="761">
        <v>45086</v>
      </c>
      <c r="X2977" s="761" t="s">
        <v>2411</v>
      </c>
      <c r="Y2977" s="761">
        <v>45086</v>
      </c>
      <c r="Z2977" s="761" t="s">
        <v>62</v>
      </c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</row>
    <row r="2978" spans="2:39">
      <c r="B2978" s="895">
        <v>3</v>
      </c>
      <c r="C2978" s="3" t="s">
        <v>54</v>
      </c>
      <c r="D2978" s="12" t="s">
        <v>6140</v>
      </c>
      <c r="E2978" s="12" t="s">
        <v>6141</v>
      </c>
      <c r="F2978" s="749">
        <v>3</v>
      </c>
      <c r="G2978" s="749" t="s">
        <v>60</v>
      </c>
      <c r="H2978" s="3"/>
      <c r="I2978" s="786">
        <v>143.91</v>
      </c>
      <c r="J2978" s="783"/>
      <c r="K2978" s="761" t="s">
        <v>2411</v>
      </c>
      <c r="L2978" s="761">
        <v>45086</v>
      </c>
      <c r="M2978" s="761"/>
      <c r="N2978" s="761"/>
      <c r="O2978" s="761" t="s">
        <v>62</v>
      </c>
      <c r="P2978" s="882">
        <v>6.02</v>
      </c>
      <c r="Q2978" s="3"/>
      <c r="R2978" s="3" t="s">
        <v>905</v>
      </c>
      <c r="S2978" s="3" t="s">
        <v>1757</v>
      </c>
      <c r="T2978" s="762">
        <v>156</v>
      </c>
      <c r="U2978" s="786">
        <v>105.56</v>
      </c>
      <c r="V2978" s="761" t="s">
        <v>2411</v>
      </c>
      <c r="W2978" s="761">
        <v>45086</v>
      </c>
      <c r="X2978" s="761" t="s">
        <v>2411</v>
      </c>
      <c r="Y2978" s="761">
        <v>45089</v>
      </c>
      <c r="Z2978" s="761" t="s">
        <v>62</v>
      </c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</row>
    <row r="2979" spans="2:39">
      <c r="B2979" s="895">
        <v>4</v>
      </c>
      <c r="C2979" s="3" t="s">
        <v>54</v>
      </c>
      <c r="D2979" s="12" t="s">
        <v>6142</v>
      </c>
      <c r="E2979" s="12" t="s">
        <v>6143</v>
      </c>
      <c r="F2979" s="749">
        <v>4</v>
      </c>
      <c r="G2979" s="749" t="s">
        <v>60</v>
      </c>
      <c r="H2979" s="3"/>
      <c r="I2979" s="762">
        <v>145.19999999999999</v>
      </c>
      <c r="J2979" s="783"/>
      <c r="K2979" s="761" t="s">
        <v>2411</v>
      </c>
      <c r="L2979" s="761">
        <v>45086</v>
      </c>
      <c r="M2979" s="761"/>
      <c r="N2979" s="761"/>
      <c r="O2979" s="761" t="s">
        <v>62</v>
      </c>
      <c r="P2979" s="3">
        <v>6.21</v>
      </c>
      <c r="Q2979" s="3"/>
      <c r="R2979" s="3" t="s">
        <v>905</v>
      </c>
      <c r="S2979" s="3" t="s">
        <v>1757</v>
      </c>
      <c r="T2979" s="1060">
        <v>157.80000000000001</v>
      </c>
      <c r="U2979" s="786">
        <v>102.62</v>
      </c>
      <c r="V2979" s="761" t="s">
        <v>2411</v>
      </c>
      <c r="W2979" s="761">
        <v>45086</v>
      </c>
      <c r="X2979" s="761" t="s">
        <v>2411</v>
      </c>
      <c r="Y2979" s="761">
        <v>45089</v>
      </c>
      <c r="Z2979" s="761" t="s">
        <v>62</v>
      </c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</row>
    <row r="2980" spans="2:39">
      <c r="B2980" s="895">
        <v>5</v>
      </c>
      <c r="C2980" s="3" t="s">
        <v>54</v>
      </c>
      <c r="D2980" s="12" t="s">
        <v>6144</v>
      </c>
      <c r="E2980" s="12" t="s">
        <v>6145</v>
      </c>
      <c r="F2980" s="749">
        <v>5</v>
      </c>
      <c r="G2980" s="749" t="s">
        <v>60</v>
      </c>
      <c r="H2980" s="3"/>
      <c r="I2980" s="786">
        <v>145.19999999999999</v>
      </c>
      <c r="J2980" s="783"/>
      <c r="K2980" s="761" t="s">
        <v>2411</v>
      </c>
      <c r="L2980" s="761">
        <v>45086</v>
      </c>
      <c r="M2980" s="761"/>
      <c r="N2980" s="761"/>
      <c r="O2980" s="761" t="s">
        <v>62</v>
      </c>
      <c r="P2980" s="882">
        <v>6.22</v>
      </c>
      <c r="Q2980" s="3"/>
      <c r="R2980" s="3" t="s">
        <v>905</v>
      </c>
      <c r="S2980" s="3" t="s">
        <v>1757</v>
      </c>
      <c r="T2980" s="1060">
        <v>158.4</v>
      </c>
      <c r="U2980" s="786">
        <v>102.52</v>
      </c>
      <c r="V2980" s="761" t="s">
        <v>2411</v>
      </c>
      <c r="W2980" s="761">
        <v>45086</v>
      </c>
      <c r="X2980" s="761" t="s">
        <v>2411</v>
      </c>
      <c r="Y2980" s="761">
        <v>45089</v>
      </c>
      <c r="Z2980" s="761" t="s">
        <v>62</v>
      </c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</row>
    <row r="2981" spans="2:39">
      <c r="B2981" s="895">
        <v>6</v>
      </c>
      <c r="C2981" s="3" t="s">
        <v>54</v>
      </c>
      <c r="D2981" s="12" t="s">
        <v>6146</v>
      </c>
      <c r="E2981" s="12" t="s">
        <v>6147</v>
      </c>
      <c r="F2981" s="749">
        <v>6</v>
      </c>
      <c r="G2981" s="749" t="s">
        <v>60</v>
      </c>
      <c r="H2981" s="3"/>
      <c r="I2981" s="762">
        <v>141.4</v>
      </c>
      <c r="J2981" s="783"/>
      <c r="K2981" s="761" t="s">
        <v>2411</v>
      </c>
      <c r="L2981" s="761">
        <v>45086</v>
      </c>
      <c r="M2981" s="761"/>
      <c r="N2981" s="761"/>
      <c r="O2981" s="761" t="s">
        <v>62</v>
      </c>
      <c r="P2981" s="3">
        <v>6.01</v>
      </c>
      <c r="Q2981" s="3"/>
      <c r="R2981" s="3" t="s">
        <v>905</v>
      </c>
      <c r="S2981" s="3" t="s">
        <v>1757</v>
      </c>
      <c r="T2981" s="1060">
        <v>153.69999999999999</v>
      </c>
      <c r="U2981" s="786">
        <v>102.62</v>
      </c>
      <c r="V2981" s="761" t="s">
        <v>2411</v>
      </c>
      <c r="W2981" s="761">
        <v>45086</v>
      </c>
      <c r="X2981" s="761" t="s">
        <v>2411</v>
      </c>
      <c r="Y2981" s="761">
        <v>45089</v>
      </c>
      <c r="Z2981" s="761" t="s">
        <v>62</v>
      </c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</row>
    <row r="2982" spans="2:39">
      <c r="B2982" s="895">
        <v>7</v>
      </c>
      <c r="C2982" s="3" t="s">
        <v>54</v>
      </c>
      <c r="D2982" s="12" t="s">
        <v>6148</v>
      </c>
      <c r="E2982" s="12" t="s">
        <v>6149</v>
      </c>
      <c r="F2982" s="749">
        <v>7</v>
      </c>
      <c r="G2982" s="749" t="s">
        <v>60</v>
      </c>
      <c r="H2982" s="3"/>
      <c r="I2982" s="762">
        <v>145.30000000000001</v>
      </c>
      <c r="J2982" s="783"/>
      <c r="K2982" s="761" t="s">
        <v>2411</v>
      </c>
      <c r="L2982" s="761">
        <v>45086</v>
      </c>
      <c r="M2982" s="761"/>
      <c r="N2982" s="761"/>
      <c r="O2982" s="761" t="s">
        <v>62</v>
      </c>
      <c r="P2982" s="3">
        <v>6.07</v>
      </c>
      <c r="Q2982" s="3"/>
      <c r="R2982" s="3" t="s">
        <v>905</v>
      </c>
      <c r="S2982" s="3" t="s">
        <v>1757</v>
      </c>
      <c r="T2982" s="1060">
        <v>157.69999999999999</v>
      </c>
      <c r="U2982" s="786">
        <v>102.62</v>
      </c>
      <c r="V2982" s="761" t="s">
        <v>2411</v>
      </c>
      <c r="W2982" s="761">
        <v>45086</v>
      </c>
      <c r="X2982" s="761" t="s">
        <v>2411</v>
      </c>
      <c r="Y2982" s="761">
        <v>45090</v>
      </c>
      <c r="Z2982" s="761" t="s">
        <v>62</v>
      </c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</row>
    <row r="2983" spans="2:39">
      <c r="B2983" s="895">
        <v>8</v>
      </c>
      <c r="C2983" s="3" t="s">
        <v>54</v>
      </c>
      <c r="D2983" s="12" t="s">
        <v>6150</v>
      </c>
      <c r="E2983" s="12" t="s">
        <v>6151</v>
      </c>
      <c r="F2983" s="749">
        <v>8</v>
      </c>
      <c r="G2983" s="749" t="s">
        <v>60</v>
      </c>
      <c r="H2983" s="3"/>
      <c r="I2983" s="786">
        <v>141.81</v>
      </c>
      <c r="J2983" s="783"/>
      <c r="K2983" s="761" t="s">
        <v>2411</v>
      </c>
      <c r="L2983" s="761">
        <v>45089</v>
      </c>
      <c r="M2983" s="761"/>
      <c r="N2983" s="761"/>
      <c r="O2983" s="761" t="s">
        <v>62</v>
      </c>
      <c r="P2983" s="767">
        <v>5.54</v>
      </c>
      <c r="Q2983" s="3"/>
      <c r="R2983" s="3" t="s">
        <v>905</v>
      </c>
      <c r="S2983" s="3" t="s">
        <v>1757</v>
      </c>
      <c r="T2983" s="786">
        <v>154.36000000000001</v>
      </c>
      <c r="U2983" s="786">
        <v>102.63</v>
      </c>
      <c r="V2983" s="761" t="s">
        <v>2411</v>
      </c>
      <c r="W2983" s="761">
        <v>45089</v>
      </c>
      <c r="X2983" s="761" t="s">
        <v>2411</v>
      </c>
      <c r="Y2983" s="761">
        <v>45090</v>
      </c>
      <c r="Z2983" s="761" t="s">
        <v>62</v>
      </c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</row>
    <row r="2984" spans="2:39">
      <c r="B2984" s="895">
        <v>9</v>
      </c>
      <c r="C2984" s="3" t="s">
        <v>54</v>
      </c>
      <c r="D2984" s="12" t="s">
        <v>6152</v>
      </c>
      <c r="E2984" s="12" t="s">
        <v>6153</v>
      </c>
      <c r="F2984" s="749">
        <v>9</v>
      </c>
      <c r="G2984" s="749" t="s">
        <v>60</v>
      </c>
      <c r="H2984" s="3"/>
      <c r="I2984" s="786">
        <v>143.57</v>
      </c>
      <c r="J2984" s="783"/>
      <c r="K2984" s="761" t="s">
        <v>2411</v>
      </c>
      <c r="L2984" s="761">
        <v>45089</v>
      </c>
      <c r="M2984" s="761"/>
      <c r="N2984" s="761"/>
      <c r="O2984" s="761" t="s">
        <v>62</v>
      </c>
      <c r="P2984" s="882">
        <v>6.01</v>
      </c>
      <c r="Q2984" s="3"/>
      <c r="R2984" s="3" t="s">
        <v>905</v>
      </c>
      <c r="S2984" s="3" t="s">
        <v>1757</v>
      </c>
      <c r="T2984" s="786">
        <v>156.09</v>
      </c>
      <c r="U2984" s="786">
        <v>102.58</v>
      </c>
      <c r="V2984" s="761" t="s">
        <v>2411</v>
      </c>
      <c r="W2984" s="761">
        <v>45089</v>
      </c>
      <c r="X2984" s="761" t="s">
        <v>2411</v>
      </c>
      <c r="Y2984" s="761">
        <v>45090</v>
      </c>
      <c r="Z2984" s="761" t="s">
        <v>62</v>
      </c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</row>
    <row r="2985" spans="2:39">
      <c r="B2985" s="895">
        <v>10</v>
      </c>
      <c r="C2985" s="3" t="s">
        <v>54</v>
      </c>
      <c r="D2985" s="12" t="s">
        <v>6154</v>
      </c>
      <c r="E2985" s="12" t="s">
        <v>6155</v>
      </c>
      <c r="F2985" s="749">
        <v>10</v>
      </c>
      <c r="G2985" s="749" t="s">
        <v>60</v>
      </c>
      <c r="H2985" s="3"/>
      <c r="I2985" s="786">
        <v>143.52000000000001</v>
      </c>
      <c r="J2985" s="783"/>
      <c r="K2985" s="761" t="s">
        <v>2411</v>
      </c>
      <c r="L2985" s="761">
        <v>45089</v>
      </c>
      <c r="M2985" s="761"/>
      <c r="N2985" s="761"/>
      <c r="O2985" s="761" t="s">
        <v>62</v>
      </c>
      <c r="P2985" s="882">
        <v>6.27</v>
      </c>
      <c r="Q2985" s="3"/>
      <c r="R2985" s="3" t="s">
        <v>905</v>
      </c>
      <c r="S2985" s="3" t="s">
        <v>1757</v>
      </c>
      <c r="T2985" s="786">
        <v>156</v>
      </c>
      <c r="U2985" s="786">
        <v>102.61</v>
      </c>
      <c r="V2985" s="761" t="s">
        <v>2411</v>
      </c>
      <c r="W2985" s="761">
        <v>45089</v>
      </c>
      <c r="X2985" s="761" t="s">
        <v>2411</v>
      </c>
      <c r="Y2985" s="761">
        <v>45090</v>
      </c>
      <c r="Z2985" s="761" t="s">
        <v>62</v>
      </c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</row>
    <row r="2986" spans="2:39">
      <c r="B2986" s="895">
        <v>11</v>
      </c>
      <c r="C2986" s="3" t="s">
        <v>54</v>
      </c>
      <c r="D2986" s="12" t="s">
        <v>6156</v>
      </c>
      <c r="E2986" s="12" t="s">
        <v>6157</v>
      </c>
      <c r="F2986" s="749">
        <v>11</v>
      </c>
      <c r="G2986" s="749" t="s">
        <v>60</v>
      </c>
      <c r="H2986" s="3"/>
      <c r="I2986" s="786">
        <v>143.56</v>
      </c>
      <c r="J2986" s="783"/>
      <c r="K2986" s="761" t="s">
        <v>2411</v>
      </c>
      <c r="L2986" s="761">
        <v>45089</v>
      </c>
      <c r="M2986" s="761"/>
      <c r="N2986" s="761"/>
      <c r="O2986" s="761" t="s">
        <v>62</v>
      </c>
      <c r="P2986" s="882">
        <v>6.17</v>
      </c>
      <c r="Q2986" s="3"/>
      <c r="R2986" s="3" t="s">
        <v>905</v>
      </c>
      <c r="S2986" s="3" t="s">
        <v>1757</v>
      </c>
      <c r="T2986" s="786">
        <v>156.07</v>
      </c>
      <c r="U2986" s="786">
        <v>102.58</v>
      </c>
      <c r="V2986" s="761" t="s">
        <v>2411</v>
      </c>
      <c r="W2986" s="761">
        <v>45089</v>
      </c>
      <c r="X2986" s="761" t="s">
        <v>2411</v>
      </c>
      <c r="Y2986" s="761">
        <v>45090</v>
      </c>
      <c r="Z2986" s="761" t="s">
        <v>62</v>
      </c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</row>
    <row r="2987" spans="2:39">
      <c r="B2987" s="895">
        <v>12</v>
      </c>
      <c r="C2987" s="3" t="s">
        <v>54</v>
      </c>
      <c r="D2987" s="12" t="s">
        <v>6158</v>
      </c>
      <c r="E2987" s="12" t="s">
        <v>6159</v>
      </c>
      <c r="F2987" s="749">
        <v>12</v>
      </c>
      <c r="G2987" s="749" t="s">
        <v>60</v>
      </c>
      <c r="H2987" s="3"/>
      <c r="I2987" s="762">
        <v>144.06</v>
      </c>
      <c r="J2987" s="783"/>
      <c r="K2987" s="761" t="s">
        <v>2411</v>
      </c>
      <c r="L2987" s="761">
        <v>45089</v>
      </c>
      <c r="M2987" s="761"/>
      <c r="N2987" s="761"/>
      <c r="O2987" s="761" t="s">
        <v>62</v>
      </c>
      <c r="P2987" s="3">
        <v>6.27</v>
      </c>
      <c r="Q2987" s="3"/>
      <c r="R2987" s="3" t="s">
        <v>905</v>
      </c>
      <c r="S2987" s="3" t="s">
        <v>1757</v>
      </c>
      <c r="T2987" s="786">
        <v>156.63</v>
      </c>
      <c r="U2987" s="786">
        <v>102.53</v>
      </c>
      <c r="V2987" s="761" t="s">
        <v>2411</v>
      </c>
      <c r="W2987" s="761">
        <v>45089</v>
      </c>
      <c r="X2987" s="761" t="s">
        <v>2411</v>
      </c>
      <c r="Y2987" s="761">
        <v>45091</v>
      </c>
      <c r="Z2987" s="761" t="s">
        <v>62</v>
      </c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</row>
    <row r="2988" spans="2:39">
      <c r="B2988" s="895">
        <v>13</v>
      </c>
      <c r="C2988" s="3" t="s">
        <v>54</v>
      </c>
      <c r="D2988" s="12" t="s">
        <v>6160</v>
      </c>
      <c r="E2988" s="12" t="s">
        <v>6161</v>
      </c>
      <c r="F2988" s="749">
        <v>13</v>
      </c>
      <c r="G2988" s="749" t="s">
        <v>60</v>
      </c>
      <c r="H2988" s="3"/>
      <c r="I2988" s="762">
        <v>144.69999999999999</v>
      </c>
      <c r="J2988" s="783"/>
      <c r="K2988" s="761" t="s">
        <v>2411</v>
      </c>
      <c r="L2988" s="761">
        <v>45089</v>
      </c>
      <c r="M2988" s="761"/>
      <c r="N2988" s="761"/>
      <c r="O2988" s="761" t="s">
        <v>62</v>
      </c>
      <c r="P2988" s="3">
        <v>6.21</v>
      </c>
      <c r="Q2988" s="3"/>
      <c r="R2988" s="3" t="s">
        <v>905</v>
      </c>
      <c r="S2988" s="3" t="s">
        <v>1757</v>
      </c>
      <c r="T2988" s="786">
        <v>157.41</v>
      </c>
      <c r="U2988" s="786">
        <v>102.62</v>
      </c>
      <c r="V2988" s="761" t="s">
        <v>2411</v>
      </c>
      <c r="W2988" s="761">
        <v>45090</v>
      </c>
      <c r="X2988" s="761" t="s">
        <v>2411</v>
      </c>
      <c r="Y2988" s="761">
        <v>45091</v>
      </c>
      <c r="Z2988" s="761" t="s">
        <v>62</v>
      </c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</row>
    <row r="2989" spans="2:39">
      <c r="B2989" s="895">
        <v>14</v>
      </c>
      <c r="C2989" s="3" t="s">
        <v>54</v>
      </c>
      <c r="D2989" s="12" t="s">
        <v>6162</v>
      </c>
      <c r="E2989" s="12" t="s">
        <v>6163</v>
      </c>
      <c r="F2989" s="749">
        <v>14</v>
      </c>
      <c r="G2989" s="749" t="s">
        <v>60</v>
      </c>
      <c r="H2989" s="3"/>
      <c r="I2989" s="762">
        <v>145.22999999999999</v>
      </c>
      <c r="J2989" s="783"/>
      <c r="K2989" s="761" t="s">
        <v>2411</v>
      </c>
      <c r="L2989" s="761">
        <v>45089</v>
      </c>
      <c r="M2989" s="761"/>
      <c r="N2989" s="761"/>
      <c r="O2989" s="761" t="s">
        <v>62</v>
      </c>
      <c r="P2989" s="3">
        <v>6.18</v>
      </c>
      <c r="Q2989" s="3"/>
      <c r="R2989" s="3" t="s">
        <v>905</v>
      </c>
      <c r="S2989" s="3" t="s">
        <v>1757</v>
      </c>
      <c r="T2989" s="786">
        <v>157.71</v>
      </c>
      <c r="U2989" s="786">
        <v>102.57</v>
      </c>
      <c r="V2989" s="761" t="s">
        <v>2411</v>
      </c>
      <c r="W2989" s="761">
        <v>45090</v>
      </c>
      <c r="X2989" s="761" t="s">
        <v>2411</v>
      </c>
      <c r="Y2989" s="761">
        <v>45091</v>
      </c>
      <c r="Z2989" s="761" t="s">
        <v>62</v>
      </c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</row>
    <row r="2990" spans="2:39">
      <c r="B2990" s="895">
        <v>15</v>
      </c>
      <c r="C2990" s="3" t="s">
        <v>54</v>
      </c>
      <c r="D2990" s="12" t="s">
        <v>6164</v>
      </c>
      <c r="E2990" s="12" t="s">
        <v>6165</v>
      </c>
      <c r="F2990" s="749">
        <v>15</v>
      </c>
      <c r="G2990" s="749" t="s">
        <v>60</v>
      </c>
      <c r="H2990" s="3"/>
      <c r="I2990" s="762">
        <v>145.30000000000001</v>
      </c>
      <c r="J2990" s="783"/>
      <c r="K2990" s="761" t="s">
        <v>2411</v>
      </c>
      <c r="L2990" s="761">
        <v>45089</v>
      </c>
      <c r="M2990" s="761"/>
      <c r="N2990" s="761"/>
      <c r="O2990" s="761" t="s">
        <v>62</v>
      </c>
      <c r="P2990" s="3">
        <v>6.25</v>
      </c>
      <c r="Q2990" s="3"/>
      <c r="R2990" s="3" t="s">
        <v>905</v>
      </c>
      <c r="S2990" s="3" t="s">
        <v>1757</v>
      </c>
      <c r="T2990" s="786">
        <v>158.21</v>
      </c>
      <c r="U2990" s="786">
        <v>102.55</v>
      </c>
      <c r="V2990" s="761" t="s">
        <v>2411</v>
      </c>
      <c r="W2990" s="761">
        <v>45090</v>
      </c>
      <c r="X2990" s="761" t="s">
        <v>2411</v>
      </c>
      <c r="Y2990" s="761">
        <v>45091</v>
      </c>
      <c r="Z2990" s="761" t="s">
        <v>62</v>
      </c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</row>
    <row r="2991" spans="2:39">
      <c r="B2991" s="895">
        <v>16</v>
      </c>
      <c r="C2991" s="3" t="s">
        <v>54</v>
      </c>
      <c r="D2991" s="12" t="s">
        <v>6166</v>
      </c>
      <c r="E2991" s="12" t="s">
        <v>6167</v>
      </c>
      <c r="F2991" s="749">
        <v>16</v>
      </c>
      <c r="G2991" s="749" t="s">
        <v>60</v>
      </c>
      <c r="H2991" s="3"/>
      <c r="I2991" s="786">
        <v>141.36000000000001</v>
      </c>
      <c r="J2991" s="783"/>
      <c r="K2991" s="761" t="s">
        <v>2411</v>
      </c>
      <c r="L2991" s="761">
        <v>45091</v>
      </c>
      <c r="M2991" s="761"/>
      <c r="N2991" s="761"/>
      <c r="O2991" s="761" t="s">
        <v>62</v>
      </c>
      <c r="P2991" s="882">
        <v>6.25</v>
      </c>
      <c r="Q2991" s="3"/>
      <c r="R2991" s="3" t="s">
        <v>905</v>
      </c>
      <c r="S2991" s="3" t="s">
        <v>1757</v>
      </c>
      <c r="T2991" s="786">
        <v>153.88999999999999</v>
      </c>
      <c r="U2991" s="786">
        <v>102.6</v>
      </c>
      <c r="V2991" s="761" t="s">
        <v>2411</v>
      </c>
      <c r="W2991" s="761">
        <v>45091</v>
      </c>
      <c r="X2991" s="761" t="s">
        <v>2411</v>
      </c>
      <c r="Y2991" s="761">
        <v>45091</v>
      </c>
      <c r="Z2991" s="761" t="s">
        <v>62</v>
      </c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</row>
    <row r="2992" spans="2:39">
      <c r="B2992" s="895">
        <v>17</v>
      </c>
      <c r="C2992" s="3" t="s">
        <v>54</v>
      </c>
      <c r="D2992" s="12" t="s">
        <v>6168</v>
      </c>
      <c r="E2992" s="12" t="s">
        <v>6169</v>
      </c>
      <c r="F2992" s="749">
        <v>17</v>
      </c>
      <c r="G2992" s="749" t="s">
        <v>60</v>
      </c>
      <c r="H2992" s="3"/>
      <c r="I2992" s="786">
        <v>144.49</v>
      </c>
      <c r="J2992" s="783"/>
      <c r="K2992" s="761" t="s">
        <v>2411</v>
      </c>
      <c r="L2992" s="761">
        <v>45091</v>
      </c>
      <c r="M2992" s="761"/>
      <c r="N2992" s="761"/>
      <c r="O2992" s="761" t="s">
        <v>62</v>
      </c>
      <c r="P2992" s="882">
        <v>6.22</v>
      </c>
      <c r="Q2992" s="3"/>
      <c r="R2992" s="3" t="s">
        <v>905</v>
      </c>
      <c r="S2992" s="3" t="s">
        <v>1757</v>
      </c>
      <c r="T2992" s="786">
        <v>156.97999999999999</v>
      </c>
      <c r="U2992" s="786">
        <v>102.49</v>
      </c>
      <c r="V2992" s="761" t="s">
        <v>2411</v>
      </c>
      <c r="W2992" s="761">
        <v>45091</v>
      </c>
      <c r="X2992" s="761" t="s">
        <v>2411</v>
      </c>
      <c r="Y2992" s="761">
        <v>45092</v>
      </c>
      <c r="Z2992" s="761" t="s">
        <v>62</v>
      </c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</row>
    <row r="2993" spans="2:39">
      <c r="B2993" s="895">
        <v>18</v>
      </c>
      <c r="C2993" s="3" t="s">
        <v>54</v>
      </c>
      <c r="D2993" s="12" t="s">
        <v>6170</v>
      </c>
      <c r="E2993" s="12" t="s">
        <v>6171</v>
      </c>
      <c r="F2993" s="749">
        <v>18</v>
      </c>
      <c r="G2993" s="749" t="s">
        <v>60</v>
      </c>
      <c r="H2993" s="3"/>
      <c r="I2993" s="786">
        <v>143.53</v>
      </c>
      <c r="J2993" s="783"/>
      <c r="K2993" s="761" t="s">
        <v>2411</v>
      </c>
      <c r="L2993" s="761">
        <v>45091</v>
      </c>
      <c r="M2993" s="761"/>
      <c r="N2993" s="761"/>
      <c r="O2993" s="761" t="s">
        <v>62</v>
      </c>
      <c r="P2993" s="882">
        <v>6.06</v>
      </c>
      <c r="Q2993" s="3"/>
      <c r="R2993" s="3" t="s">
        <v>905</v>
      </c>
      <c r="S2993" s="3" t="s">
        <v>1757</v>
      </c>
      <c r="T2993" s="786">
        <v>155.97999999999999</v>
      </c>
      <c r="U2993" s="786">
        <v>102.58</v>
      </c>
      <c r="V2993" s="761" t="s">
        <v>2411</v>
      </c>
      <c r="W2993" s="761">
        <v>45091</v>
      </c>
      <c r="X2993" s="761" t="s">
        <v>2411</v>
      </c>
      <c r="Y2993" s="761">
        <v>45092</v>
      </c>
      <c r="Z2993" s="761" t="s">
        <v>62</v>
      </c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</row>
    <row r="2994" spans="2:39">
      <c r="B2994" s="895">
        <v>19</v>
      </c>
      <c r="C2994" s="3" t="s">
        <v>54</v>
      </c>
      <c r="D2994" s="12" t="s">
        <v>6172</v>
      </c>
      <c r="E2994" s="12" t="s">
        <v>6173</v>
      </c>
      <c r="F2994" s="749">
        <v>19</v>
      </c>
      <c r="G2994" s="749" t="s">
        <v>60</v>
      </c>
      <c r="H2994" s="3"/>
      <c r="I2994" s="786">
        <v>145.30000000000001</v>
      </c>
      <c r="J2994" s="783"/>
      <c r="K2994" s="761" t="s">
        <v>2411</v>
      </c>
      <c r="L2994" s="761">
        <v>45091</v>
      </c>
      <c r="M2994" s="761"/>
      <c r="N2994" s="761"/>
      <c r="O2994" s="761" t="s">
        <v>62</v>
      </c>
      <c r="P2994" s="882">
        <v>6.15</v>
      </c>
      <c r="Q2994" s="3"/>
      <c r="R2994" s="3" t="s">
        <v>905</v>
      </c>
      <c r="S2994" s="3" t="s">
        <v>1757</v>
      </c>
      <c r="T2994" s="3">
        <v>157.66</v>
      </c>
      <c r="U2994" s="786">
        <v>102.57</v>
      </c>
      <c r="V2994" s="761" t="s">
        <v>2411</v>
      </c>
      <c r="W2994" s="761">
        <v>45091</v>
      </c>
      <c r="X2994" s="761" t="s">
        <v>2411</v>
      </c>
      <c r="Y2994" s="761">
        <v>45092</v>
      </c>
      <c r="Z2994" s="761" t="s">
        <v>62</v>
      </c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</row>
    <row r="2995" spans="2:39">
      <c r="B2995" s="895">
        <v>20</v>
      </c>
      <c r="C2995" s="3" t="s">
        <v>54</v>
      </c>
      <c r="D2995" s="12" t="s">
        <v>6174</v>
      </c>
      <c r="E2995" s="12" t="s">
        <v>6175</v>
      </c>
      <c r="F2995" s="749">
        <v>20</v>
      </c>
      <c r="G2995" s="749" t="s">
        <v>60</v>
      </c>
      <c r="H2995" s="3"/>
      <c r="I2995" s="786">
        <v>145.30000000000001</v>
      </c>
      <c r="J2995" s="783"/>
      <c r="K2995" s="761" t="s">
        <v>2411</v>
      </c>
      <c r="L2995" s="761">
        <v>45091</v>
      </c>
      <c r="M2995" s="761"/>
      <c r="N2995" s="761"/>
      <c r="O2995" s="761" t="s">
        <v>62</v>
      </c>
      <c r="P2995" s="882">
        <v>6.26</v>
      </c>
      <c r="Q2995" s="3"/>
      <c r="R2995" s="3" t="s">
        <v>905</v>
      </c>
      <c r="S2995" s="3" t="s">
        <v>1757</v>
      </c>
      <c r="T2995" s="3">
        <v>157.84</v>
      </c>
      <c r="U2995" s="786">
        <v>102.61</v>
      </c>
      <c r="V2995" s="761" t="s">
        <v>2411</v>
      </c>
      <c r="W2995" s="761">
        <v>45091</v>
      </c>
      <c r="X2995" s="761" t="s">
        <v>2411</v>
      </c>
      <c r="Y2995" s="761">
        <v>45092</v>
      </c>
      <c r="Z2995" s="761" t="s">
        <v>62</v>
      </c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</row>
    <row r="2996" spans="2:39" s="707" customFormat="1">
      <c r="B2996" s="797" t="s">
        <v>13</v>
      </c>
      <c r="C2996" s="807" t="s">
        <v>6176</v>
      </c>
      <c r="D2996" s="875"/>
      <c r="E2996" s="875"/>
      <c r="F2996" s="808"/>
      <c r="G2996" s="808"/>
      <c r="H2996" s="807"/>
      <c r="I2996" s="820"/>
      <c r="J2996" s="809"/>
      <c r="K2996" s="819"/>
      <c r="L2996" s="819"/>
      <c r="M2996" s="819"/>
      <c r="N2996" s="819"/>
      <c r="O2996" s="819"/>
      <c r="P2996" s="884"/>
      <c r="Q2996" s="807"/>
      <c r="R2996" s="807"/>
      <c r="S2996" s="807"/>
      <c r="T2996" s="820"/>
      <c r="U2996" s="820"/>
      <c r="V2996" s="710"/>
      <c r="W2996" s="819"/>
      <c r="X2996" s="819"/>
      <c r="Y2996" s="819"/>
      <c r="Z2996" s="819"/>
      <c r="AA2996" s="710"/>
      <c r="AB2996" s="710"/>
      <c r="AC2996" s="710"/>
      <c r="AD2996" s="710"/>
      <c r="AE2996" s="710"/>
      <c r="AF2996" s="710"/>
      <c r="AG2996" s="710"/>
      <c r="AH2996" s="710"/>
      <c r="AI2996" s="710"/>
      <c r="AJ2996" s="710"/>
      <c r="AK2996" s="710"/>
      <c r="AL2996" s="710"/>
      <c r="AM2996" s="710"/>
    </row>
    <row r="2997" spans="2:39">
      <c r="B2997" s="895" t="s">
        <v>57</v>
      </c>
      <c r="C2997" s="3" t="s">
        <v>54</v>
      </c>
      <c r="D2997" s="12" t="s">
        <v>6177</v>
      </c>
      <c r="E2997" s="12" t="s">
        <v>59</v>
      </c>
      <c r="F2997" s="749">
        <v>1</v>
      </c>
      <c r="G2997" s="749" t="s">
        <v>60</v>
      </c>
      <c r="H2997" s="3"/>
      <c r="I2997" s="786">
        <v>427.99</v>
      </c>
      <c r="J2997" s="783"/>
      <c r="K2997" s="761" t="s">
        <v>2327</v>
      </c>
      <c r="L2997" s="761">
        <v>45429</v>
      </c>
      <c r="M2997" s="761"/>
      <c r="N2997" s="761"/>
      <c r="O2997" s="761" t="s">
        <v>62</v>
      </c>
      <c r="P2997" s="3" t="s">
        <v>61</v>
      </c>
      <c r="Q2997" s="3"/>
      <c r="R2997" s="3"/>
      <c r="S2997" s="3"/>
      <c r="T2997" s="3"/>
      <c r="U2997" s="786"/>
      <c r="V2997" s="761"/>
      <c r="W2997" s="761"/>
      <c r="X2997" s="761"/>
      <c r="Y2997" s="761"/>
      <c r="Z2997" s="761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</row>
    <row r="2998" spans="2:39">
      <c r="B2998" s="895" t="s">
        <v>57</v>
      </c>
      <c r="C2998" s="3" t="s">
        <v>54</v>
      </c>
      <c r="D2998" s="12" t="s">
        <v>6178</v>
      </c>
      <c r="E2998" s="12" t="s">
        <v>67</v>
      </c>
      <c r="F2998" s="749">
        <v>2</v>
      </c>
      <c r="G2998" s="749" t="s">
        <v>60</v>
      </c>
      <c r="H2998" s="3"/>
      <c r="I2998" s="858">
        <v>425.72</v>
      </c>
      <c r="J2998" s="783"/>
      <c r="K2998" s="761" t="s">
        <v>2327</v>
      </c>
      <c r="L2998" s="761">
        <v>45436</v>
      </c>
      <c r="M2998" s="761"/>
      <c r="N2998" s="761"/>
      <c r="O2998" s="761" t="s">
        <v>62</v>
      </c>
      <c r="P2998" s="3" t="s">
        <v>68</v>
      </c>
      <c r="Q2998" s="3"/>
      <c r="R2998" s="3"/>
      <c r="S2998" s="3"/>
      <c r="T2998" s="3"/>
      <c r="U2998" s="786"/>
      <c r="V2998" s="761"/>
      <c r="W2998" s="761"/>
      <c r="X2998" s="761"/>
      <c r="Y2998" s="761"/>
      <c r="Z2998" s="761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</row>
    <row r="2999" spans="2:39">
      <c r="B2999" s="895" t="s">
        <v>57</v>
      </c>
      <c r="C2999" s="3" t="s">
        <v>54</v>
      </c>
      <c r="D2999" s="12" t="s">
        <v>6179</v>
      </c>
      <c r="E2999" s="12" t="s">
        <v>70</v>
      </c>
      <c r="F2999" s="749">
        <v>3</v>
      </c>
      <c r="G2999" s="749" t="s">
        <v>60</v>
      </c>
      <c r="H2999" s="3"/>
      <c r="I2999" s="865">
        <v>429.17</v>
      </c>
      <c r="J2999" s="783"/>
      <c r="K2999" s="761" t="s">
        <v>2327</v>
      </c>
      <c r="L2999" s="761">
        <v>45439</v>
      </c>
      <c r="M2999" s="761"/>
      <c r="N2999" s="761"/>
      <c r="O2999" s="761" t="s">
        <v>62</v>
      </c>
      <c r="P2999" s="3" t="s">
        <v>71</v>
      </c>
      <c r="Q2999" s="3"/>
      <c r="R2999" s="3"/>
      <c r="S2999" s="3"/>
      <c r="T2999" s="3"/>
      <c r="U2999" s="786"/>
      <c r="V2999" s="761"/>
      <c r="W2999" s="761"/>
      <c r="X2999" s="761"/>
      <c r="Y2999" s="761"/>
      <c r="Z2999" s="761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</row>
    <row r="3000" spans="2:39" s="707" customFormat="1">
      <c r="B3000" s="797" t="s">
        <v>13</v>
      </c>
      <c r="C3000" s="807" t="s">
        <v>6180</v>
      </c>
      <c r="D3000" s="875"/>
      <c r="E3000" s="875"/>
      <c r="F3000" s="808"/>
      <c r="G3000" s="808"/>
      <c r="H3000" s="807"/>
      <c r="I3000" s="820"/>
      <c r="J3000" s="809"/>
      <c r="K3000" s="819"/>
      <c r="L3000" s="819"/>
      <c r="M3000" s="819"/>
      <c r="N3000" s="819"/>
      <c r="O3000" s="819"/>
      <c r="P3000" s="884"/>
      <c r="Q3000" s="807"/>
      <c r="R3000" s="807"/>
      <c r="S3000" s="807"/>
      <c r="T3000" s="820"/>
      <c r="U3000" s="820"/>
      <c r="V3000" s="710"/>
      <c r="W3000" s="819"/>
      <c r="X3000" s="819"/>
      <c r="Y3000" s="819"/>
      <c r="Z3000" s="819"/>
      <c r="AA3000" s="710"/>
      <c r="AB3000" s="710"/>
      <c r="AC3000" s="710"/>
      <c r="AD3000" s="710"/>
      <c r="AE3000" s="710"/>
      <c r="AF3000" s="710"/>
      <c r="AG3000" s="710"/>
      <c r="AH3000" s="710"/>
      <c r="AI3000" s="710"/>
      <c r="AJ3000" s="710"/>
      <c r="AK3000" s="710"/>
      <c r="AL3000" s="710"/>
      <c r="AM3000" s="710"/>
    </row>
    <row r="3001" spans="2:39">
      <c r="B3001" s="895" t="s">
        <v>72</v>
      </c>
      <c r="C3001" s="3" t="s">
        <v>54</v>
      </c>
      <c r="D3001" s="12" t="s">
        <v>6181</v>
      </c>
      <c r="E3001" s="12" t="s">
        <v>73</v>
      </c>
      <c r="F3001" s="749">
        <v>1</v>
      </c>
      <c r="G3001" s="749" t="s">
        <v>60</v>
      </c>
      <c r="H3001" s="825"/>
      <c r="I3001" s="762">
        <v>429.63</v>
      </c>
      <c r="J3001" s="804"/>
      <c r="K3001" s="761" t="s">
        <v>2411</v>
      </c>
      <c r="L3001" s="761">
        <v>45448</v>
      </c>
      <c r="M3001" s="919"/>
      <c r="N3001" s="919"/>
      <c r="O3001" s="761" t="s">
        <v>62</v>
      </c>
      <c r="P3001" s="3" t="s">
        <v>74</v>
      </c>
      <c r="Q3001" s="3"/>
      <c r="R3001" s="3"/>
      <c r="S3001" s="3"/>
      <c r="T3001" s="3"/>
      <c r="U3001" s="786"/>
      <c r="V3001" s="761"/>
      <c r="W3001" s="761"/>
      <c r="X3001" s="761"/>
      <c r="Y3001" s="761"/>
      <c r="Z3001" s="761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</row>
    <row r="3002" spans="2:39">
      <c r="B3002" s="895" t="s">
        <v>72</v>
      </c>
      <c r="C3002" s="3" t="s">
        <v>54</v>
      </c>
      <c r="D3002" s="12" t="s">
        <v>6182</v>
      </c>
      <c r="E3002" s="12" t="s">
        <v>77</v>
      </c>
      <c r="F3002" s="749">
        <f>F3001+1</f>
        <v>2</v>
      </c>
      <c r="G3002" s="749" t="s">
        <v>60</v>
      </c>
      <c r="H3002" s="825"/>
      <c r="I3002" s="762">
        <v>432.82</v>
      </c>
      <c r="J3002" s="804"/>
      <c r="K3002" s="761" t="s">
        <v>2411</v>
      </c>
      <c r="L3002" s="761">
        <v>45448</v>
      </c>
      <c r="M3002" s="919"/>
      <c r="N3002" s="919"/>
      <c r="O3002" s="761" t="s">
        <v>62</v>
      </c>
      <c r="P3002" s="3" t="s">
        <v>78</v>
      </c>
      <c r="Q3002" s="3"/>
      <c r="R3002" s="3"/>
      <c r="S3002" s="3"/>
      <c r="T3002" s="3"/>
      <c r="U3002" s="786"/>
      <c r="V3002" s="761"/>
      <c r="W3002" s="761"/>
      <c r="X3002" s="761"/>
      <c r="Y3002" s="761"/>
      <c r="Z3002" s="761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</row>
    <row r="3003" spans="2:39">
      <c r="B3003" s="895" t="s">
        <v>72</v>
      </c>
      <c r="C3003" s="3" t="s">
        <v>54</v>
      </c>
      <c r="D3003" s="12" t="s">
        <v>6183</v>
      </c>
      <c r="E3003" s="12" t="s">
        <v>79</v>
      </c>
      <c r="F3003" s="749">
        <f t="shared" ref="F3003:F3012" si="51">F3002+1</f>
        <v>3</v>
      </c>
      <c r="G3003" s="749" t="s">
        <v>60</v>
      </c>
      <c r="H3003" s="825"/>
      <c r="I3003" s="762">
        <f>146.63+143.23+146.38</f>
        <v>436.24</v>
      </c>
      <c r="J3003" s="804"/>
      <c r="K3003" s="761" t="s">
        <v>2411</v>
      </c>
      <c r="L3003" s="761">
        <v>45448</v>
      </c>
      <c r="M3003" s="919"/>
      <c r="N3003" s="919"/>
      <c r="O3003" s="761" t="s">
        <v>62</v>
      </c>
      <c r="P3003" s="3" t="s">
        <v>80</v>
      </c>
      <c r="Q3003" s="3"/>
      <c r="R3003" s="3"/>
      <c r="S3003" s="3"/>
      <c r="T3003" s="3"/>
      <c r="U3003" s="786"/>
      <c r="V3003" s="761"/>
      <c r="W3003" s="761"/>
      <c r="X3003" s="761"/>
      <c r="Y3003" s="761"/>
      <c r="Z3003" s="761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</row>
    <row r="3004" spans="2:39">
      <c r="B3004" s="895" t="s">
        <v>72</v>
      </c>
      <c r="C3004" s="3" t="s">
        <v>54</v>
      </c>
      <c r="D3004" s="12" t="s">
        <v>6184</v>
      </c>
      <c r="E3004" s="12" t="s">
        <v>81</v>
      </c>
      <c r="F3004" s="749">
        <f t="shared" si="51"/>
        <v>4</v>
      </c>
      <c r="G3004" s="749" t="s">
        <v>60</v>
      </c>
      <c r="H3004" s="825"/>
      <c r="I3004" s="786">
        <v>428</v>
      </c>
      <c r="J3004" s="804"/>
      <c r="K3004" s="761" t="s">
        <v>2411</v>
      </c>
      <c r="L3004" s="761">
        <v>45453</v>
      </c>
      <c r="M3004" s="919"/>
      <c r="N3004" s="919"/>
      <c r="O3004" s="761" t="s">
        <v>62</v>
      </c>
      <c r="P3004" s="3" t="s">
        <v>82</v>
      </c>
      <c r="Q3004" s="3"/>
      <c r="R3004" s="3"/>
      <c r="S3004" s="3"/>
      <c r="T3004" s="3"/>
      <c r="U3004" s="786"/>
      <c r="V3004" s="761"/>
      <c r="W3004" s="761"/>
      <c r="X3004" s="761"/>
      <c r="Y3004" s="761"/>
      <c r="Z3004" s="761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</row>
    <row r="3005" spans="2:39">
      <c r="B3005" s="895" t="s">
        <v>72</v>
      </c>
      <c r="C3005" s="3" t="s">
        <v>54</v>
      </c>
      <c r="D3005" s="12" t="s">
        <v>6185</v>
      </c>
      <c r="E3005" s="12" t="s">
        <v>83</v>
      </c>
      <c r="F3005" s="749">
        <f t="shared" si="51"/>
        <v>5</v>
      </c>
      <c r="G3005" s="749" t="s">
        <v>60</v>
      </c>
      <c r="H3005" s="825"/>
      <c r="I3005" s="762">
        <v>434</v>
      </c>
      <c r="J3005" s="804"/>
      <c r="K3005" s="761" t="s">
        <v>2411</v>
      </c>
      <c r="L3005" s="761">
        <v>45453</v>
      </c>
      <c r="M3005" s="919"/>
      <c r="N3005" s="919"/>
      <c r="O3005" s="761" t="s">
        <v>62</v>
      </c>
      <c r="P3005" s="3" t="s">
        <v>84</v>
      </c>
      <c r="Q3005" s="3"/>
      <c r="R3005" s="3"/>
      <c r="S3005" s="3"/>
      <c r="T3005" s="3"/>
      <c r="U3005" s="786"/>
      <c r="V3005" s="761"/>
      <c r="W3005" s="761"/>
      <c r="X3005" s="761"/>
      <c r="Y3005" s="761"/>
      <c r="Z3005" s="761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</row>
    <row r="3006" spans="2:39">
      <c r="B3006" s="895" t="s">
        <v>72</v>
      </c>
      <c r="C3006" s="3" t="s">
        <v>54</v>
      </c>
      <c r="D3006" s="12" t="s">
        <v>6186</v>
      </c>
      <c r="E3006" s="12" t="s">
        <v>85</v>
      </c>
      <c r="F3006" s="749">
        <f t="shared" si="51"/>
        <v>6</v>
      </c>
      <c r="G3006" s="749" t="s">
        <v>60</v>
      </c>
      <c r="H3006" s="825"/>
      <c r="I3006" s="762">
        <v>424.11</v>
      </c>
      <c r="J3006" s="804"/>
      <c r="K3006" s="761" t="s">
        <v>2411</v>
      </c>
      <c r="L3006" s="761">
        <v>45454</v>
      </c>
      <c r="M3006" s="919"/>
      <c r="N3006" s="919"/>
      <c r="O3006" s="761" t="s">
        <v>62</v>
      </c>
      <c r="P3006" s="3" t="s">
        <v>86</v>
      </c>
      <c r="Q3006" s="3"/>
      <c r="R3006" s="3"/>
      <c r="S3006" s="3"/>
      <c r="T3006" s="3"/>
      <c r="U3006" s="786"/>
      <c r="V3006" s="761"/>
      <c r="W3006" s="761"/>
      <c r="X3006" s="761"/>
      <c r="Y3006" s="761"/>
      <c r="Z3006" s="761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4"/>
    </row>
    <row r="3007" spans="2:39">
      <c r="B3007" s="895" t="s">
        <v>72</v>
      </c>
      <c r="C3007" s="3" t="s">
        <v>54</v>
      </c>
      <c r="D3007" s="12" t="s">
        <v>6187</v>
      </c>
      <c r="E3007" s="12" t="s">
        <v>87</v>
      </c>
      <c r="F3007" s="749">
        <f t="shared" si="51"/>
        <v>7</v>
      </c>
      <c r="G3007" s="749" t="s">
        <v>60</v>
      </c>
      <c r="H3007" s="825"/>
      <c r="I3007" s="786">
        <v>428.9</v>
      </c>
      <c r="J3007" s="804"/>
      <c r="K3007" s="761" t="s">
        <v>2411</v>
      </c>
      <c r="L3007" s="761">
        <v>45455</v>
      </c>
      <c r="M3007" s="919"/>
      <c r="N3007" s="919"/>
      <c r="O3007" s="761" t="s">
        <v>62</v>
      </c>
      <c r="P3007" s="3" t="s">
        <v>88</v>
      </c>
      <c r="Q3007" s="3"/>
      <c r="R3007" s="3"/>
      <c r="S3007" s="3"/>
      <c r="T3007" s="3"/>
      <c r="U3007" s="786"/>
      <c r="V3007" s="761"/>
      <c r="W3007" s="761"/>
      <c r="X3007" s="761"/>
      <c r="Y3007" s="761"/>
      <c r="Z3007" s="761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</row>
    <row r="3008" spans="2:39">
      <c r="B3008" s="895" t="s">
        <v>72</v>
      </c>
      <c r="C3008" s="3" t="s">
        <v>54</v>
      </c>
      <c r="D3008" s="12" t="s">
        <v>6188</v>
      </c>
      <c r="E3008" s="12" t="s">
        <v>89</v>
      </c>
      <c r="F3008" s="749">
        <f t="shared" si="51"/>
        <v>8</v>
      </c>
      <c r="G3008" s="749" t="s">
        <v>60</v>
      </c>
      <c r="H3008" s="825"/>
      <c r="I3008" s="786">
        <v>435.4</v>
      </c>
      <c r="J3008" s="804"/>
      <c r="K3008" s="761" t="s">
        <v>2411</v>
      </c>
      <c r="L3008" s="761">
        <v>45455</v>
      </c>
      <c r="M3008" s="919"/>
      <c r="N3008" s="919"/>
      <c r="O3008" s="761" t="s">
        <v>62</v>
      </c>
      <c r="P3008" s="3" t="s">
        <v>90</v>
      </c>
      <c r="Q3008" s="3"/>
      <c r="R3008" s="3"/>
      <c r="S3008" s="3"/>
      <c r="T3008" s="3"/>
      <c r="U3008" s="786"/>
      <c r="V3008" s="761"/>
      <c r="W3008" s="761"/>
      <c r="X3008" s="761"/>
      <c r="Y3008" s="761"/>
      <c r="Z3008" s="761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</row>
    <row r="3009" spans="1:39">
      <c r="B3009" s="895" t="s">
        <v>72</v>
      </c>
      <c r="C3009" s="3" t="s">
        <v>54</v>
      </c>
      <c r="D3009" s="12" t="s">
        <v>6189</v>
      </c>
      <c r="E3009" s="12" t="s">
        <v>91</v>
      </c>
      <c r="F3009" s="749">
        <f t="shared" si="51"/>
        <v>9</v>
      </c>
      <c r="G3009" s="749" t="s">
        <v>60</v>
      </c>
      <c r="H3009" s="825"/>
      <c r="I3009" s="786">
        <v>435.7</v>
      </c>
      <c r="J3009" s="804"/>
      <c r="K3009" s="761" t="s">
        <v>2411</v>
      </c>
      <c r="L3009" s="761">
        <v>45455</v>
      </c>
      <c r="M3009" s="919"/>
      <c r="N3009" s="919"/>
      <c r="O3009" s="761" t="s">
        <v>62</v>
      </c>
      <c r="P3009" s="785" t="s">
        <v>92</v>
      </c>
      <c r="Q3009" s="3"/>
      <c r="R3009" s="3"/>
      <c r="S3009" s="3"/>
      <c r="T3009" s="3"/>
      <c r="U3009" s="786"/>
      <c r="V3009" s="761"/>
      <c r="W3009" s="761"/>
      <c r="X3009" s="761"/>
      <c r="Y3009" s="761"/>
      <c r="Z3009" s="761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</row>
    <row r="3010" spans="1:39">
      <c r="B3010" s="895" t="s">
        <v>72</v>
      </c>
      <c r="C3010" s="3" t="s">
        <v>54</v>
      </c>
      <c r="D3010" s="12" t="s">
        <v>6190</v>
      </c>
      <c r="E3010" s="12" t="s">
        <v>93</v>
      </c>
      <c r="F3010" s="749">
        <f t="shared" si="51"/>
        <v>10</v>
      </c>
      <c r="G3010" s="749" t="s">
        <v>60</v>
      </c>
      <c r="H3010" s="825"/>
      <c r="I3010" s="786">
        <v>427.2</v>
      </c>
      <c r="J3010" s="804"/>
      <c r="K3010" s="761" t="s">
        <v>2411</v>
      </c>
      <c r="L3010" s="761">
        <v>45456</v>
      </c>
      <c r="M3010" s="919"/>
      <c r="N3010" s="919"/>
      <c r="O3010" s="761" t="s">
        <v>62</v>
      </c>
      <c r="P3010" s="3" t="s">
        <v>94</v>
      </c>
      <c r="Q3010" s="3"/>
      <c r="R3010" s="3"/>
      <c r="S3010" s="3"/>
      <c r="T3010" s="3"/>
      <c r="U3010" s="786"/>
      <c r="V3010" s="761"/>
      <c r="W3010" s="761"/>
      <c r="X3010" s="761"/>
      <c r="Y3010" s="761"/>
      <c r="Z3010" s="761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</row>
    <row r="3011" spans="1:39">
      <c r="B3011" s="895" t="s">
        <v>72</v>
      </c>
      <c r="C3011" s="3" t="s">
        <v>54</v>
      </c>
      <c r="D3011" s="12" t="s">
        <v>6191</v>
      </c>
      <c r="E3011" s="12" t="s">
        <v>95</v>
      </c>
      <c r="F3011" s="749">
        <f t="shared" si="51"/>
        <v>11</v>
      </c>
      <c r="G3011" s="749" t="s">
        <v>60</v>
      </c>
      <c r="H3011" s="825"/>
      <c r="I3011" s="786">
        <v>431.4</v>
      </c>
      <c r="J3011" s="804"/>
      <c r="K3011" s="761" t="s">
        <v>2411</v>
      </c>
      <c r="L3011" s="761">
        <v>45456</v>
      </c>
      <c r="M3011" s="919"/>
      <c r="N3011" s="919"/>
      <c r="O3011" s="761" t="s">
        <v>62</v>
      </c>
      <c r="P3011" s="3" t="s">
        <v>96</v>
      </c>
      <c r="Q3011" s="3"/>
      <c r="R3011" s="3"/>
      <c r="S3011" s="3"/>
      <c r="T3011" s="3"/>
      <c r="U3011" s="786"/>
      <c r="V3011" s="761"/>
      <c r="W3011" s="761"/>
      <c r="X3011" s="761"/>
      <c r="Y3011" s="761"/>
      <c r="Z3011" s="761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</row>
    <row r="3012" spans="1:39">
      <c r="B3012" s="895" t="s">
        <v>72</v>
      </c>
      <c r="C3012" s="3" t="s">
        <v>54</v>
      </c>
      <c r="D3012" s="12" t="s">
        <v>6192</v>
      </c>
      <c r="E3012" s="12" t="s">
        <v>98</v>
      </c>
      <c r="F3012" s="749">
        <f t="shared" si="51"/>
        <v>12</v>
      </c>
      <c r="G3012" s="749" t="s">
        <v>60</v>
      </c>
      <c r="H3012" s="825"/>
      <c r="I3012" s="786">
        <v>429.3</v>
      </c>
      <c r="J3012" s="804"/>
      <c r="K3012" s="761" t="s">
        <v>2411</v>
      </c>
      <c r="L3012" s="761">
        <v>45457</v>
      </c>
      <c r="M3012" s="919"/>
      <c r="N3012" s="919"/>
      <c r="O3012" s="761" t="s">
        <v>62</v>
      </c>
      <c r="P3012" s="3" t="s">
        <v>99</v>
      </c>
      <c r="Q3012" s="3"/>
      <c r="R3012" s="3"/>
      <c r="S3012" s="3"/>
      <c r="T3012" s="3"/>
      <c r="U3012" s="786"/>
      <c r="V3012" s="761"/>
      <c r="W3012" s="761"/>
      <c r="X3012" s="761"/>
      <c r="Y3012" s="761"/>
      <c r="Z3012" s="761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</row>
    <row r="3013" spans="1:39" s="707" customFormat="1">
      <c r="B3013" s="797" t="s">
        <v>13</v>
      </c>
      <c r="C3013" s="807" t="s">
        <v>6193</v>
      </c>
      <c r="D3013" s="875"/>
      <c r="E3013" s="875"/>
      <c r="F3013" s="808"/>
      <c r="G3013" s="808"/>
      <c r="H3013" s="807"/>
      <c r="I3013" s="820"/>
      <c r="J3013" s="809"/>
      <c r="K3013" s="819"/>
      <c r="L3013" s="819"/>
      <c r="M3013" s="819"/>
      <c r="N3013" s="819"/>
      <c r="O3013" s="819"/>
      <c r="P3013" s="884"/>
      <c r="Q3013" s="807"/>
      <c r="R3013" s="807"/>
      <c r="S3013" s="807"/>
      <c r="T3013" s="820"/>
      <c r="U3013" s="820"/>
      <c r="V3013" s="710"/>
      <c r="W3013" s="819"/>
      <c r="X3013" s="819"/>
      <c r="Y3013" s="819"/>
      <c r="Z3013" s="819"/>
      <c r="AA3013" s="710"/>
      <c r="AB3013" s="710"/>
      <c r="AC3013" s="710"/>
      <c r="AD3013" s="710"/>
      <c r="AE3013" s="710"/>
      <c r="AF3013" s="710"/>
      <c r="AG3013" s="710"/>
      <c r="AH3013" s="710"/>
      <c r="AI3013" s="710"/>
      <c r="AJ3013" s="710"/>
      <c r="AK3013" s="710"/>
      <c r="AL3013" s="710"/>
      <c r="AM3013" s="710"/>
    </row>
    <row r="3014" spans="1:39">
      <c r="B3014" s="895" t="s">
        <v>100</v>
      </c>
      <c r="C3014" s="3" t="s">
        <v>54</v>
      </c>
      <c r="D3014" s="12" t="s">
        <v>6194</v>
      </c>
      <c r="E3014" s="12" t="s">
        <v>101</v>
      </c>
      <c r="F3014" s="749">
        <v>1</v>
      </c>
      <c r="G3014" s="749" t="s">
        <v>60</v>
      </c>
      <c r="H3014" s="825"/>
      <c r="I3014" s="858">
        <f>142.41+144.49+144.24</f>
        <v>431.14</v>
      </c>
      <c r="J3014" s="804"/>
      <c r="K3014" s="761" t="s">
        <v>2512</v>
      </c>
      <c r="L3014" s="761">
        <v>45498</v>
      </c>
      <c r="M3014" s="919"/>
      <c r="N3014" s="919"/>
      <c r="O3014" s="761" t="s">
        <v>62</v>
      </c>
      <c r="P3014" s="785" t="s">
        <v>102</v>
      </c>
      <c r="Q3014" s="3"/>
      <c r="R3014" s="3"/>
      <c r="S3014" s="3"/>
      <c r="T3014" s="3"/>
      <c r="U3014" s="786"/>
      <c r="V3014" s="761"/>
      <c r="W3014" s="761"/>
      <c r="X3014" s="761"/>
      <c r="Y3014" s="761"/>
      <c r="Z3014" s="761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  <c r="AM3014" s="4"/>
    </row>
    <row r="3015" spans="1:39">
      <c r="B3015" s="895" t="s">
        <v>100</v>
      </c>
      <c r="C3015" s="3" t="s">
        <v>54</v>
      </c>
      <c r="D3015" s="12" t="s">
        <v>6195</v>
      </c>
      <c r="E3015" s="12" t="s">
        <v>104</v>
      </c>
      <c r="F3015" s="749">
        <v>2</v>
      </c>
      <c r="G3015" s="749" t="s">
        <v>60</v>
      </c>
      <c r="H3015" s="825"/>
      <c r="I3015" s="858">
        <f>144.17+143.76+143.72</f>
        <v>431.65</v>
      </c>
      <c r="J3015" s="804"/>
      <c r="K3015" s="761" t="s">
        <v>2512</v>
      </c>
      <c r="L3015" s="761">
        <v>45498</v>
      </c>
      <c r="M3015" s="919"/>
      <c r="N3015" s="919"/>
      <c r="O3015" s="761" t="s">
        <v>62</v>
      </c>
      <c r="P3015" s="3" t="s">
        <v>105</v>
      </c>
      <c r="Q3015" s="3"/>
      <c r="R3015" s="3"/>
      <c r="S3015" s="3"/>
      <c r="T3015" s="3"/>
      <c r="U3015" s="786"/>
      <c r="V3015" s="761"/>
      <c r="W3015" s="761"/>
      <c r="X3015" s="761"/>
      <c r="Y3015" s="761"/>
      <c r="Z3015" s="761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</row>
    <row r="3016" spans="1:39">
      <c r="B3016" s="895" t="s">
        <v>100</v>
      </c>
      <c r="C3016" s="3" t="s">
        <v>54</v>
      </c>
      <c r="D3016" s="12" t="s">
        <v>6196</v>
      </c>
      <c r="E3016" s="12" t="s">
        <v>106</v>
      </c>
      <c r="F3016" s="749">
        <v>3</v>
      </c>
      <c r="G3016" s="749" t="s">
        <v>60</v>
      </c>
      <c r="H3016" s="825"/>
      <c r="I3016" s="858">
        <f>144.21+136.63+152.49</f>
        <v>433.33000000000004</v>
      </c>
      <c r="J3016" s="804"/>
      <c r="K3016" s="761" t="s">
        <v>2512</v>
      </c>
      <c r="L3016" s="761">
        <v>45498</v>
      </c>
      <c r="M3016" s="919"/>
      <c r="N3016" s="919"/>
      <c r="O3016" s="761" t="s">
        <v>62</v>
      </c>
      <c r="P3016" s="3" t="s">
        <v>107</v>
      </c>
      <c r="Q3016" s="3"/>
      <c r="R3016" s="3"/>
      <c r="S3016" s="3"/>
      <c r="T3016" s="3"/>
      <c r="U3016" s="786"/>
      <c r="V3016" s="761"/>
      <c r="W3016" s="761"/>
      <c r="X3016" s="761"/>
      <c r="Y3016" s="761"/>
      <c r="Z3016" s="761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</row>
    <row r="3017" spans="1:39">
      <c r="B3017" s="895" t="s">
        <v>100</v>
      </c>
      <c r="C3017" s="3" t="s">
        <v>54</v>
      </c>
      <c r="D3017" s="12" t="s">
        <v>6197</v>
      </c>
      <c r="E3017" s="12" t="s">
        <v>108</v>
      </c>
      <c r="F3017" s="749">
        <v>4</v>
      </c>
      <c r="G3017" s="749" t="s">
        <v>60</v>
      </c>
      <c r="H3017" s="825"/>
      <c r="I3017" s="786">
        <v>423.6</v>
      </c>
      <c r="J3017" s="804"/>
      <c r="K3017" s="761" t="s">
        <v>2512</v>
      </c>
      <c r="L3017" s="761">
        <v>45499</v>
      </c>
      <c r="M3017" s="919"/>
      <c r="N3017" s="919"/>
      <c r="O3017" s="761" t="s">
        <v>62</v>
      </c>
      <c r="P3017" s="3" t="s">
        <v>109</v>
      </c>
      <c r="Q3017" s="3"/>
      <c r="R3017" s="3"/>
      <c r="S3017" s="3"/>
      <c r="T3017" s="3"/>
      <c r="U3017" s="786"/>
      <c r="V3017" s="761"/>
      <c r="W3017" s="761"/>
      <c r="X3017" s="761"/>
      <c r="Y3017" s="761"/>
      <c r="Z3017" s="761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</row>
    <row r="3018" spans="1:39" s="707" customFormat="1">
      <c r="B3018" s="797" t="s">
        <v>13</v>
      </c>
      <c r="C3018" s="807" t="s">
        <v>3453</v>
      </c>
      <c r="D3018" s="875"/>
      <c r="E3018" s="875"/>
      <c r="F3018" s="808"/>
      <c r="G3018" s="808"/>
      <c r="H3018" s="807"/>
      <c r="I3018" s="820"/>
      <c r="J3018" s="809"/>
      <c r="K3018" s="819"/>
      <c r="L3018" s="819"/>
      <c r="M3018" s="819"/>
      <c r="N3018" s="819"/>
      <c r="O3018" s="819"/>
      <c r="P3018" s="884"/>
      <c r="Q3018" s="807"/>
      <c r="R3018" s="807"/>
      <c r="S3018" s="807"/>
      <c r="T3018" s="820"/>
      <c r="U3018" s="820"/>
      <c r="V3018" s="710"/>
      <c r="W3018" s="819"/>
      <c r="X3018" s="819"/>
      <c r="Y3018" s="819"/>
      <c r="Z3018" s="819"/>
      <c r="AA3018" s="710"/>
      <c r="AB3018" s="710"/>
      <c r="AC3018" s="710"/>
      <c r="AD3018" s="710"/>
      <c r="AE3018" s="710"/>
      <c r="AF3018" s="710"/>
      <c r="AG3018" s="710"/>
      <c r="AH3018" s="710"/>
      <c r="AI3018" s="710"/>
      <c r="AJ3018" s="710"/>
      <c r="AK3018" s="710"/>
      <c r="AL3018" s="710"/>
      <c r="AM3018" s="710"/>
    </row>
    <row r="3019" spans="1:39">
      <c r="B3019" s="895" t="s">
        <v>541</v>
      </c>
      <c r="C3019" s="3" t="s">
        <v>54</v>
      </c>
      <c r="D3019" s="12" t="s">
        <v>110</v>
      </c>
      <c r="E3019" s="12" t="s">
        <v>111</v>
      </c>
      <c r="F3019" s="749">
        <v>1</v>
      </c>
      <c r="G3019" s="749" t="s">
        <v>60</v>
      </c>
      <c r="H3019" s="825"/>
      <c r="I3019" s="865">
        <f>137.4+139.7+151.6</f>
        <v>428.70000000000005</v>
      </c>
      <c r="J3019" s="804"/>
      <c r="K3019" s="761" t="s">
        <v>2556</v>
      </c>
      <c r="L3019" s="761">
        <v>45565</v>
      </c>
      <c r="M3019" s="919"/>
      <c r="N3019" s="919"/>
      <c r="O3019" s="761" t="s">
        <v>62</v>
      </c>
      <c r="P3019" s="3" t="s">
        <v>112</v>
      </c>
      <c r="Q3019" s="3"/>
      <c r="R3019" s="3"/>
      <c r="S3019" s="3"/>
      <c r="T3019" s="3"/>
      <c r="U3019" s="786"/>
      <c r="V3019" s="761"/>
      <c r="W3019" s="761"/>
      <c r="X3019" s="761"/>
      <c r="Y3019" s="761"/>
      <c r="Z3019" s="761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</row>
    <row r="3020" spans="1:39">
      <c r="B3020" s="895" t="s">
        <v>541</v>
      </c>
      <c r="C3020" s="3" t="s">
        <v>54</v>
      </c>
      <c r="D3020" s="12" t="s">
        <v>113</v>
      </c>
      <c r="E3020" s="12" t="s">
        <v>114</v>
      </c>
      <c r="F3020" s="749">
        <v>2</v>
      </c>
      <c r="G3020" s="749" t="s">
        <v>60</v>
      </c>
      <c r="H3020" s="825"/>
      <c r="I3020" s="858">
        <v>426.8</v>
      </c>
      <c r="J3020" s="804"/>
      <c r="K3020" s="761" t="s">
        <v>2556</v>
      </c>
      <c r="L3020" s="761">
        <v>45565</v>
      </c>
      <c r="M3020" s="919"/>
      <c r="N3020" s="919"/>
      <c r="O3020" s="761" t="s">
        <v>62</v>
      </c>
      <c r="P3020" s="3" t="s">
        <v>115</v>
      </c>
      <c r="Q3020" s="3"/>
      <c r="R3020" s="3"/>
      <c r="S3020" s="3"/>
      <c r="T3020" s="3"/>
      <c r="U3020" s="786"/>
      <c r="V3020" s="761"/>
      <c r="W3020" s="761"/>
      <c r="X3020" s="761"/>
      <c r="Y3020" s="761"/>
      <c r="Z3020" s="761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</row>
    <row r="3021" spans="1:39">
      <c r="B3021" s="895" t="s">
        <v>541</v>
      </c>
      <c r="C3021" s="3" t="s">
        <v>54</v>
      </c>
      <c r="D3021" s="12" t="s">
        <v>116</v>
      </c>
      <c r="E3021" s="12" t="s">
        <v>117</v>
      </c>
      <c r="F3021" s="749">
        <v>3</v>
      </c>
      <c r="G3021" s="749" t="s">
        <v>60</v>
      </c>
      <c r="H3021" s="825"/>
      <c r="I3021" s="858">
        <v>434.8</v>
      </c>
      <c r="J3021" s="804"/>
      <c r="K3021" s="761" t="s">
        <v>2556</v>
      </c>
      <c r="L3021" s="761">
        <v>45565</v>
      </c>
      <c r="M3021" s="919"/>
      <c r="N3021" s="919"/>
      <c r="O3021" s="761" t="s">
        <v>62</v>
      </c>
      <c r="P3021" s="3" t="s">
        <v>118</v>
      </c>
      <c r="Q3021" s="3"/>
      <c r="R3021" s="3"/>
      <c r="S3021" s="3"/>
      <c r="T3021" s="3"/>
      <c r="U3021" s="786"/>
      <c r="V3021" s="761"/>
      <c r="W3021" s="761"/>
      <c r="X3021" s="761"/>
      <c r="Y3021" s="761"/>
      <c r="Z3021" s="761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</row>
    <row r="3022" spans="1:39">
      <c r="B3022" s="895" t="s">
        <v>541</v>
      </c>
      <c r="C3022" s="3" t="s">
        <v>54</v>
      </c>
      <c r="D3022" s="12" t="s">
        <v>119</v>
      </c>
      <c r="E3022" s="12" t="s">
        <v>120</v>
      </c>
      <c r="F3022" s="749">
        <v>4</v>
      </c>
      <c r="G3022" s="749"/>
      <c r="H3022" s="825"/>
      <c r="I3022" s="786"/>
      <c r="J3022" s="804"/>
      <c r="K3022" s="761"/>
      <c r="L3022" s="761"/>
      <c r="M3022" s="919"/>
      <c r="N3022" s="919"/>
      <c r="O3022" s="761"/>
      <c r="P3022" s="3"/>
      <c r="Q3022" s="3"/>
      <c r="R3022" s="3"/>
      <c r="S3022" s="3"/>
      <c r="T3022" s="3"/>
      <c r="U3022" s="786"/>
      <c r="V3022" s="761"/>
      <c r="W3022" s="761"/>
      <c r="X3022" s="761"/>
      <c r="Y3022" s="761"/>
      <c r="Z3022" s="761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4"/>
    </row>
    <row r="3023" spans="1:39" s="707" customFormat="1">
      <c r="A3023"/>
      <c r="B3023" s="797"/>
      <c r="C3023" s="807" t="s">
        <v>1765</v>
      </c>
      <c r="D3023" s="875"/>
      <c r="E3023" s="875"/>
      <c r="F3023" s="808"/>
      <c r="G3023" s="808"/>
      <c r="H3023" s="807"/>
      <c r="I3023" s="820"/>
      <c r="J3023" s="809"/>
      <c r="K3023" s="807"/>
      <c r="L3023" s="819"/>
      <c r="M3023" s="819"/>
      <c r="N3023" s="819"/>
      <c r="O3023" s="819"/>
      <c r="P3023" s="820"/>
      <c r="Q3023" s="807"/>
      <c r="R3023" s="807"/>
      <c r="S3023" s="807"/>
      <c r="T3023" s="807"/>
      <c r="U3023" s="820"/>
      <c r="V3023" s="710"/>
      <c r="W3023" s="819"/>
      <c r="X3023" s="819"/>
      <c r="Y3023" s="819"/>
      <c r="Z3023" s="819"/>
      <c r="AA3023" s="710"/>
      <c r="AB3023" s="710"/>
      <c r="AC3023" s="710"/>
      <c r="AD3023" s="710"/>
      <c r="AE3023" s="710"/>
      <c r="AF3023" s="710"/>
      <c r="AG3023" s="710"/>
      <c r="AH3023" s="710"/>
      <c r="AI3023" s="710"/>
      <c r="AJ3023" s="710"/>
      <c r="AK3023" s="710"/>
      <c r="AL3023" s="710"/>
      <c r="AM3023" s="710"/>
    </row>
    <row r="3024" spans="1:39">
      <c r="B3024" s="895" t="s">
        <v>541</v>
      </c>
      <c r="C3024" s="3" t="s">
        <v>6198</v>
      </c>
      <c r="D3024" s="3">
        <v>200096971</v>
      </c>
      <c r="E3024" s="11">
        <v>20792</v>
      </c>
      <c r="F3024" s="749" t="s">
        <v>6199</v>
      </c>
      <c r="G3024" s="3" t="s">
        <v>128</v>
      </c>
      <c r="H3024" s="3" t="s">
        <v>60</v>
      </c>
      <c r="I3024" s="786">
        <v>101.52</v>
      </c>
      <c r="J3024" s="786">
        <v>103.4</v>
      </c>
      <c r="K3024" s="761" t="s">
        <v>2661</v>
      </c>
      <c r="L3024" s="761">
        <v>44816</v>
      </c>
      <c r="M3024" s="761" t="s">
        <v>2661</v>
      </c>
      <c r="N3024" s="761">
        <v>44816</v>
      </c>
      <c r="O3024" s="761" t="s">
        <v>62</v>
      </c>
      <c r="P3024" s="762">
        <v>4.2300000000000004</v>
      </c>
      <c r="Q3024" s="3">
        <v>3.52</v>
      </c>
      <c r="R3024" s="3" t="s">
        <v>1757</v>
      </c>
      <c r="S3024" s="3" t="s">
        <v>1757</v>
      </c>
      <c r="T3024" s="786">
        <v>106.44</v>
      </c>
      <c r="U3024" s="786">
        <v>107.98</v>
      </c>
      <c r="V3024" s="4" t="s">
        <v>2661</v>
      </c>
      <c r="W3024" s="761">
        <v>44817</v>
      </c>
      <c r="X3024" s="4" t="s">
        <v>2661</v>
      </c>
      <c r="Y3024" s="761">
        <v>44817</v>
      </c>
      <c r="Z3024" s="761" t="s">
        <v>62</v>
      </c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</row>
    <row r="3025" spans="1:39" s="707" customFormat="1">
      <c r="A3025"/>
      <c r="B3025" s="805"/>
      <c r="C3025" s="875" t="s">
        <v>1765</v>
      </c>
      <c r="D3025" s="875"/>
      <c r="E3025" s="875"/>
      <c r="F3025" s="808"/>
      <c r="G3025" s="807" t="s">
        <v>5505</v>
      </c>
      <c r="H3025" s="807" t="s">
        <v>6200</v>
      </c>
      <c r="I3025" s="807" t="s">
        <v>5505</v>
      </c>
      <c r="J3025" s="807" t="s">
        <v>6200</v>
      </c>
      <c r="K3025" s="807"/>
      <c r="L3025" s="819"/>
      <c r="M3025" s="819"/>
      <c r="N3025" s="819"/>
      <c r="O3025" s="819"/>
      <c r="P3025" s="820"/>
      <c r="Q3025" s="807"/>
      <c r="R3025" s="807"/>
      <c r="S3025" s="807"/>
      <c r="T3025" s="807"/>
      <c r="U3025" s="807"/>
      <c r="V3025" s="710"/>
      <c r="W3025" s="819"/>
      <c r="X3025" s="819"/>
      <c r="Y3025" s="819"/>
      <c r="Z3025" s="819"/>
      <c r="AA3025" s="710"/>
      <c r="AB3025" s="710"/>
      <c r="AC3025" s="710"/>
      <c r="AD3025" s="710"/>
      <c r="AE3025" s="710"/>
      <c r="AF3025" s="710"/>
      <c r="AG3025" s="710"/>
      <c r="AH3025" s="710"/>
      <c r="AI3025" s="710"/>
      <c r="AJ3025" s="710"/>
      <c r="AK3025" s="710"/>
      <c r="AL3025" s="710"/>
      <c r="AM3025" s="710"/>
    </row>
    <row r="3026" spans="1:39">
      <c r="B3026" s="747">
        <v>11</v>
      </c>
      <c r="C3026" s="3" t="s">
        <v>6201</v>
      </c>
      <c r="D3026" s="12" t="s">
        <v>6202</v>
      </c>
      <c r="E3026" s="12" t="s">
        <v>6203</v>
      </c>
      <c r="F3026" s="749">
        <v>1</v>
      </c>
      <c r="G3026" s="3" t="s">
        <v>1041</v>
      </c>
      <c r="H3026" s="3" t="s">
        <v>128</v>
      </c>
      <c r="I3026" s="786">
        <v>84.1</v>
      </c>
      <c r="J3026" s="859">
        <v>81.05</v>
      </c>
      <c r="K3026" s="783" t="s">
        <v>2094</v>
      </c>
      <c r="L3026" s="761">
        <v>44952</v>
      </c>
      <c r="M3026" s="783" t="s">
        <v>2094</v>
      </c>
      <c r="N3026" s="761">
        <v>44952</v>
      </c>
      <c r="O3026" s="761" t="s">
        <v>62</v>
      </c>
      <c r="P3026" s="882">
        <v>3.14</v>
      </c>
      <c r="Q3026" s="762">
        <v>4.29</v>
      </c>
      <c r="R3026" s="3" t="s">
        <v>1757</v>
      </c>
      <c r="S3026" s="3" t="s">
        <v>1757</v>
      </c>
      <c r="T3026" s="859">
        <v>87.46</v>
      </c>
      <c r="U3026" s="859">
        <v>85.03</v>
      </c>
      <c r="V3026" s="4" t="s">
        <v>2094</v>
      </c>
      <c r="W3026" s="761">
        <v>44953</v>
      </c>
      <c r="X3026" s="761" t="s">
        <v>2094</v>
      </c>
      <c r="Y3026" s="761">
        <v>44956</v>
      </c>
      <c r="Z3026" s="761" t="s">
        <v>62</v>
      </c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</row>
    <row r="3027" spans="1:39">
      <c r="B3027" s="747">
        <v>11</v>
      </c>
      <c r="C3027" s="3" t="s">
        <v>6201</v>
      </c>
      <c r="D3027" s="12" t="s">
        <v>6204</v>
      </c>
      <c r="E3027" s="12" t="s">
        <v>6205</v>
      </c>
      <c r="F3027" s="749">
        <v>2</v>
      </c>
      <c r="G3027" s="3" t="s">
        <v>1041</v>
      </c>
      <c r="H3027" s="3" t="s">
        <v>128</v>
      </c>
      <c r="I3027" s="786">
        <v>79.150000000000006</v>
      </c>
      <c r="J3027" s="859">
        <v>76.84</v>
      </c>
      <c r="K3027" s="783" t="s">
        <v>2094</v>
      </c>
      <c r="L3027" s="761">
        <v>44952</v>
      </c>
      <c r="M3027" s="783" t="s">
        <v>2094</v>
      </c>
      <c r="N3027" s="761">
        <v>44952</v>
      </c>
      <c r="O3027" s="761" t="s">
        <v>62</v>
      </c>
      <c r="P3027" s="786">
        <v>3.09</v>
      </c>
      <c r="Q3027" s="762">
        <v>4.1399999999999997</v>
      </c>
      <c r="R3027" s="3" t="s">
        <v>1757</v>
      </c>
      <c r="S3027" s="3" t="s">
        <v>1757</v>
      </c>
      <c r="T3027" s="859">
        <v>82.82</v>
      </c>
      <c r="U3027" s="859">
        <v>81.93</v>
      </c>
      <c r="V3027" s="4" t="s">
        <v>2094</v>
      </c>
      <c r="W3027" s="761">
        <v>44953</v>
      </c>
      <c r="X3027" s="761" t="s">
        <v>2094</v>
      </c>
      <c r="Y3027" s="761">
        <v>44956</v>
      </c>
      <c r="Z3027" s="761" t="s">
        <v>62</v>
      </c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</row>
    <row r="3028" spans="1:39">
      <c r="B3028" s="747"/>
      <c r="C3028" s="3" t="s">
        <v>6201</v>
      </c>
      <c r="D3028" s="12" t="s">
        <v>6206</v>
      </c>
      <c r="E3028" s="12" t="s">
        <v>6207</v>
      </c>
      <c r="F3028" s="749"/>
      <c r="G3028" s="3"/>
      <c r="H3028" s="3"/>
      <c r="I3028" s="786"/>
      <c r="J3028" s="859"/>
      <c r="K3028" s="783"/>
      <c r="L3028" s="761"/>
      <c r="M3028" s="783"/>
      <c r="N3028" s="761"/>
      <c r="O3028" s="761"/>
      <c r="P3028" s="786"/>
      <c r="Q3028" s="762"/>
      <c r="R3028" s="3" t="s">
        <v>1757</v>
      </c>
      <c r="S3028" s="3" t="s">
        <v>1757</v>
      </c>
      <c r="T3028" s="859">
        <v>149.6</v>
      </c>
      <c r="U3028" s="859">
        <v>147.87</v>
      </c>
      <c r="V3028" s="4" t="s">
        <v>2094</v>
      </c>
      <c r="W3028" s="761">
        <v>44953</v>
      </c>
      <c r="X3028" s="761" t="s">
        <v>2094</v>
      </c>
      <c r="Y3028" s="761">
        <v>44956</v>
      </c>
      <c r="Z3028" s="761" t="s">
        <v>62</v>
      </c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</row>
    <row r="3029" spans="1:39">
      <c r="B3029" s="895">
        <v>11</v>
      </c>
      <c r="C3029" s="3" t="s">
        <v>6201</v>
      </c>
      <c r="D3029" s="3">
        <v>200099896</v>
      </c>
      <c r="E3029" s="11">
        <v>110922</v>
      </c>
      <c r="F3029" s="749">
        <v>1</v>
      </c>
      <c r="G3029" s="3" t="s">
        <v>60</v>
      </c>
      <c r="H3029" s="3" t="s">
        <v>60</v>
      </c>
      <c r="I3029" s="786">
        <v>79.38</v>
      </c>
      <c r="J3029" s="786">
        <v>76.75</v>
      </c>
      <c r="K3029" s="761" t="s">
        <v>2327</v>
      </c>
      <c r="L3029" s="761">
        <v>45050</v>
      </c>
      <c r="M3029" s="761" t="s">
        <v>2327</v>
      </c>
      <c r="N3029" s="761">
        <v>45050</v>
      </c>
      <c r="O3029" s="761" t="s">
        <v>62</v>
      </c>
      <c r="P3029" s="882">
        <v>3.4</v>
      </c>
      <c r="Q3029" s="882">
        <v>3.4</v>
      </c>
      <c r="R3029" s="3" t="s">
        <v>905</v>
      </c>
      <c r="S3029" s="3" t="s">
        <v>1757</v>
      </c>
      <c r="T3029" s="786">
        <v>82.95</v>
      </c>
      <c r="U3029" s="786">
        <v>81.93</v>
      </c>
      <c r="V3029" s="4" t="s">
        <v>2327</v>
      </c>
      <c r="W3029" s="761">
        <v>45050</v>
      </c>
      <c r="X3029" s="4" t="s">
        <v>2327</v>
      </c>
      <c r="Y3029" s="761">
        <v>45050</v>
      </c>
      <c r="Z3029" s="761" t="s">
        <v>62</v>
      </c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</row>
    <row r="3030" spans="1:39" s="707" customFormat="1">
      <c r="A3030"/>
      <c r="B3030" s="805"/>
      <c r="C3030" s="875" t="s">
        <v>6208</v>
      </c>
      <c r="D3030" s="875"/>
      <c r="E3030" s="875"/>
      <c r="F3030" s="808"/>
      <c r="G3030" s="807" t="s">
        <v>5505</v>
      </c>
      <c r="H3030" s="807" t="s">
        <v>6200</v>
      </c>
      <c r="I3030" s="807" t="s">
        <v>5505</v>
      </c>
      <c r="J3030" s="807" t="s">
        <v>6200</v>
      </c>
      <c r="K3030" s="807"/>
      <c r="L3030" s="819"/>
      <c r="M3030" s="819"/>
      <c r="N3030" s="819"/>
      <c r="O3030" s="819"/>
      <c r="P3030" s="820"/>
      <c r="Q3030" s="807"/>
      <c r="R3030" s="807"/>
      <c r="S3030" s="807"/>
      <c r="T3030" s="807"/>
      <c r="U3030" s="807"/>
      <c r="V3030" s="710"/>
      <c r="W3030" s="819"/>
      <c r="X3030" s="819"/>
      <c r="Y3030" s="819"/>
      <c r="Z3030" s="819"/>
      <c r="AA3030" s="710"/>
      <c r="AB3030" s="710"/>
      <c r="AC3030" s="710"/>
      <c r="AD3030" s="710"/>
      <c r="AE3030" s="710"/>
      <c r="AF3030" s="710"/>
      <c r="AG3030" s="710"/>
      <c r="AH3030" s="710"/>
      <c r="AI3030" s="710"/>
      <c r="AJ3030" s="710"/>
      <c r="AK3030" s="710"/>
      <c r="AL3030" s="710"/>
      <c r="AM3030" s="710"/>
    </row>
    <row r="3031" spans="1:39">
      <c r="B3031" s="895">
        <v>12</v>
      </c>
      <c r="C3031" s="3" t="s">
        <v>6201</v>
      </c>
      <c r="D3031" s="3">
        <v>200100190</v>
      </c>
      <c r="E3031" s="11">
        <v>120622</v>
      </c>
      <c r="F3031" s="749">
        <v>1</v>
      </c>
      <c r="G3031" s="3" t="s">
        <v>128</v>
      </c>
      <c r="H3031" s="3" t="s">
        <v>60</v>
      </c>
      <c r="I3031" s="786">
        <v>116.53</v>
      </c>
      <c r="J3031" s="786">
        <v>114.25</v>
      </c>
      <c r="K3031" s="761" t="s">
        <v>2512</v>
      </c>
      <c r="L3031" s="761">
        <v>45113</v>
      </c>
      <c r="M3031" s="761" t="s">
        <v>2512</v>
      </c>
      <c r="N3031" s="761">
        <v>45113</v>
      </c>
      <c r="O3031" s="761" t="s">
        <v>62</v>
      </c>
      <c r="P3031" s="882">
        <v>4.47</v>
      </c>
      <c r="Q3031" s="882">
        <v>3.52</v>
      </c>
      <c r="R3031" s="3" t="s">
        <v>905</v>
      </c>
      <c r="S3031" s="3" t="s">
        <v>1757</v>
      </c>
      <c r="T3031" s="786">
        <v>121.39</v>
      </c>
      <c r="U3031" s="786">
        <v>119.65</v>
      </c>
      <c r="V3031" s="4" t="s">
        <v>2512</v>
      </c>
      <c r="W3031" s="761">
        <v>45113</v>
      </c>
      <c r="X3031" s="4" t="s">
        <v>2512</v>
      </c>
      <c r="Y3031" s="761">
        <v>45113</v>
      </c>
      <c r="Z3031" s="761" t="s">
        <v>62</v>
      </c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</row>
    <row r="3032" spans="1:39">
      <c r="B3032" s="895">
        <v>12</v>
      </c>
      <c r="C3032" s="3" t="s">
        <v>6201</v>
      </c>
      <c r="D3032" s="3">
        <v>200100192</v>
      </c>
      <c r="E3032" s="11">
        <v>120642</v>
      </c>
      <c r="F3032" s="749">
        <v>2</v>
      </c>
      <c r="G3032" s="3" t="s">
        <v>128</v>
      </c>
      <c r="H3032" s="3" t="s">
        <v>60</v>
      </c>
      <c r="I3032" s="786">
        <v>260.33</v>
      </c>
      <c r="J3032" s="786">
        <v>253.9</v>
      </c>
      <c r="K3032" s="761" t="s">
        <v>2512</v>
      </c>
      <c r="L3032" s="761">
        <v>45113</v>
      </c>
      <c r="M3032" s="761" t="s">
        <v>2512</v>
      </c>
      <c r="N3032" s="761">
        <v>45113</v>
      </c>
      <c r="O3032" s="761" t="s">
        <v>62</v>
      </c>
      <c r="P3032" s="3" t="s">
        <v>6209</v>
      </c>
      <c r="Q3032" s="3" t="s">
        <v>6210</v>
      </c>
      <c r="R3032" s="3" t="s">
        <v>130</v>
      </c>
      <c r="S3032" s="3" t="s">
        <v>130</v>
      </c>
      <c r="T3032" s="786">
        <v>271.7</v>
      </c>
      <c r="U3032" s="786">
        <v>266</v>
      </c>
      <c r="V3032" s="4" t="s">
        <v>2512</v>
      </c>
      <c r="W3032" s="761">
        <v>45113</v>
      </c>
      <c r="X3032" s="4" t="s">
        <v>2512</v>
      </c>
      <c r="Y3032" s="761">
        <v>45113</v>
      </c>
      <c r="Z3032" s="761" t="s">
        <v>62</v>
      </c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</row>
    <row r="3033" spans="1:39">
      <c r="B3033" s="895">
        <v>2</v>
      </c>
      <c r="C3033" s="3" t="s">
        <v>6201</v>
      </c>
      <c r="D3033" s="3">
        <v>200100829</v>
      </c>
      <c r="E3033" s="11">
        <v>20313</v>
      </c>
      <c r="F3033" s="749">
        <v>3</v>
      </c>
      <c r="G3033" s="3" t="s">
        <v>128</v>
      </c>
      <c r="H3033" s="3" t="s">
        <v>60</v>
      </c>
      <c r="I3033" s="786">
        <v>197.18</v>
      </c>
      <c r="J3033" s="786">
        <v>190.61</v>
      </c>
      <c r="K3033" s="761" t="s">
        <v>2512</v>
      </c>
      <c r="L3033" s="761">
        <v>45113</v>
      </c>
      <c r="M3033" s="761" t="s">
        <v>2512</v>
      </c>
      <c r="N3033" s="761">
        <v>45113</v>
      </c>
      <c r="O3033" s="761" t="s">
        <v>62</v>
      </c>
      <c r="P3033" s="3" t="s">
        <v>6211</v>
      </c>
      <c r="Q3033" s="3" t="s">
        <v>6212</v>
      </c>
      <c r="R3033" s="3" t="s">
        <v>130</v>
      </c>
      <c r="S3033" s="3" t="s">
        <v>130</v>
      </c>
      <c r="T3033" s="762">
        <v>205.7</v>
      </c>
      <c r="U3033" s="762">
        <v>199.7</v>
      </c>
      <c r="V3033" s="4" t="s">
        <v>2512</v>
      </c>
      <c r="W3033" s="761">
        <v>45113</v>
      </c>
      <c r="X3033" s="4" t="s">
        <v>2512</v>
      </c>
      <c r="Y3033" s="761">
        <v>45113</v>
      </c>
      <c r="Z3033" s="761" t="s">
        <v>62</v>
      </c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</row>
    <row r="3034" spans="1:39" s="707" customFormat="1">
      <c r="A3034"/>
      <c r="B3034" s="805"/>
      <c r="C3034" s="875" t="s">
        <v>6208</v>
      </c>
      <c r="D3034" s="875"/>
      <c r="E3034" s="875"/>
      <c r="F3034" s="808"/>
      <c r="G3034" s="807" t="s">
        <v>5505</v>
      </c>
      <c r="H3034" s="807" t="s">
        <v>6200</v>
      </c>
      <c r="I3034" s="807" t="s">
        <v>5505</v>
      </c>
      <c r="J3034" s="807" t="s">
        <v>6200</v>
      </c>
      <c r="K3034" s="807"/>
      <c r="L3034" s="819"/>
      <c r="M3034" s="819"/>
      <c r="N3034" s="819"/>
      <c r="O3034" s="819"/>
      <c r="P3034" s="820"/>
      <c r="Q3034" s="807"/>
      <c r="R3034" s="807"/>
      <c r="S3034" s="807"/>
      <c r="T3034" s="807"/>
      <c r="U3034" s="807"/>
      <c r="V3034" s="710"/>
      <c r="W3034" s="819"/>
      <c r="X3034" s="819"/>
      <c r="Y3034" s="819"/>
      <c r="Z3034" s="819"/>
      <c r="AA3034" s="710"/>
      <c r="AB3034" s="710"/>
      <c r="AC3034" s="710"/>
      <c r="AD3034" s="710"/>
      <c r="AE3034" s="710"/>
      <c r="AF3034" s="710"/>
      <c r="AG3034" s="710"/>
      <c r="AH3034" s="710"/>
      <c r="AI3034" s="710"/>
      <c r="AJ3034" s="710"/>
      <c r="AK3034" s="710"/>
      <c r="AL3034" s="710"/>
      <c r="AM3034" s="710"/>
    </row>
    <row r="3035" spans="1:39">
      <c r="B3035" s="895">
        <v>5</v>
      </c>
      <c r="C3035" s="3" t="s">
        <v>6201</v>
      </c>
      <c r="D3035" s="3">
        <v>200101932</v>
      </c>
      <c r="E3035" s="11">
        <v>51623</v>
      </c>
      <c r="F3035" s="749">
        <v>1</v>
      </c>
      <c r="G3035" s="3" t="s">
        <v>128</v>
      </c>
      <c r="H3035" s="3" t="s">
        <v>60</v>
      </c>
      <c r="I3035" s="1033">
        <v>219.74</v>
      </c>
      <c r="J3035" s="1033">
        <v>213.82</v>
      </c>
      <c r="K3035" s="761" t="s">
        <v>2661</v>
      </c>
      <c r="L3035" s="761">
        <v>45184</v>
      </c>
      <c r="M3035" s="761" t="s">
        <v>2661</v>
      </c>
      <c r="N3035" s="761">
        <v>45184</v>
      </c>
      <c r="O3035" s="761" t="s">
        <v>62</v>
      </c>
      <c r="P3035" s="3" t="s">
        <v>6213</v>
      </c>
      <c r="Q3035" s="3" t="s">
        <v>6214</v>
      </c>
      <c r="R3035" s="3" t="s">
        <v>130</v>
      </c>
      <c r="S3035" s="3" t="s">
        <v>130</v>
      </c>
      <c r="T3035" s="786">
        <v>229.4</v>
      </c>
      <c r="U3035" s="1033">
        <v>224</v>
      </c>
      <c r="V3035" s="4" t="s">
        <v>2661</v>
      </c>
      <c r="W3035" s="761">
        <v>45184</v>
      </c>
      <c r="X3035" s="4" t="s">
        <v>2661</v>
      </c>
      <c r="Y3035" s="761">
        <v>45184</v>
      </c>
      <c r="Z3035" s="761" t="s">
        <v>62</v>
      </c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</row>
    <row r="3036" spans="1:39" s="707" customFormat="1">
      <c r="A3036"/>
      <c r="B3036" s="805"/>
      <c r="C3036" s="875" t="s">
        <v>6208</v>
      </c>
      <c r="D3036" s="875"/>
      <c r="E3036" s="875"/>
      <c r="F3036" s="808"/>
      <c r="G3036" s="807" t="s">
        <v>5505</v>
      </c>
      <c r="H3036" s="807" t="s">
        <v>6200</v>
      </c>
      <c r="I3036" s="807" t="s">
        <v>5505</v>
      </c>
      <c r="J3036" s="807" t="s">
        <v>6200</v>
      </c>
      <c r="K3036" s="807"/>
      <c r="L3036" s="819"/>
      <c r="M3036" s="819"/>
      <c r="N3036" s="819"/>
      <c r="O3036" s="819"/>
      <c r="P3036" s="820"/>
      <c r="Q3036" s="807"/>
      <c r="R3036" s="807"/>
      <c r="S3036" s="807"/>
      <c r="T3036" s="807"/>
      <c r="U3036" s="807"/>
      <c r="V3036" s="710"/>
      <c r="W3036" s="819"/>
      <c r="X3036" s="819"/>
      <c r="Y3036" s="819"/>
      <c r="Z3036" s="819"/>
      <c r="AA3036" s="710"/>
      <c r="AB3036" s="710"/>
      <c r="AC3036" s="710"/>
      <c r="AD3036" s="710"/>
      <c r="AE3036" s="710"/>
      <c r="AF3036" s="710"/>
      <c r="AG3036" s="710"/>
      <c r="AH3036" s="710"/>
      <c r="AI3036" s="710"/>
      <c r="AJ3036" s="710"/>
      <c r="AK3036" s="710"/>
      <c r="AL3036" s="710"/>
      <c r="AM3036" s="710"/>
    </row>
    <row r="3037" spans="1:39">
      <c r="B3037" s="895">
        <v>7</v>
      </c>
      <c r="C3037" s="3" t="s">
        <v>6201</v>
      </c>
      <c r="D3037" s="3">
        <v>200102324</v>
      </c>
      <c r="E3037" s="11">
        <v>70583</v>
      </c>
      <c r="F3037" s="749">
        <v>1</v>
      </c>
      <c r="G3037" s="3" t="s">
        <v>60</v>
      </c>
      <c r="H3037" s="3" t="s">
        <v>128</v>
      </c>
      <c r="I3037" s="786">
        <v>171.87</v>
      </c>
      <c r="J3037" s="786">
        <v>167.59</v>
      </c>
      <c r="K3037" s="761" t="s">
        <v>1756</v>
      </c>
      <c r="L3037" s="761">
        <v>45232</v>
      </c>
      <c r="M3037" s="761" t="s">
        <v>1756</v>
      </c>
      <c r="N3037" s="761">
        <v>45232</v>
      </c>
      <c r="O3037" s="761" t="s">
        <v>62</v>
      </c>
      <c r="P3037" s="3" t="s">
        <v>6215</v>
      </c>
      <c r="Q3037" s="3" t="s">
        <v>6216</v>
      </c>
      <c r="R3037" s="3" t="s">
        <v>130</v>
      </c>
      <c r="S3037" s="3" t="s">
        <v>130</v>
      </c>
      <c r="T3037" s="786">
        <v>179.3</v>
      </c>
      <c r="U3037" s="786">
        <v>175.3</v>
      </c>
      <c r="V3037" s="4" t="s">
        <v>1756</v>
      </c>
      <c r="W3037" s="761">
        <v>45232</v>
      </c>
      <c r="X3037" s="4" t="s">
        <v>1756</v>
      </c>
      <c r="Y3037" s="761">
        <v>45232</v>
      </c>
      <c r="Z3037" s="761" t="s">
        <v>62</v>
      </c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</row>
    <row r="3038" spans="1:39" s="707" customFormat="1">
      <c r="A3038"/>
      <c r="B3038" s="805"/>
      <c r="C3038" s="875" t="s">
        <v>6208</v>
      </c>
      <c r="D3038" s="875"/>
      <c r="E3038" s="875"/>
      <c r="F3038" s="808"/>
      <c r="G3038" s="807" t="s">
        <v>5505</v>
      </c>
      <c r="H3038" s="807" t="s">
        <v>6200</v>
      </c>
      <c r="I3038" s="807" t="s">
        <v>5505</v>
      </c>
      <c r="J3038" s="807" t="s">
        <v>6200</v>
      </c>
      <c r="K3038" s="807"/>
      <c r="L3038" s="819"/>
      <c r="M3038" s="819"/>
      <c r="N3038" s="819"/>
      <c r="O3038" s="819"/>
      <c r="P3038" s="820"/>
      <c r="Q3038" s="807"/>
      <c r="R3038" s="807"/>
      <c r="S3038" s="807"/>
      <c r="T3038" s="807"/>
      <c r="U3038" s="807"/>
      <c r="V3038" s="710"/>
      <c r="W3038" s="819"/>
      <c r="X3038" s="819"/>
      <c r="Y3038" s="819"/>
      <c r="Z3038" s="819"/>
      <c r="AA3038" s="710"/>
      <c r="AB3038" s="710"/>
      <c r="AC3038" s="710"/>
      <c r="AD3038" s="710"/>
      <c r="AE3038" s="710"/>
      <c r="AF3038" s="710"/>
      <c r="AG3038" s="710"/>
      <c r="AH3038" s="710"/>
      <c r="AI3038" s="710"/>
      <c r="AJ3038" s="710"/>
      <c r="AK3038" s="710"/>
      <c r="AL3038" s="710"/>
      <c r="AM3038" s="710"/>
    </row>
    <row r="3039" spans="1:39">
      <c r="B3039" s="895">
        <v>8</v>
      </c>
      <c r="C3039" s="3" t="s">
        <v>6201</v>
      </c>
      <c r="D3039" s="3">
        <v>200102763</v>
      </c>
      <c r="E3039" s="12" t="s">
        <v>6217</v>
      </c>
      <c r="F3039" s="749">
        <v>1</v>
      </c>
      <c r="G3039" s="3"/>
      <c r="H3039" s="3"/>
      <c r="I3039"/>
      <c r="J3039"/>
      <c r="K3039" s="761"/>
      <c r="L3039" s="761"/>
      <c r="M3039" s="761"/>
      <c r="N3039" s="761"/>
      <c r="O3039" s="761"/>
      <c r="P3039" s="3"/>
      <c r="Q3039" s="3"/>
      <c r="R3039" s="3" t="s">
        <v>905</v>
      </c>
      <c r="S3039" s="3" t="s">
        <v>905</v>
      </c>
      <c r="T3039" s="786">
        <v>170.38</v>
      </c>
      <c r="U3039" s="786">
        <v>169.13</v>
      </c>
      <c r="V3039" s="4" t="s">
        <v>2094</v>
      </c>
      <c r="W3039" s="761">
        <v>45293</v>
      </c>
      <c r="X3039" s="761" t="s">
        <v>2094</v>
      </c>
      <c r="Y3039" s="761">
        <v>45293</v>
      </c>
      <c r="Z3039" s="761" t="s">
        <v>62</v>
      </c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</row>
    <row r="3040" spans="1:39" s="707" customFormat="1">
      <c r="A3040"/>
      <c r="B3040" s="805"/>
      <c r="C3040" s="875" t="s">
        <v>6208</v>
      </c>
      <c r="D3040" s="875"/>
      <c r="E3040" s="875"/>
      <c r="F3040" s="808"/>
      <c r="G3040" s="807" t="s">
        <v>5505</v>
      </c>
      <c r="H3040" s="807" t="s">
        <v>6200</v>
      </c>
      <c r="I3040" s="807" t="s">
        <v>5505</v>
      </c>
      <c r="J3040" s="807" t="s">
        <v>6200</v>
      </c>
      <c r="K3040" s="807"/>
      <c r="L3040" s="819"/>
      <c r="M3040" s="819"/>
      <c r="N3040" s="819"/>
      <c r="O3040" s="819"/>
      <c r="P3040" s="820"/>
      <c r="Q3040" s="807"/>
      <c r="R3040" s="807"/>
      <c r="S3040" s="807"/>
      <c r="T3040" s="807"/>
      <c r="U3040" s="807"/>
      <c r="V3040" s="710"/>
      <c r="W3040" s="819"/>
      <c r="X3040" s="819"/>
      <c r="Y3040" s="819"/>
      <c r="Z3040" s="819"/>
      <c r="AA3040" s="710"/>
      <c r="AB3040" s="710"/>
      <c r="AC3040" s="710"/>
      <c r="AD3040" s="710"/>
      <c r="AE3040" s="710"/>
      <c r="AF3040" s="710"/>
      <c r="AG3040" s="710"/>
      <c r="AH3040" s="710"/>
      <c r="AI3040" s="710"/>
      <c r="AJ3040" s="710"/>
      <c r="AK3040" s="710"/>
      <c r="AL3040" s="710"/>
      <c r="AM3040" s="710"/>
    </row>
    <row r="3041" spans="1:39">
      <c r="B3041" s="895">
        <v>7</v>
      </c>
      <c r="C3041" s="3" t="s">
        <v>6201</v>
      </c>
      <c r="D3041" s="3"/>
      <c r="E3041" s="12" t="s">
        <v>6218</v>
      </c>
      <c r="F3041" s="749"/>
      <c r="G3041" s="3"/>
      <c r="H3041" s="3"/>
      <c r="I3041" s="786"/>
      <c r="J3041" s="786"/>
      <c r="K3041" s="761"/>
      <c r="L3041" s="761"/>
      <c r="M3041" s="761"/>
      <c r="N3041" s="761"/>
      <c r="O3041" s="761"/>
      <c r="P3041" s="3"/>
      <c r="Q3041" s="3"/>
      <c r="R3041" s="3" t="s">
        <v>130</v>
      </c>
      <c r="S3041" s="3" t="s">
        <v>130</v>
      </c>
      <c r="T3041" s="762">
        <v>183.1</v>
      </c>
      <c r="U3041" s="762">
        <v>182.2</v>
      </c>
      <c r="V3041" s="4" t="s">
        <v>2125</v>
      </c>
      <c r="W3041" s="761">
        <v>45341</v>
      </c>
      <c r="X3041" s="4" t="s">
        <v>2125</v>
      </c>
      <c r="Y3041" s="761">
        <v>45341</v>
      </c>
      <c r="Z3041" s="761" t="s">
        <v>62</v>
      </c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</row>
    <row r="3042" spans="1:39" s="707" customFormat="1">
      <c r="A3042"/>
      <c r="B3042" s="805"/>
      <c r="C3042" s="875" t="s">
        <v>6208</v>
      </c>
      <c r="D3042" s="875"/>
      <c r="E3042" s="875"/>
      <c r="F3042" s="808"/>
      <c r="G3042" s="807" t="s">
        <v>5505</v>
      </c>
      <c r="H3042" s="807" t="s">
        <v>6200</v>
      </c>
      <c r="I3042" s="807" t="s">
        <v>5505</v>
      </c>
      <c r="J3042" s="807" t="s">
        <v>6200</v>
      </c>
      <c r="K3042" s="807"/>
      <c r="L3042" s="819"/>
      <c r="M3042" s="819"/>
      <c r="N3042" s="819"/>
      <c r="O3042" s="819"/>
      <c r="P3042" s="820"/>
      <c r="Q3042" s="807"/>
      <c r="R3042" s="807"/>
      <c r="S3042" s="807"/>
      <c r="T3042" s="807"/>
      <c r="U3042" s="807"/>
      <c r="V3042" s="710"/>
      <c r="W3042" s="819"/>
      <c r="X3042" s="819"/>
      <c r="Y3042" s="819"/>
      <c r="Z3042" s="819"/>
      <c r="AA3042" s="710"/>
      <c r="AB3042" s="710"/>
      <c r="AC3042" s="710"/>
      <c r="AD3042" s="710"/>
      <c r="AE3042" s="710"/>
      <c r="AF3042" s="710"/>
      <c r="AG3042" s="710"/>
      <c r="AH3042" s="710"/>
      <c r="AI3042" s="710"/>
      <c r="AJ3042" s="710"/>
      <c r="AK3042" s="710"/>
      <c r="AL3042" s="710"/>
      <c r="AM3042" s="710"/>
    </row>
    <row r="3043" spans="1:39">
      <c r="B3043" s="895">
        <v>12</v>
      </c>
      <c r="C3043" s="3" t="s">
        <v>6201</v>
      </c>
      <c r="D3043" s="3">
        <v>200104354</v>
      </c>
      <c r="E3043" s="12" t="s">
        <v>6219</v>
      </c>
      <c r="F3043" s="749"/>
      <c r="G3043" s="786" t="s">
        <v>2236</v>
      </c>
      <c r="H3043" s="3" t="s">
        <v>60</v>
      </c>
      <c r="I3043" s="786">
        <f>77.8+80.66</f>
        <v>158.45999999999998</v>
      </c>
      <c r="J3043" s="786">
        <v>154.78</v>
      </c>
      <c r="K3043" s="761" t="s">
        <v>2327</v>
      </c>
      <c r="L3043" s="761">
        <v>45434</v>
      </c>
      <c r="M3043" s="761" t="s">
        <v>2327</v>
      </c>
      <c r="N3043" s="761">
        <v>45434</v>
      </c>
      <c r="O3043" s="761" t="s">
        <v>62</v>
      </c>
      <c r="P3043" s="3" t="s">
        <v>6220</v>
      </c>
      <c r="Q3043" s="3" t="s">
        <v>6221</v>
      </c>
      <c r="R3043" s="3" t="s">
        <v>905</v>
      </c>
      <c r="S3043" s="3" t="s">
        <v>905</v>
      </c>
      <c r="T3043" s="786">
        <v>165.96</v>
      </c>
      <c r="U3043" s="786">
        <v>162.21</v>
      </c>
      <c r="V3043" s="4" t="s">
        <v>2327</v>
      </c>
      <c r="W3043" s="761">
        <v>45436</v>
      </c>
      <c r="X3043" s="4" t="s">
        <v>2327</v>
      </c>
      <c r="Y3043" s="761">
        <v>45436</v>
      </c>
      <c r="Z3043" s="761" t="s">
        <v>62</v>
      </c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</row>
    <row r="3044" spans="1:39">
      <c r="B3044" s="1496" t="s">
        <v>213</v>
      </c>
      <c r="C3044" s="3" t="s">
        <v>6201</v>
      </c>
      <c r="D3044" s="3">
        <v>200105049</v>
      </c>
      <c r="E3044" s="12" t="s">
        <v>6222</v>
      </c>
      <c r="F3044" s="749"/>
      <c r="G3044" s="3" t="s">
        <v>60</v>
      </c>
      <c r="H3044" s="3" t="s">
        <v>60</v>
      </c>
      <c r="I3044" s="858">
        <v>69.099999999999994</v>
      </c>
      <c r="J3044" s="858">
        <v>67.099999999999994</v>
      </c>
      <c r="K3044" s="761" t="s">
        <v>2327</v>
      </c>
      <c r="L3044" s="761">
        <v>45443</v>
      </c>
      <c r="M3044" s="761" t="s">
        <v>2327</v>
      </c>
      <c r="N3044" s="761">
        <v>45443</v>
      </c>
      <c r="O3044" s="761" t="s">
        <v>62</v>
      </c>
      <c r="P3044" s="1044">
        <v>4.38</v>
      </c>
      <c r="Q3044" s="1044">
        <v>3.52</v>
      </c>
      <c r="R3044" s="3"/>
      <c r="S3044" s="3"/>
      <c r="T3044" s="762"/>
      <c r="U3044" s="762"/>
      <c r="V3044" s="4"/>
      <c r="W3044" s="761"/>
      <c r="X3044" s="4"/>
      <c r="Y3044" s="761"/>
      <c r="Z3044" s="761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</row>
    <row r="3045" spans="1:39" s="707" customFormat="1">
      <c r="A3045"/>
      <c r="B3045" s="805"/>
      <c r="C3045" s="875" t="s">
        <v>6208</v>
      </c>
      <c r="D3045" s="875"/>
      <c r="E3045" s="875"/>
      <c r="F3045" s="808"/>
      <c r="G3045" s="807" t="s">
        <v>5505</v>
      </c>
      <c r="H3045" s="807" t="s">
        <v>6200</v>
      </c>
      <c r="I3045" s="807" t="s">
        <v>5505</v>
      </c>
      <c r="J3045" s="807" t="s">
        <v>6200</v>
      </c>
      <c r="K3045" s="807"/>
      <c r="L3045" s="819"/>
      <c r="M3045" s="819"/>
      <c r="N3045" s="819"/>
      <c r="O3045" s="819"/>
      <c r="P3045" s="820"/>
      <c r="Q3045" s="807"/>
      <c r="R3045" s="807"/>
      <c r="S3045" s="807"/>
      <c r="T3045" s="807"/>
      <c r="U3045" s="807"/>
      <c r="V3045" s="710"/>
      <c r="W3045" s="819"/>
      <c r="X3045" s="819"/>
      <c r="Y3045" s="819"/>
      <c r="Z3045" s="819"/>
      <c r="AA3045" s="710"/>
      <c r="AB3045" s="710"/>
      <c r="AC3045" s="710"/>
      <c r="AD3045" s="710"/>
      <c r="AE3045" s="710"/>
      <c r="AF3045" s="710"/>
      <c r="AG3045" s="710"/>
      <c r="AH3045" s="710"/>
      <c r="AI3045" s="710"/>
      <c r="AJ3045" s="710"/>
      <c r="AK3045" s="710"/>
      <c r="AL3045" s="710"/>
      <c r="AM3045" s="710"/>
    </row>
    <row r="3046" spans="1:39">
      <c r="B3046" s="1496" t="s">
        <v>125</v>
      </c>
      <c r="C3046" s="3" t="s">
        <v>6201</v>
      </c>
      <c r="D3046" s="3">
        <v>200104520</v>
      </c>
      <c r="E3046" s="12" t="s">
        <v>6223</v>
      </c>
      <c r="F3046" s="749">
        <v>1</v>
      </c>
      <c r="G3046" s="3" t="s">
        <v>60</v>
      </c>
      <c r="H3046" s="3" t="s">
        <v>128</v>
      </c>
      <c r="I3046" s="858">
        <f>89.93+90.32</f>
        <v>180.25</v>
      </c>
      <c r="J3046" s="858">
        <f>134.96+43.99</f>
        <v>178.95000000000002</v>
      </c>
      <c r="K3046" s="761" t="s">
        <v>2512</v>
      </c>
      <c r="L3046" s="761">
        <v>45497</v>
      </c>
      <c r="M3046" s="761" t="s">
        <v>2512</v>
      </c>
      <c r="N3046" s="761">
        <v>45495</v>
      </c>
      <c r="O3046" s="761" t="s">
        <v>62</v>
      </c>
      <c r="P3046" s="3" t="s">
        <v>6224</v>
      </c>
      <c r="Q3046" s="3" t="s">
        <v>6225</v>
      </c>
      <c r="R3046" s="3" t="s">
        <v>130</v>
      </c>
      <c r="S3046" s="3" t="s">
        <v>130</v>
      </c>
      <c r="T3046" s="858">
        <v>188.5</v>
      </c>
      <c r="U3046" s="858">
        <v>187.5</v>
      </c>
      <c r="V3046" s="4" t="s">
        <v>2512</v>
      </c>
      <c r="W3046" s="761">
        <v>45498</v>
      </c>
      <c r="X3046" s="4" t="s">
        <v>2512</v>
      </c>
      <c r="Y3046" s="761">
        <v>45495</v>
      </c>
      <c r="Z3046" s="761" t="s">
        <v>62</v>
      </c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4"/>
    </row>
    <row r="3047" spans="1:39">
      <c r="B3047" s="895" t="s">
        <v>163</v>
      </c>
      <c r="C3047" s="3" t="s">
        <v>6201</v>
      </c>
      <c r="D3047" s="3">
        <v>200104618</v>
      </c>
      <c r="E3047" s="12" t="s">
        <v>6226</v>
      </c>
      <c r="F3047" s="749">
        <v>2</v>
      </c>
      <c r="G3047" s="3" t="s">
        <v>60</v>
      </c>
      <c r="H3047" s="3" t="s">
        <v>128</v>
      </c>
      <c r="I3047" s="858">
        <f>106.39+104.23</f>
        <v>210.62</v>
      </c>
      <c r="J3047" s="858">
        <f>102.45+98</f>
        <v>200.45</v>
      </c>
      <c r="K3047" s="761" t="s">
        <v>2512</v>
      </c>
      <c r="L3047" s="761">
        <v>45497</v>
      </c>
      <c r="M3047" s="761" t="s">
        <v>2512</v>
      </c>
      <c r="N3047" s="761">
        <v>45495</v>
      </c>
      <c r="O3047" s="761" t="s">
        <v>62</v>
      </c>
      <c r="P3047" s="3" t="s">
        <v>6227</v>
      </c>
      <c r="Q3047" s="3" t="s">
        <v>6228</v>
      </c>
      <c r="R3047" s="3" t="s">
        <v>130</v>
      </c>
      <c r="S3047" s="3" t="s">
        <v>130</v>
      </c>
      <c r="T3047" s="858">
        <v>220.2</v>
      </c>
      <c r="U3047" s="858">
        <v>210.4</v>
      </c>
      <c r="V3047" s="4" t="s">
        <v>2512</v>
      </c>
      <c r="W3047" s="761">
        <v>45498</v>
      </c>
      <c r="X3047" s="4" t="s">
        <v>2512</v>
      </c>
      <c r="Y3047" s="761">
        <v>45495</v>
      </c>
      <c r="Z3047" s="761" t="s">
        <v>62</v>
      </c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</row>
    <row r="3048" spans="1:39">
      <c r="B3048" s="895" t="s">
        <v>163</v>
      </c>
      <c r="C3048" s="3" t="s">
        <v>6201</v>
      </c>
      <c r="D3048" s="3">
        <v>200104933</v>
      </c>
      <c r="E3048" s="12" t="s">
        <v>6229</v>
      </c>
      <c r="F3048" s="749">
        <v>3</v>
      </c>
      <c r="G3048" s="3" t="s">
        <v>60</v>
      </c>
      <c r="H3048" s="3" t="s">
        <v>128</v>
      </c>
      <c r="I3048" s="858">
        <f>108.05+99.26</f>
        <v>207.31</v>
      </c>
      <c r="J3048" s="858">
        <f>105.31+100.1</f>
        <v>205.41</v>
      </c>
      <c r="K3048" s="761" t="s">
        <v>2512</v>
      </c>
      <c r="L3048" s="761">
        <v>45497</v>
      </c>
      <c r="M3048" s="761" t="s">
        <v>2512</v>
      </c>
      <c r="N3048" s="761">
        <v>45495</v>
      </c>
      <c r="O3048" s="761" t="s">
        <v>62</v>
      </c>
      <c r="P3048" s="3" t="s">
        <v>6230</v>
      </c>
      <c r="Q3048" s="3" t="s">
        <v>6231</v>
      </c>
      <c r="R3048" s="3" t="s">
        <v>130</v>
      </c>
      <c r="S3048" s="3" t="s">
        <v>130</v>
      </c>
      <c r="T3048" s="858">
        <v>216.9</v>
      </c>
      <c r="U3048" s="858">
        <v>215.6</v>
      </c>
      <c r="V3048" s="4" t="s">
        <v>2512</v>
      </c>
      <c r="W3048" s="761">
        <v>45498</v>
      </c>
      <c r="X3048" s="4" t="s">
        <v>2512</v>
      </c>
      <c r="Y3048" s="761">
        <v>45495</v>
      </c>
      <c r="Z3048" s="761" t="s">
        <v>62</v>
      </c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/>
    </row>
    <row r="3049" spans="1:39">
      <c r="B3049" s="1496" t="s">
        <v>277</v>
      </c>
      <c r="C3049" s="3" t="s">
        <v>6201</v>
      </c>
      <c r="D3049" s="3">
        <v>200105602</v>
      </c>
      <c r="E3049" s="12" t="s">
        <v>6232</v>
      </c>
      <c r="F3049" s="749">
        <v>4</v>
      </c>
      <c r="G3049" s="3" t="s">
        <v>60</v>
      </c>
      <c r="H3049" s="3" t="s">
        <v>128</v>
      </c>
      <c r="I3049" s="858">
        <v>136.97</v>
      </c>
      <c r="J3049" s="858">
        <v>134.4</v>
      </c>
      <c r="K3049" s="761" t="s">
        <v>2512</v>
      </c>
      <c r="L3049" s="761">
        <v>45497</v>
      </c>
      <c r="M3049" s="761" t="s">
        <v>2512</v>
      </c>
      <c r="N3049" s="761">
        <v>45495</v>
      </c>
      <c r="O3049" s="761" t="s">
        <v>62</v>
      </c>
      <c r="P3049" s="1044">
        <v>3.47</v>
      </c>
      <c r="Q3049" s="1044">
        <v>4.3600000000000003</v>
      </c>
      <c r="R3049" s="3" t="s">
        <v>130</v>
      </c>
      <c r="S3049" s="3" t="s">
        <v>130</v>
      </c>
      <c r="T3049" s="858">
        <v>142.9</v>
      </c>
      <c r="U3049" s="858">
        <v>140.69999999999999</v>
      </c>
      <c r="V3049" s="4" t="s">
        <v>2512</v>
      </c>
      <c r="W3049" s="761">
        <v>45498</v>
      </c>
      <c r="X3049" s="4" t="s">
        <v>2512</v>
      </c>
      <c r="Y3049" s="761">
        <v>45495</v>
      </c>
      <c r="Z3049" s="761" t="s">
        <v>62</v>
      </c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/>
    </row>
    <row r="3050" spans="1:39" s="707" customFormat="1">
      <c r="A3050"/>
      <c r="B3050" s="805"/>
      <c r="C3050" s="875" t="s">
        <v>6233</v>
      </c>
      <c r="D3050" s="875"/>
      <c r="E3050" s="875"/>
      <c r="F3050" s="808"/>
      <c r="G3050" s="807" t="s">
        <v>5505</v>
      </c>
      <c r="H3050" s="807" t="s">
        <v>6200</v>
      </c>
      <c r="I3050" s="807" t="s">
        <v>5505</v>
      </c>
      <c r="J3050" s="807" t="s">
        <v>6200</v>
      </c>
      <c r="K3050" s="807"/>
      <c r="L3050" s="819"/>
      <c r="M3050" s="819"/>
      <c r="N3050" s="819"/>
      <c r="O3050" s="819"/>
      <c r="P3050" s="820"/>
      <c r="Q3050" s="807"/>
      <c r="R3050" s="807"/>
      <c r="S3050" s="807"/>
      <c r="T3050" s="807"/>
      <c r="U3050" s="807"/>
      <c r="V3050" s="710"/>
      <c r="W3050" s="819"/>
      <c r="X3050" s="819"/>
      <c r="Y3050" s="819"/>
      <c r="Z3050" s="819"/>
      <c r="AA3050" s="710"/>
      <c r="AB3050" s="710"/>
      <c r="AC3050" s="710"/>
      <c r="AD3050" s="710"/>
      <c r="AE3050" s="710"/>
      <c r="AF3050" s="710"/>
      <c r="AG3050" s="710"/>
      <c r="AH3050" s="710"/>
      <c r="AI3050" s="710"/>
      <c r="AJ3050" s="710"/>
      <c r="AK3050" s="710"/>
      <c r="AL3050" s="710"/>
      <c r="AM3050" s="710"/>
    </row>
    <row r="3051" spans="1:39">
      <c r="B3051" s="1496" t="s">
        <v>163</v>
      </c>
      <c r="C3051" s="3" t="s">
        <v>6234</v>
      </c>
      <c r="D3051" s="3">
        <v>300020763</v>
      </c>
      <c r="E3051" s="12" t="s">
        <v>6235</v>
      </c>
      <c r="F3051" s="749">
        <v>1</v>
      </c>
      <c r="G3051" s="858" t="s">
        <v>60</v>
      </c>
      <c r="H3051" s="3" t="s">
        <v>128</v>
      </c>
      <c r="I3051" s="858">
        <v>179.43</v>
      </c>
      <c r="J3051" s="858">
        <v>157.44</v>
      </c>
      <c r="K3051" s="761" t="s">
        <v>2512</v>
      </c>
      <c r="L3051" s="761">
        <v>45497</v>
      </c>
      <c r="M3051" s="761" t="s">
        <v>2512</v>
      </c>
      <c r="N3051" s="761">
        <v>45495</v>
      </c>
      <c r="O3051" s="761" t="s">
        <v>62</v>
      </c>
      <c r="P3051" s="1044">
        <v>4.5199999999999996</v>
      </c>
      <c r="Q3051" s="1044">
        <v>4.7699999999999996</v>
      </c>
      <c r="R3051" s="3" t="s">
        <v>130</v>
      </c>
      <c r="S3051" s="3" t="s">
        <v>130</v>
      </c>
      <c r="T3051" s="858">
        <v>188.6</v>
      </c>
      <c r="U3051" s="858">
        <v>165</v>
      </c>
      <c r="V3051" s="4" t="s">
        <v>2512</v>
      </c>
      <c r="W3051" s="761">
        <v>45498</v>
      </c>
      <c r="X3051" s="4" t="s">
        <v>2512</v>
      </c>
      <c r="Y3051" s="761">
        <v>45495</v>
      </c>
      <c r="Z3051" s="761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</row>
    <row r="3052" spans="1:39" s="707" customFormat="1">
      <c r="A3052"/>
      <c r="B3052" s="797"/>
      <c r="C3052" s="807" t="s">
        <v>1323</v>
      </c>
      <c r="D3052" s="875"/>
      <c r="E3052" s="875"/>
      <c r="F3052" s="808"/>
      <c r="G3052" s="808"/>
      <c r="H3052" s="807"/>
      <c r="I3052" s="820"/>
      <c r="J3052" s="809"/>
      <c r="K3052" s="807"/>
      <c r="L3052" s="819"/>
      <c r="M3052" s="819"/>
      <c r="N3052" s="819"/>
      <c r="O3052" s="819"/>
      <c r="P3052" s="820"/>
      <c r="Q3052" s="807"/>
      <c r="R3052" s="807"/>
      <c r="S3052" s="807"/>
      <c r="T3052" s="807"/>
      <c r="U3052" s="820"/>
      <c r="V3052" s="710"/>
      <c r="W3052" s="819"/>
      <c r="X3052" s="819"/>
      <c r="Y3052" s="819"/>
      <c r="Z3052" s="819"/>
      <c r="AA3052" s="710"/>
      <c r="AB3052" s="710"/>
      <c r="AC3052" s="710"/>
      <c r="AD3052" s="710"/>
      <c r="AE3052" s="710"/>
      <c r="AF3052" s="710"/>
      <c r="AG3052" s="710"/>
      <c r="AH3052" s="710"/>
      <c r="AI3052" s="710"/>
      <c r="AJ3052" s="710"/>
      <c r="AK3052" s="710"/>
      <c r="AL3052" s="710"/>
      <c r="AM3052" s="710"/>
    </row>
    <row r="3053" spans="1:39">
      <c r="B3053" s="895">
        <v>12</v>
      </c>
      <c r="C3053" s="12" t="s">
        <v>6236</v>
      </c>
      <c r="D3053" s="12" t="s">
        <v>6237</v>
      </c>
      <c r="E3053" s="11" t="s">
        <v>6238</v>
      </c>
      <c r="F3053" s="749">
        <v>1</v>
      </c>
      <c r="G3053" s="3" t="s">
        <v>1041</v>
      </c>
      <c r="H3053" s="3" t="s">
        <v>1041</v>
      </c>
      <c r="I3053" s="3">
        <v>18.66</v>
      </c>
      <c r="J3053" s="3">
        <v>208.12</v>
      </c>
      <c r="K3053" s="3" t="s">
        <v>2067</v>
      </c>
      <c r="L3053" s="761">
        <v>44554</v>
      </c>
      <c r="M3053" s="761" t="s">
        <v>2067</v>
      </c>
      <c r="N3053" s="761">
        <v>44554</v>
      </c>
      <c r="O3053" s="761" t="s">
        <v>62</v>
      </c>
      <c r="P3053" s="762"/>
      <c r="Q3053" s="3"/>
      <c r="R3053" s="3" t="s">
        <v>1547</v>
      </c>
      <c r="S3053" s="3"/>
      <c r="T3053" s="3">
        <v>231.7</v>
      </c>
      <c r="U3053" s="3"/>
      <c r="V3053" s="4" t="s">
        <v>2067</v>
      </c>
      <c r="W3053" s="761">
        <v>44557</v>
      </c>
      <c r="X3053" s="761" t="s">
        <v>2094</v>
      </c>
      <c r="Y3053" s="761"/>
      <c r="Z3053" s="761" t="s">
        <v>62</v>
      </c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</row>
    <row r="3054" spans="1:39" s="707" customFormat="1" ht="33" customHeight="1">
      <c r="A3054"/>
      <c r="B3054" s="805" t="s">
        <v>13</v>
      </c>
      <c r="C3054" s="1061" t="s">
        <v>1540</v>
      </c>
      <c r="D3054" s="875"/>
      <c r="E3054" s="874"/>
      <c r="F3054" s="808"/>
      <c r="G3054" s="807"/>
      <c r="H3054" s="807"/>
      <c r="I3054" s="807"/>
      <c r="J3054" s="807"/>
      <c r="K3054" s="807"/>
      <c r="L3054" s="819"/>
      <c r="M3054" s="819"/>
      <c r="N3054" s="819"/>
      <c r="O3054" s="819"/>
      <c r="P3054" s="820"/>
      <c r="Q3054" s="807"/>
      <c r="R3054" s="807"/>
      <c r="S3054" s="807"/>
      <c r="T3054" s="807"/>
      <c r="U3054" s="807"/>
      <c r="V3054" s="710"/>
      <c r="W3054" s="819"/>
      <c r="X3054" s="819"/>
      <c r="Y3054" s="819"/>
      <c r="Z3054" s="819"/>
      <c r="AA3054" s="710"/>
      <c r="AB3054" s="710"/>
      <c r="AC3054" s="710"/>
      <c r="AD3054" s="710"/>
      <c r="AE3054" s="710"/>
      <c r="AF3054" s="710"/>
      <c r="AG3054" s="710"/>
      <c r="AH3054" s="710"/>
      <c r="AI3054" s="710"/>
      <c r="AJ3054" s="710"/>
      <c r="AK3054" s="710"/>
      <c r="AL3054" s="710"/>
      <c r="AM3054" s="710"/>
    </row>
    <row r="3055" spans="1:39">
      <c r="B3055" s="1490" t="s">
        <v>163</v>
      </c>
      <c r="C3055" s="1062" t="s">
        <v>1539</v>
      </c>
      <c r="D3055" s="12" t="s">
        <v>6239</v>
      </c>
      <c r="E3055" s="12" t="s">
        <v>6240</v>
      </c>
      <c r="F3055" s="749">
        <v>1</v>
      </c>
      <c r="G3055" s="3" t="s">
        <v>932</v>
      </c>
      <c r="H3055" s="3" t="s">
        <v>1041</v>
      </c>
      <c r="I3055" s="3">
        <v>532.79999999999995</v>
      </c>
      <c r="J3055" s="3">
        <v>294.48</v>
      </c>
      <c r="K3055" s="3" t="s">
        <v>2094</v>
      </c>
      <c r="L3055" s="761">
        <v>44592</v>
      </c>
      <c r="M3055" s="761" t="s">
        <v>2094</v>
      </c>
      <c r="N3055" s="761">
        <v>44592</v>
      </c>
      <c r="O3055" s="761" t="s">
        <v>62</v>
      </c>
      <c r="P3055" s="762"/>
      <c r="Q3055" s="3"/>
      <c r="R3055" s="3" t="s">
        <v>1547</v>
      </c>
      <c r="S3055" s="3" t="s">
        <v>1547</v>
      </c>
      <c r="T3055" s="3">
        <v>310.3</v>
      </c>
      <c r="U3055" s="3">
        <v>330.2</v>
      </c>
      <c r="V3055" s="4" t="s">
        <v>2125</v>
      </c>
      <c r="W3055" s="761">
        <v>44594</v>
      </c>
      <c r="X3055" s="761" t="s">
        <v>2125</v>
      </c>
      <c r="Y3055" s="761">
        <v>44595</v>
      </c>
      <c r="Z3055" s="761" t="s">
        <v>62</v>
      </c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</row>
    <row r="3056" spans="1:39">
      <c r="B3056" s="1490" t="s">
        <v>163</v>
      </c>
      <c r="C3056" s="1062" t="s">
        <v>1539</v>
      </c>
      <c r="D3056" s="12" t="s">
        <v>6241</v>
      </c>
      <c r="E3056" s="12" t="s">
        <v>6242</v>
      </c>
      <c r="F3056" s="749">
        <v>2</v>
      </c>
      <c r="G3056" s="3" t="s">
        <v>932</v>
      </c>
      <c r="H3056" s="3" t="s">
        <v>1041</v>
      </c>
      <c r="I3056" s="3">
        <v>530.9</v>
      </c>
      <c r="J3056" s="3">
        <v>299.7</v>
      </c>
      <c r="K3056" s="3" t="s">
        <v>2094</v>
      </c>
      <c r="L3056" s="761">
        <v>44592</v>
      </c>
      <c r="M3056" s="761" t="s">
        <v>2094</v>
      </c>
      <c r="N3056" s="761">
        <v>44592</v>
      </c>
      <c r="O3056" s="761" t="s">
        <v>62</v>
      </c>
      <c r="P3056" s="762"/>
      <c r="Q3056" s="3"/>
      <c r="R3056" s="3" t="s">
        <v>1547</v>
      </c>
      <c r="S3056" s="3" t="s">
        <v>1547</v>
      </c>
      <c r="T3056" s="3">
        <v>315.2</v>
      </c>
      <c r="U3056" s="3">
        <v>330.3</v>
      </c>
      <c r="V3056" s="4" t="s">
        <v>2125</v>
      </c>
      <c r="W3056" s="761">
        <v>44594</v>
      </c>
      <c r="X3056" s="761" t="s">
        <v>2125</v>
      </c>
      <c r="Y3056" s="761">
        <v>44595</v>
      </c>
      <c r="Z3056" s="761" t="s">
        <v>62</v>
      </c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</row>
    <row r="3057" spans="1:39">
      <c r="B3057" s="1490" t="s">
        <v>163</v>
      </c>
      <c r="C3057" s="1062" t="s">
        <v>1539</v>
      </c>
      <c r="D3057" s="12" t="s">
        <v>6243</v>
      </c>
      <c r="E3057" s="12" t="s">
        <v>6244</v>
      </c>
      <c r="F3057" s="749">
        <v>3</v>
      </c>
      <c r="G3057" s="3" t="s">
        <v>932</v>
      </c>
      <c r="H3057" s="3" t="s">
        <v>1041</v>
      </c>
      <c r="I3057" s="3">
        <v>533.6</v>
      </c>
      <c r="J3057" s="3">
        <v>293.2</v>
      </c>
      <c r="K3057" s="3" t="s">
        <v>2125</v>
      </c>
      <c r="L3057" s="761">
        <v>44595</v>
      </c>
      <c r="M3057" s="761" t="s">
        <v>2125</v>
      </c>
      <c r="N3057" s="761">
        <v>44595</v>
      </c>
      <c r="O3057" s="761" t="s">
        <v>62</v>
      </c>
      <c r="P3057" s="762" t="s">
        <v>6245</v>
      </c>
      <c r="Q3057" s="3" t="s">
        <v>6246</v>
      </c>
      <c r="R3057" s="3" t="s">
        <v>1547</v>
      </c>
      <c r="S3057" s="3" t="s">
        <v>1547</v>
      </c>
      <c r="T3057" s="3">
        <v>309.3</v>
      </c>
      <c r="U3057" s="3">
        <v>330.2</v>
      </c>
      <c r="V3057" s="4" t="s">
        <v>2125</v>
      </c>
      <c r="W3057" s="761">
        <v>44595</v>
      </c>
      <c r="X3057" s="761" t="s">
        <v>2125</v>
      </c>
      <c r="Y3057" s="761">
        <v>44595</v>
      </c>
      <c r="Z3057" s="761" t="s">
        <v>62</v>
      </c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</row>
    <row r="3058" spans="1:39" s="707" customFormat="1" ht="30" customHeight="1">
      <c r="A3058"/>
      <c r="B3058" s="1063"/>
      <c r="C3058" s="1049">
        <v>2023</v>
      </c>
      <c r="D3058" s="807"/>
      <c r="E3058" s="874"/>
      <c r="F3058" s="808"/>
      <c r="G3058" s="807"/>
      <c r="H3058" s="807"/>
      <c r="I3058" s="807"/>
      <c r="J3058" s="807"/>
      <c r="K3058" s="807"/>
      <c r="L3058" s="819"/>
      <c r="M3058" s="819"/>
      <c r="N3058" s="819"/>
      <c r="O3058" s="819"/>
      <c r="P3058" s="820"/>
      <c r="Q3058" s="807"/>
      <c r="R3058" s="807"/>
      <c r="S3058" s="807"/>
      <c r="T3058" s="807"/>
      <c r="U3058" s="807"/>
      <c r="V3058" s="710"/>
      <c r="W3058" s="819"/>
      <c r="X3058" s="819"/>
      <c r="Y3058" s="819"/>
      <c r="Z3058" s="819"/>
      <c r="AA3058" s="710"/>
      <c r="AB3058" s="710"/>
      <c r="AC3058" s="710"/>
      <c r="AD3058" s="710"/>
      <c r="AE3058" s="710"/>
      <c r="AF3058" s="710"/>
      <c r="AG3058" s="710"/>
      <c r="AH3058" s="710"/>
      <c r="AI3058" s="710"/>
      <c r="AJ3058" s="710"/>
      <c r="AK3058" s="710"/>
      <c r="AL3058" s="710"/>
      <c r="AM3058" s="710"/>
    </row>
    <row r="3059" spans="1:39">
      <c r="B3059" s="747">
        <v>1</v>
      </c>
      <c r="C3059" s="1062" t="s">
        <v>1539</v>
      </c>
      <c r="D3059" s="12" t="s">
        <v>6247</v>
      </c>
      <c r="E3059" s="12" t="s">
        <v>1543</v>
      </c>
      <c r="F3059" s="749">
        <v>1</v>
      </c>
      <c r="G3059" s="3" t="s">
        <v>932</v>
      </c>
      <c r="H3059" s="3" t="s">
        <v>932</v>
      </c>
      <c r="I3059" s="762">
        <v>534</v>
      </c>
      <c r="J3059" s="786">
        <v>293.04000000000002</v>
      </c>
      <c r="K3059" s="3" t="s">
        <v>1716</v>
      </c>
      <c r="L3059" s="958">
        <v>44987</v>
      </c>
      <c r="M3059" s="958" t="s">
        <v>1716</v>
      </c>
      <c r="N3059" s="958">
        <v>44988</v>
      </c>
      <c r="O3059" s="761" t="s">
        <v>62</v>
      </c>
      <c r="P3059" s="1064"/>
      <c r="Q3059" s="1064"/>
      <c r="R3059" s="825"/>
      <c r="S3059" s="3" t="s">
        <v>1547</v>
      </c>
      <c r="T3059" s="825"/>
      <c r="U3059" s="786">
        <v>308.60000000000002</v>
      </c>
      <c r="V3059" s="825"/>
      <c r="W3059" s="825"/>
      <c r="X3059" s="761" t="s">
        <v>1716</v>
      </c>
      <c r="Y3059" s="1065">
        <v>44988</v>
      </c>
      <c r="Z3059" s="761" t="s">
        <v>62</v>
      </c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</row>
    <row r="3060" spans="1:39" s="707" customFormat="1" ht="30" customHeight="1">
      <c r="A3060"/>
      <c r="B3060" s="1063"/>
      <c r="C3060" s="1049">
        <v>2024</v>
      </c>
      <c r="D3060" s="807"/>
      <c r="E3060" s="874"/>
      <c r="F3060" s="808"/>
      <c r="G3060" s="807"/>
      <c r="H3060" s="807"/>
      <c r="I3060" s="807"/>
      <c r="J3060" s="807"/>
      <c r="K3060" s="807"/>
      <c r="L3060" s="983"/>
      <c r="M3060" s="983"/>
      <c r="N3060" s="983"/>
      <c r="O3060" s="819"/>
      <c r="P3060" s="1064"/>
      <c r="Q3060" s="1064"/>
      <c r="R3060" s="807"/>
      <c r="S3060" s="807"/>
      <c r="T3060" s="807"/>
      <c r="U3060" s="807"/>
      <c r="V3060" s="710"/>
      <c r="W3060" s="819"/>
      <c r="X3060" s="819"/>
      <c r="Y3060" s="1066"/>
      <c r="Z3060" s="819"/>
      <c r="AA3060" s="710"/>
      <c r="AB3060" s="710"/>
      <c r="AC3060" s="710"/>
      <c r="AD3060" s="710"/>
      <c r="AE3060" s="710"/>
      <c r="AF3060" s="710"/>
      <c r="AG3060" s="710"/>
      <c r="AH3060" s="710"/>
      <c r="AI3060" s="710"/>
      <c r="AJ3060" s="710"/>
      <c r="AK3060" s="710"/>
      <c r="AL3060" s="710"/>
      <c r="AM3060" s="710"/>
    </row>
    <row r="3061" spans="1:39">
      <c r="B3061" s="747" t="s">
        <v>213</v>
      </c>
      <c r="C3061" s="1062" t="s">
        <v>1539</v>
      </c>
      <c r="D3061" s="12" t="s">
        <v>1762</v>
      </c>
      <c r="E3061" s="12" t="s">
        <v>1550</v>
      </c>
      <c r="F3061" s="749">
        <v>1</v>
      </c>
      <c r="G3061" s="3" t="s">
        <v>60</v>
      </c>
      <c r="H3061" s="3" t="s">
        <v>932</v>
      </c>
      <c r="I3061" s="786">
        <v>530.6</v>
      </c>
      <c r="J3061" s="786">
        <v>295.64</v>
      </c>
      <c r="K3061" s="3" t="s">
        <v>1716</v>
      </c>
      <c r="L3061" s="958">
        <v>45359</v>
      </c>
      <c r="M3061" s="958" t="s">
        <v>1716</v>
      </c>
      <c r="N3061" s="958">
        <v>45359</v>
      </c>
      <c r="O3061" s="761" t="s">
        <v>62</v>
      </c>
      <c r="P3061" s="1064"/>
      <c r="Q3061" s="1064"/>
      <c r="R3061" s="825"/>
      <c r="S3061" s="3" t="s">
        <v>130</v>
      </c>
      <c r="T3061" s="825"/>
      <c r="U3061" s="762">
        <v>311.10000000000002</v>
      </c>
      <c r="V3061" s="825"/>
      <c r="W3061" s="825"/>
      <c r="X3061" s="761" t="s">
        <v>1716</v>
      </c>
      <c r="Y3061" s="1065">
        <v>45363</v>
      </c>
      <c r="Z3061" s="761" t="s">
        <v>62</v>
      </c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</row>
    <row r="3062" spans="1:39" s="707" customFormat="1" ht="22.05" customHeight="1">
      <c r="A3062"/>
      <c r="B3062" s="807"/>
      <c r="C3062" s="857" t="s">
        <v>1761</v>
      </c>
      <c r="D3062" s="807"/>
      <c r="E3062" s="874"/>
      <c r="F3062" s="808"/>
      <c r="G3062" s="807"/>
      <c r="H3062" s="807"/>
      <c r="I3062" s="807"/>
      <c r="J3062" s="807"/>
      <c r="K3062" s="807"/>
      <c r="L3062" s="983"/>
      <c r="M3062" s="983"/>
      <c r="N3062" s="983"/>
      <c r="O3062" s="819"/>
      <c r="P3062" s="1064"/>
      <c r="Q3062" s="1064"/>
      <c r="R3062" s="807"/>
      <c r="S3062" s="807"/>
      <c r="T3062" s="807"/>
      <c r="U3062" s="807"/>
      <c r="V3062" s="710"/>
      <c r="W3062" s="819"/>
      <c r="X3062" s="819"/>
      <c r="Y3062" s="1066"/>
      <c r="Z3062" s="819"/>
      <c r="AA3062" s="710"/>
      <c r="AB3062" s="710"/>
      <c r="AC3062" s="710"/>
      <c r="AD3062" s="710"/>
      <c r="AE3062" s="710"/>
      <c r="AF3062" s="710"/>
      <c r="AG3062" s="710"/>
      <c r="AH3062" s="710"/>
      <c r="AI3062" s="710"/>
      <c r="AJ3062" s="710"/>
      <c r="AK3062" s="710"/>
      <c r="AL3062" s="710"/>
      <c r="AM3062" s="710"/>
    </row>
    <row r="3063" spans="1:39">
      <c r="B3063" s="1490" t="s">
        <v>100</v>
      </c>
      <c r="C3063" s="1062" t="s">
        <v>1539</v>
      </c>
      <c r="D3063" s="12" t="s">
        <v>1763</v>
      </c>
      <c r="E3063" s="12" t="s">
        <v>1555</v>
      </c>
      <c r="F3063" s="749">
        <v>1</v>
      </c>
      <c r="G3063" s="3" t="s">
        <v>60</v>
      </c>
      <c r="H3063" s="3" t="s">
        <v>128</v>
      </c>
      <c r="I3063" s="858">
        <v>534.6</v>
      </c>
      <c r="J3063" s="858">
        <v>296.43</v>
      </c>
      <c r="K3063" s="3" t="s">
        <v>2556</v>
      </c>
      <c r="L3063" s="958">
        <v>45510</v>
      </c>
      <c r="M3063" s="958" t="s">
        <v>2556</v>
      </c>
      <c r="N3063" s="958">
        <v>45510</v>
      </c>
      <c r="O3063" s="761" t="s">
        <v>62</v>
      </c>
      <c r="P3063" s="1064"/>
      <c r="Q3063" s="1064"/>
      <c r="R3063" s="825"/>
      <c r="S3063" s="3" t="s">
        <v>130</v>
      </c>
      <c r="T3063" s="825"/>
      <c r="U3063" s="858">
        <v>312.3</v>
      </c>
      <c r="V3063" s="825"/>
      <c r="W3063" s="825"/>
      <c r="X3063" s="761" t="s">
        <v>2556</v>
      </c>
      <c r="Y3063" s="1065">
        <v>45511</v>
      </c>
      <c r="Z3063" s="761" t="s">
        <v>62</v>
      </c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</row>
    <row r="3064" spans="1:39" s="707" customFormat="1" ht="30" customHeight="1">
      <c r="A3064"/>
      <c r="B3064" s="1063"/>
      <c r="C3064" s="1049" t="s">
        <v>6248</v>
      </c>
      <c r="D3064" s="807"/>
      <c r="E3064" s="874"/>
      <c r="F3064" s="808"/>
      <c r="G3064" s="807" t="s">
        <v>6200</v>
      </c>
      <c r="H3064" s="807"/>
      <c r="I3064" s="807" t="s">
        <v>6200</v>
      </c>
      <c r="J3064" s="807"/>
      <c r="K3064" s="807"/>
      <c r="L3064" s="819"/>
      <c r="M3064" s="819"/>
      <c r="N3064" s="819"/>
      <c r="O3064" s="819"/>
      <c r="P3064" s="820"/>
      <c r="Q3064" s="807"/>
      <c r="R3064" s="807"/>
      <c r="S3064" s="807"/>
      <c r="T3064" s="807"/>
      <c r="U3064" s="807"/>
      <c r="V3064" s="710"/>
      <c r="W3064" s="819"/>
      <c r="X3064" s="819"/>
      <c r="Y3064" s="819"/>
      <c r="Z3064" s="819"/>
      <c r="AA3064" s="710"/>
      <c r="AB3064" s="710"/>
      <c r="AC3064" s="710"/>
      <c r="AD3064" s="710"/>
      <c r="AE3064" s="710"/>
      <c r="AF3064" s="710"/>
      <c r="AG3064" s="710"/>
      <c r="AH3064" s="710"/>
      <c r="AI3064" s="710"/>
      <c r="AJ3064" s="710"/>
      <c r="AK3064" s="710"/>
      <c r="AL3064" s="710"/>
      <c r="AM3064" s="710"/>
    </row>
    <row r="3065" spans="1:39">
      <c r="B3065" s="792">
        <v>10</v>
      </c>
      <c r="C3065" s="13" t="s">
        <v>6234</v>
      </c>
      <c r="D3065" s="870" t="s">
        <v>6249</v>
      </c>
      <c r="E3065" s="870" t="s">
        <v>6250</v>
      </c>
      <c r="F3065" s="795">
        <v>1</v>
      </c>
      <c r="G3065" s="13" t="s">
        <v>128</v>
      </c>
      <c r="H3065" s="13"/>
      <c r="I3065" s="786">
        <v>499.36</v>
      </c>
      <c r="J3065" s="810"/>
      <c r="K3065" s="13" t="s">
        <v>2716</v>
      </c>
      <c r="L3065" s="813">
        <v>45215</v>
      </c>
      <c r="M3065" s="813"/>
      <c r="N3065" s="813"/>
      <c r="O3065" s="761" t="s">
        <v>62</v>
      </c>
      <c r="P3065" s="3" t="s">
        <v>6251</v>
      </c>
      <c r="Q3065" s="13"/>
      <c r="R3065" s="13"/>
      <c r="S3065" s="13"/>
      <c r="T3065" s="13"/>
      <c r="U3065" s="810"/>
      <c r="V3065" s="826"/>
      <c r="W3065" s="813"/>
      <c r="X3065" s="813"/>
      <c r="Y3065" s="813"/>
      <c r="Z3065" s="813"/>
      <c r="AA3065" s="826"/>
      <c r="AB3065" s="826"/>
      <c r="AC3065" s="826"/>
      <c r="AD3065" s="826"/>
      <c r="AE3065" s="826"/>
      <c r="AF3065" s="826"/>
      <c r="AG3065" s="826"/>
      <c r="AH3065" s="826"/>
      <c r="AI3065" s="826"/>
      <c r="AJ3065" s="826"/>
      <c r="AK3065" s="826"/>
      <c r="AL3065" s="826"/>
      <c r="AM3065" s="826"/>
    </row>
    <row r="3066" spans="1:39">
      <c r="B3066" s="792">
        <v>10</v>
      </c>
      <c r="C3066" s="13" t="s">
        <v>6234</v>
      </c>
      <c r="D3066" s="870" t="s">
        <v>6252</v>
      </c>
      <c r="E3066" s="870" t="s">
        <v>6253</v>
      </c>
      <c r="F3066" s="795">
        <v>2</v>
      </c>
      <c r="G3066" s="13" t="s">
        <v>128</v>
      </c>
      <c r="H3066" s="13"/>
      <c r="I3066" s="786">
        <v>499.89</v>
      </c>
      <c r="J3066" s="810"/>
      <c r="K3066" s="13" t="s">
        <v>2716</v>
      </c>
      <c r="L3066" s="813">
        <v>45215</v>
      </c>
      <c r="M3066" s="813"/>
      <c r="N3066" s="813"/>
      <c r="O3066" s="761" t="s">
        <v>62</v>
      </c>
      <c r="P3066" s="784" t="s">
        <v>6254</v>
      </c>
      <c r="Q3066" s="13"/>
      <c r="R3066" s="13"/>
      <c r="S3066" s="13"/>
      <c r="T3066" s="13"/>
      <c r="U3066" s="810"/>
      <c r="V3066" s="826"/>
      <c r="W3066" s="813"/>
      <c r="X3066" s="813"/>
      <c r="Y3066" s="813"/>
      <c r="Z3066" s="813"/>
      <c r="AA3066" s="826"/>
      <c r="AB3066" s="826"/>
      <c r="AC3066" s="826"/>
      <c r="AD3066" s="826"/>
      <c r="AE3066" s="826"/>
      <c r="AF3066" s="826"/>
      <c r="AG3066" s="826"/>
      <c r="AH3066" s="826"/>
      <c r="AI3066" s="826"/>
      <c r="AJ3066" s="826"/>
      <c r="AK3066" s="826"/>
      <c r="AL3066" s="826"/>
      <c r="AM3066" s="826"/>
    </row>
    <row r="3067" spans="1:39">
      <c r="B3067" s="792">
        <v>10</v>
      </c>
      <c r="C3067" s="13" t="s">
        <v>6234</v>
      </c>
      <c r="D3067" s="870" t="s">
        <v>6255</v>
      </c>
      <c r="E3067" s="870" t="s">
        <v>6256</v>
      </c>
      <c r="F3067" s="795">
        <v>3</v>
      </c>
      <c r="G3067" s="13" t="s">
        <v>128</v>
      </c>
      <c r="H3067" s="13"/>
      <c r="I3067" s="786">
        <v>500.54</v>
      </c>
      <c r="J3067" s="810"/>
      <c r="K3067" s="13" t="s">
        <v>2716</v>
      </c>
      <c r="L3067" s="813">
        <v>45215</v>
      </c>
      <c r="M3067" s="813"/>
      <c r="N3067" s="813"/>
      <c r="O3067" s="761" t="s">
        <v>62</v>
      </c>
      <c r="P3067" s="784" t="s">
        <v>6257</v>
      </c>
      <c r="Q3067" s="13"/>
      <c r="R3067" s="13"/>
      <c r="S3067" s="13"/>
      <c r="T3067" s="13"/>
      <c r="U3067" s="810"/>
      <c r="V3067" s="826"/>
      <c r="W3067" s="813"/>
      <c r="X3067" s="813"/>
      <c r="Y3067" s="813"/>
      <c r="Z3067" s="813"/>
      <c r="AA3067" s="826"/>
      <c r="AB3067" s="826"/>
      <c r="AC3067" s="826"/>
      <c r="AD3067" s="826"/>
      <c r="AE3067" s="826"/>
      <c r="AF3067" s="826"/>
      <c r="AG3067" s="826"/>
      <c r="AH3067" s="826"/>
      <c r="AI3067" s="826"/>
      <c r="AJ3067" s="826"/>
      <c r="AK3067" s="826"/>
      <c r="AL3067" s="826"/>
      <c r="AM3067" s="826"/>
    </row>
    <row r="3068" spans="1:39">
      <c r="B3068" s="792">
        <v>10</v>
      </c>
      <c r="C3068" s="13" t="s">
        <v>6234</v>
      </c>
      <c r="D3068" s="870" t="s">
        <v>6258</v>
      </c>
      <c r="E3068" s="870" t="s">
        <v>6259</v>
      </c>
      <c r="F3068" s="795">
        <v>4</v>
      </c>
      <c r="G3068" s="13" t="s">
        <v>128</v>
      </c>
      <c r="H3068" s="13"/>
      <c r="I3068" s="786">
        <v>497.92</v>
      </c>
      <c r="J3068" s="810"/>
      <c r="K3068" s="13" t="s">
        <v>2716</v>
      </c>
      <c r="L3068" s="813">
        <v>45216</v>
      </c>
      <c r="M3068" s="813"/>
      <c r="N3068" s="813"/>
      <c r="O3068" s="761" t="s">
        <v>62</v>
      </c>
      <c r="P3068" s="3" t="s">
        <v>6260</v>
      </c>
      <c r="Q3068" s="13"/>
      <c r="R3068" s="13"/>
      <c r="S3068" s="13"/>
      <c r="T3068" s="13"/>
      <c r="U3068" s="810"/>
      <c r="V3068" s="826"/>
      <c r="W3068" s="813"/>
      <c r="X3068" s="813"/>
      <c r="Y3068" s="813"/>
      <c r="Z3068" s="813"/>
      <c r="AA3068" s="826"/>
      <c r="AB3068" s="826"/>
      <c r="AC3068" s="826"/>
      <c r="AD3068" s="826"/>
      <c r="AE3068" s="826"/>
      <c r="AF3068" s="826"/>
      <c r="AG3068" s="826"/>
      <c r="AH3068" s="826"/>
      <c r="AI3068" s="826"/>
      <c r="AJ3068" s="826"/>
      <c r="AK3068" s="826"/>
      <c r="AL3068" s="826"/>
      <c r="AM3068" s="826"/>
    </row>
    <row r="3069" spans="1:39">
      <c r="B3069" s="792">
        <v>10</v>
      </c>
      <c r="C3069" s="13" t="s">
        <v>6234</v>
      </c>
      <c r="D3069" s="870" t="s">
        <v>6261</v>
      </c>
      <c r="E3069" s="870" t="s">
        <v>6262</v>
      </c>
      <c r="F3069" s="795">
        <v>5</v>
      </c>
      <c r="G3069" s="13" t="s">
        <v>128</v>
      </c>
      <c r="H3069" s="13"/>
      <c r="I3069" s="786">
        <v>491.63</v>
      </c>
      <c r="J3069" s="810"/>
      <c r="K3069" s="13" t="s">
        <v>2716</v>
      </c>
      <c r="L3069" s="813">
        <v>45216</v>
      </c>
      <c r="M3069" s="813"/>
      <c r="N3069" s="813"/>
      <c r="O3069" s="761" t="s">
        <v>62</v>
      </c>
      <c r="P3069" s="3" t="s">
        <v>6263</v>
      </c>
      <c r="Q3069" s="13"/>
      <c r="R3069" s="13"/>
      <c r="S3069" s="13"/>
      <c r="T3069" s="13"/>
      <c r="U3069" s="810"/>
      <c r="V3069" s="826"/>
      <c r="W3069" s="813"/>
      <c r="X3069" s="813"/>
      <c r="Y3069" s="813"/>
      <c r="Z3069" s="813"/>
      <c r="AA3069" s="826"/>
      <c r="AB3069" s="826"/>
      <c r="AC3069" s="826"/>
      <c r="AD3069" s="826"/>
      <c r="AE3069" s="826"/>
      <c r="AF3069" s="826"/>
      <c r="AG3069" s="826"/>
      <c r="AH3069" s="826"/>
      <c r="AI3069" s="826"/>
      <c r="AJ3069" s="826"/>
      <c r="AK3069" s="826"/>
      <c r="AL3069" s="826"/>
      <c r="AM3069" s="826"/>
    </row>
    <row r="3070" spans="1:39">
      <c r="B3070" s="792">
        <v>10</v>
      </c>
      <c r="C3070" s="13" t="s">
        <v>6234</v>
      </c>
      <c r="D3070" s="870" t="s">
        <v>6264</v>
      </c>
      <c r="E3070" s="870" t="s">
        <v>6265</v>
      </c>
      <c r="F3070" s="795">
        <v>6</v>
      </c>
      <c r="G3070" s="13" t="s">
        <v>128</v>
      </c>
      <c r="H3070" s="13"/>
      <c r="I3070" s="786">
        <v>500.8</v>
      </c>
      <c r="J3070" s="810"/>
      <c r="K3070" s="13" t="s">
        <v>2716</v>
      </c>
      <c r="L3070" s="813">
        <v>45216</v>
      </c>
      <c r="M3070" s="813"/>
      <c r="N3070" s="813"/>
      <c r="O3070" s="761" t="s">
        <v>62</v>
      </c>
      <c r="P3070" s="3" t="s">
        <v>6266</v>
      </c>
      <c r="Q3070" s="13"/>
      <c r="R3070" s="13"/>
      <c r="S3070" s="13"/>
      <c r="T3070" s="13"/>
      <c r="U3070" s="810"/>
      <c r="V3070" s="826"/>
      <c r="W3070" s="813"/>
      <c r="X3070" s="813"/>
      <c r="Y3070" s="813"/>
      <c r="Z3070" s="813"/>
      <c r="AA3070" s="826"/>
      <c r="AB3070" s="826"/>
      <c r="AC3070" s="826"/>
      <c r="AD3070" s="826"/>
      <c r="AE3070" s="826"/>
      <c r="AF3070" s="826"/>
      <c r="AG3070" s="826"/>
      <c r="AH3070" s="826"/>
      <c r="AI3070" s="826"/>
      <c r="AJ3070" s="826"/>
      <c r="AK3070" s="826"/>
      <c r="AL3070" s="826"/>
      <c r="AM3070" s="826"/>
    </row>
    <row r="3071" spans="1:39">
      <c r="B3071" s="792">
        <v>10</v>
      </c>
      <c r="C3071" s="13" t="s">
        <v>6234</v>
      </c>
      <c r="D3071" s="870" t="s">
        <v>6267</v>
      </c>
      <c r="E3071" s="870" t="s">
        <v>6268</v>
      </c>
      <c r="F3071" s="795">
        <v>7</v>
      </c>
      <c r="G3071" s="13" t="s">
        <v>128</v>
      </c>
      <c r="H3071" s="13"/>
      <c r="I3071" s="786">
        <v>494.5</v>
      </c>
      <c r="J3071" s="810"/>
      <c r="K3071" s="13" t="s">
        <v>2716</v>
      </c>
      <c r="L3071" s="813">
        <v>45217</v>
      </c>
      <c r="M3071" s="813"/>
      <c r="N3071" s="813"/>
      <c r="O3071" s="761" t="s">
        <v>62</v>
      </c>
      <c r="P3071" s="3" t="s">
        <v>6269</v>
      </c>
      <c r="Q3071" s="13"/>
      <c r="R3071" s="13"/>
      <c r="S3071" s="13"/>
      <c r="T3071" s="13"/>
      <c r="U3071" s="810"/>
      <c r="V3071" s="826"/>
      <c r="W3071" s="813"/>
      <c r="X3071" s="813"/>
      <c r="Y3071" s="813"/>
      <c r="Z3071" s="813"/>
      <c r="AA3071" s="826"/>
      <c r="AB3071" s="826"/>
      <c r="AC3071" s="826"/>
      <c r="AD3071" s="826"/>
      <c r="AE3071" s="826"/>
      <c r="AF3071" s="826"/>
      <c r="AG3071" s="826"/>
      <c r="AH3071" s="826"/>
      <c r="AI3071" s="826"/>
      <c r="AJ3071" s="826"/>
      <c r="AK3071" s="826"/>
      <c r="AL3071" s="826"/>
      <c r="AM3071" s="826"/>
    </row>
    <row r="3072" spans="1:39">
      <c r="B3072" s="792">
        <v>10</v>
      </c>
      <c r="C3072" s="13" t="s">
        <v>6234</v>
      </c>
      <c r="D3072" s="870" t="s">
        <v>6270</v>
      </c>
      <c r="E3072" s="870" t="s">
        <v>6271</v>
      </c>
      <c r="F3072" s="795">
        <v>8</v>
      </c>
      <c r="G3072" s="13" t="s">
        <v>128</v>
      </c>
      <c r="H3072" s="13"/>
      <c r="I3072" s="786">
        <v>500</v>
      </c>
      <c r="J3072" s="810"/>
      <c r="K3072" s="13" t="s">
        <v>2716</v>
      </c>
      <c r="L3072" s="813">
        <v>45217</v>
      </c>
      <c r="M3072" s="813"/>
      <c r="N3072" s="813"/>
      <c r="O3072" s="761" t="s">
        <v>62</v>
      </c>
      <c r="P3072" s="3" t="s">
        <v>6272</v>
      </c>
      <c r="Q3072" s="13"/>
      <c r="R3072" s="13"/>
      <c r="S3072" s="13"/>
      <c r="T3072" s="13"/>
      <c r="U3072" s="810"/>
      <c r="V3072" s="826"/>
      <c r="W3072" s="813"/>
      <c r="X3072" s="813"/>
      <c r="Y3072" s="813"/>
      <c r="Z3072" s="813"/>
      <c r="AA3072" s="826"/>
      <c r="AB3072" s="826"/>
      <c r="AC3072" s="826"/>
      <c r="AD3072" s="826"/>
      <c r="AE3072" s="826"/>
      <c r="AF3072" s="826"/>
      <c r="AG3072" s="826"/>
      <c r="AH3072" s="826"/>
      <c r="AI3072" s="826"/>
      <c r="AJ3072" s="826"/>
      <c r="AK3072" s="826"/>
      <c r="AL3072" s="826"/>
      <c r="AM3072" s="826"/>
    </row>
    <row r="3073" spans="1:39">
      <c r="B3073" s="792">
        <v>10</v>
      </c>
      <c r="C3073" s="13" t="s">
        <v>6234</v>
      </c>
      <c r="D3073" s="870" t="s">
        <v>6273</v>
      </c>
      <c r="E3073" s="870" t="s">
        <v>6274</v>
      </c>
      <c r="F3073" s="795">
        <v>9</v>
      </c>
      <c r="G3073" s="13" t="s">
        <v>128</v>
      </c>
      <c r="H3073" s="13"/>
      <c r="I3073" s="786">
        <v>497.9</v>
      </c>
      <c r="J3073" s="810"/>
      <c r="K3073" s="13" t="s">
        <v>2716</v>
      </c>
      <c r="L3073" s="813">
        <v>45216</v>
      </c>
      <c r="M3073" s="813"/>
      <c r="N3073" s="813"/>
      <c r="O3073" s="761" t="s">
        <v>62</v>
      </c>
      <c r="P3073" s="784" t="s">
        <v>6275</v>
      </c>
      <c r="Q3073" s="13"/>
      <c r="R3073" s="13"/>
      <c r="S3073" s="13"/>
      <c r="T3073" s="13"/>
      <c r="U3073" s="810"/>
      <c r="V3073" s="826"/>
      <c r="W3073" s="813"/>
      <c r="X3073" s="813"/>
      <c r="Y3073" s="813"/>
      <c r="Z3073" s="813"/>
      <c r="AA3073" s="826"/>
      <c r="AB3073" s="826"/>
      <c r="AC3073" s="826"/>
      <c r="AD3073" s="826"/>
      <c r="AE3073" s="826"/>
      <c r="AF3073" s="826"/>
      <c r="AG3073" s="826"/>
      <c r="AH3073" s="826"/>
      <c r="AI3073" s="826"/>
      <c r="AJ3073" s="826"/>
      <c r="AK3073" s="826"/>
      <c r="AL3073" s="826"/>
      <c r="AM3073" s="826"/>
    </row>
    <row r="3074" spans="1:39">
      <c r="B3074" s="792">
        <v>10</v>
      </c>
      <c r="C3074" s="13" t="s">
        <v>6234</v>
      </c>
      <c r="D3074" s="870" t="s">
        <v>6276</v>
      </c>
      <c r="E3074" s="870" t="s">
        <v>6277</v>
      </c>
      <c r="F3074" s="795">
        <v>10</v>
      </c>
      <c r="G3074" s="13" t="s">
        <v>128</v>
      </c>
      <c r="H3074" s="13"/>
      <c r="I3074" s="786">
        <v>503.7</v>
      </c>
      <c r="J3074" s="810"/>
      <c r="K3074" s="13" t="s">
        <v>2716</v>
      </c>
      <c r="L3074" s="813">
        <v>45217</v>
      </c>
      <c r="M3074" s="813"/>
      <c r="N3074" s="813"/>
      <c r="O3074" s="761" t="s">
        <v>62</v>
      </c>
      <c r="P3074" s="3" t="s">
        <v>6278</v>
      </c>
      <c r="Q3074" s="13"/>
      <c r="R3074" s="13"/>
      <c r="S3074" s="13"/>
      <c r="T3074" s="13"/>
      <c r="U3074" s="810"/>
      <c r="V3074" s="826"/>
      <c r="W3074" s="813"/>
      <c r="X3074" s="813"/>
      <c r="Y3074" s="813"/>
      <c r="Z3074" s="813"/>
      <c r="AA3074" s="826"/>
      <c r="AB3074" s="826"/>
      <c r="AC3074" s="826"/>
      <c r="AD3074" s="826"/>
      <c r="AE3074" s="826"/>
      <c r="AF3074" s="826"/>
      <c r="AG3074" s="826"/>
      <c r="AH3074" s="826"/>
      <c r="AI3074" s="826"/>
      <c r="AJ3074" s="826"/>
      <c r="AK3074" s="826"/>
      <c r="AL3074" s="826"/>
      <c r="AM3074" s="826"/>
    </row>
    <row r="3075" spans="1:39">
      <c r="B3075" s="792">
        <v>10</v>
      </c>
      <c r="C3075" s="13" t="s">
        <v>6234</v>
      </c>
      <c r="D3075" s="870" t="s">
        <v>6279</v>
      </c>
      <c r="E3075" s="870" t="s">
        <v>6280</v>
      </c>
      <c r="F3075" s="795">
        <v>11</v>
      </c>
      <c r="G3075" s="13" t="s">
        <v>128</v>
      </c>
      <c r="H3075" s="13"/>
      <c r="I3075" s="786">
        <v>499.4</v>
      </c>
      <c r="J3075" s="810"/>
      <c r="K3075" s="13" t="s">
        <v>2716</v>
      </c>
      <c r="L3075" s="813">
        <v>45217</v>
      </c>
      <c r="M3075" s="813"/>
      <c r="N3075" s="813"/>
      <c r="O3075" s="761" t="s">
        <v>62</v>
      </c>
      <c r="P3075" s="3" t="s">
        <v>6272</v>
      </c>
      <c r="Q3075" s="13"/>
      <c r="R3075" s="13"/>
      <c r="S3075" s="13"/>
      <c r="T3075" s="13"/>
      <c r="U3075" s="810"/>
      <c r="V3075" s="826"/>
      <c r="W3075" s="813"/>
      <c r="X3075" s="813"/>
      <c r="Y3075" s="813"/>
      <c r="Z3075" s="813"/>
      <c r="AA3075" s="826"/>
      <c r="AB3075" s="826"/>
      <c r="AC3075" s="826"/>
      <c r="AD3075" s="826"/>
      <c r="AE3075" s="826"/>
      <c r="AF3075" s="826"/>
      <c r="AG3075" s="826"/>
      <c r="AH3075" s="826"/>
      <c r="AI3075" s="826"/>
      <c r="AJ3075" s="826"/>
      <c r="AK3075" s="826"/>
      <c r="AL3075" s="826"/>
      <c r="AM3075" s="826"/>
    </row>
    <row r="3076" spans="1:39">
      <c r="B3076" s="792">
        <v>10</v>
      </c>
      <c r="C3076" s="13" t="s">
        <v>6234</v>
      </c>
      <c r="D3076" s="870" t="s">
        <v>6281</v>
      </c>
      <c r="E3076" s="870" t="s">
        <v>6282</v>
      </c>
      <c r="F3076" s="795">
        <v>12</v>
      </c>
      <c r="G3076" s="13" t="s">
        <v>128</v>
      </c>
      <c r="H3076" s="13"/>
      <c r="I3076" s="786">
        <v>502.7</v>
      </c>
      <c r="J3076" s="810"/>
      <c r="K3076" s="13" t="s">
        <v>2716</v>
      </c>
      <c r="L3076" s="813">
        <v>45217</v>
      </c>
      <c r="M3076" s="813"/>
      <c r="N3076" s="813"/>
      <c r="O3076" s="761" t="s">
        <v>62</v>
      </c>
      <c r="P3076" s="784" t="s">
        <v>6283</v>
      </c>
      <c r="Q3076" s="13"/>
      <c r="R3076" s="13"/>
      <c r="S3076" s="13"/>
      <c r="T3076" s="13"/>
      <c r="U3076" s="810"/>
      <c r="V3076" s="826"/>
      <c r="W3076" s="813"/>
      <c r="X3076" s="813"/>
      <c r="Y3076" s="813"/>
      <c r="Z3076" s="813"/>
      <c r="AA3076" s="826"/>
      <c r="AB3076" s="826"/>
      <c r="AC3076" s="826"/>
      <c r="AD3076" s="826"/>
      <c r="AE3076" s="826"/>
      <c r="AF3076" s="826"/>
      <c r="AG3076" s="826"/>
      <c r="AH3076" s="826"/>
      <c r="AI3076" s="826"/>
      <c r="AJ3076" s="826"/>
      <c r="AK3076" s="826"/>
      <c r="AL3076" s="826"/>
      <c r="AM3076" s="826"/>
    </row>
    <row r="3077" spans="1:39">
      <c r="B3077" s="792">
        <v>10</v>
      </c>
      <c r="C3077" s="13" t="s">
        <v>6234</v>
      </c>
      <c r="D3077" s="870" t="s">
        <v>6284</v>
      </c>
      <c r="E3077" s="870" t="s">
        <v>6285</v>
      </c>
      <c r="F3077" s="795">
        <v>13</v>
      </c>
      <c r="G3077" s="13" t="s">
        <v>128</v>
      </c>
      <c r="H3077" s="13"/>
      <c r="I3077" s="786">
        <v>503.11</v>
      </c>
      <c r="J3077" s="810"/>
      <c r="K3077" s="13" t="s">
        <v>2716</v>
      </c>
      <c r="L3077" s="813">
        <v>45218</v>
      </c>
      <c r="M3077" s="813"/>
      <c r="N3077" s="813"/>
      <c r="O3077" s="761" t="s">
        <v>62</v>
      </c>
      <c r="P3077" s="3" t="s">
        <v>6286</v>
      </c>
      <c r="Q3077" s="13"/>
      <c r="R3077" s="13"/>
      <c r="S3077" s="13"/>
      <c r="T3077" s="13"/>
      <c r="U3077" s="810"/>
      <c r="V3077" s="826"/>
      <c r="W3077" s="813"/>
      <c r="X3077" s="813"/>
      <c r="Y3077" s="813"/>
      <c r="Z3077" s="813"/>
      <c r="AA3077" s="826"/>
      <c r="AB3077" s="826"/>
      <c r="AC3077" s="826"/>
      <c r="AD3077" s="826"/>
      <c r="AE3077" s="826"/>
      <c r="AF3077" s="826"/>
      <c r="AG3077" s="826"/>
      <c r="AH3077" s="826"/>
      <c r="AI3077" s="826"/>
      <c r="AJ3077" s="826"/>
      <c r="AK3077" s="826"/>
      <c r="AL3077" s="826"/>
      <c r="AM3077" s="826"/>
    </row>
    <row r="3078" spans="1:39" s="710" customFormat="1" ht="32.25" customHeight="1">
      <c r="A3078" s="4"/>
      <c r="B3078" s="797"/>
      <c r="C3078" s="960" t="s">
        <v>6287</v>
      </c>
      <c r="D3078" s="807"/>
      <c r="E3078" s="874"/>
      <c r="F3078" s="808"/>
      <c r="G3078" s="807"/>
      <c r="H3078" s="807"/>
      <c r="I3078" s="807"/>
      <c r="J3078" s="807"/>
      <c r="K3078" s="807"/>
      <c r="L3078" s="819"/>
      <c r="M3078" s="819"/>
      <c r="N3078" s="819"/>
      <c r="O3078" s="819"/>
      <c r="P3078" s="820"/>
      <c r="Q3078" s="807"/>
      <c r="R3078" s="807"/>
      <c r="S3078" s="807"/>
      <c r="T3078" s="807"/>
      <c r="U3078" s="807"/>
      <c r="V3078" s="807"/>
      <c r="W3078" s="819"/>
      <c r="X3078" s="819"/>
      <c r="Y3078" s="819"/>
      <c r="Z3078" s="819"/>
    </row>
    <row r="3079" spans="1:39">
      <c r="B3079" s="1497" t="s">
        <v>163</v>
      </c>
      <c r="C3079" s="1067" t="s">
        <v>6288</v>
      </c>
      <c r="D3079" s="780" t="s">
        <v>6289</v>
      </c>
      <c r="E3079" s="780" t="s">
        <v>6290</v>
      </c>
      <c r="F3079" s="802">
        <v>1</v>
      </c>
      <c r="G3079" s="8" t="s">
        <v>1041</v>
      </c>
      <c r="H3079" s="8"/>
      <c r="I3079" s="8">
        <v>431.7</v>
      </c>
      <c r="J3079" s="8"/>
      <c r="K3079" s="8" t="s">
        <v>3333</v>
      </c>
      <c r="L3079" s="759">
        <v>44596</v>
      </c>
      <c r="M3079" s="759" t="s">
        <v>2094</v>
      </c>
      <c r="N3079" s="759"/>
      <c r="O3079" s="759" t="s">
        <v>62</v>
      </c>
      <c r="P3079" s="760" t="s">
        <v>6291</v>
      </c>
      <c r="Q3079" s="8"/>
      <c r="R3079" s="8"/>
      <c r="S3079" s="8" t="s">
        <v>1547</v>
      </c>
      <c r="T3079" s="8"/>
      <c r="U3079" s="8">
        <v>330.2</v>
      </c>
      <c r="V3079" s="35" t="s">
        <v>2094</v>
      </c>
      <c r="W3079" s="759"/>
      <c r="X3079" s="759" t="s">
        <v>2125</v>
      </c>
      <c r="Y3079" s="759">
        <v>44595</v>
      </c>
      <c r="Z3079" s="759" t="s">
        <v>62</v>
      </c>
      <c r="AA3079" s="35"/>
      <c r="AB3079" s="35"/>
      <c r="AC3079" s="35"/>
      <c r="AD3079" s="35"/>
      <c r="AE3079" s="35"/>
      <c r="AF3079" s="35"/>
      <c r="AG3079" s="35"/>
      <c r="AH3079" s="35"/>
      <c r="AI3079" s="35"/>
      <c r="AJ3079" s="35"/>
      <c r="AK3079" s="35"/>
      <c r="AL3079" s="35"/>
      <c r="AM3079" s="35"/>
    </row>
    <row r="3080" spans="1:39">
      <c r="B3080" s="1490" t="s">
        <v>163</v>
      </c>
      <c r="C3080" s="1068" t="s">
        <v>6288</v>
      </c>
      <c r="D3080" s="12" t="s">
        <v>6292</v>
      </c>
      <c r="E3080" s="12" t="s">
        <v>6293</v>
      </c>
      <c r="F3080" s="749">
        <v>2</v>
      </c>
      <c r="G3080" s="3" t="s">
        <v>1041</v>
      </c>
      <c r="H3080" s="3"/>
      <c r="I3080" s="3">
        <v>433.7</v>
      </c>
      <c r="J3080" s="3"/>
      <c r="K3080" s="3" t="str">
        <f>TEXT(L3080,"mmmm")</f>
        <v>February</v>
      </c>
      <c r="L3080" s="761">
        <v>44596</v>
      </c>
      <c r="M3080" s="761" t="str">
        <f>TEXT(N3080,"mmmm")</f>
        <v>January</v>
      </c>
      <c r="N3080" s="761"/>
      <c r="O3080" s="761" t="s">
        <v>62</v>
      </c>
      <c r="P3080" s="762" t="s">
        <v>6294</v>
      </c>
      <c r="Q3080" s="3"/>
      <c r="R3080" s="3"/>
      <c r="S3080" s="3" t="s">
        <v>1547</v>
      </c>
      <c r="T3080" s="3"/>
      <c r="U3080" s="3">
        <v>330.3</v>
      </c>
      <c r="V3080" s="4" t="s">
        <v>2094</v>
      </c>
      <c r="W3080" s="761"/>
      <c r="X3080" s="761" t="s">
        <v>2125</v>
      </c>
      <c r="Y3080" s="761">
        <v>44595</v>
      </c>
      <c r="Z3080" s="761" t="s">
        <v>62</v>
      </c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</row>
    <row r="3081" spans="1:39">
      <c r="B3081" s="1490" t="s">
        <v>163</v>
      </c>
      <c r="C3081" s="1068" t="s">
        <v>6288</v>
      </c>
      <c r="D3081" s="12" t="s">
        <v>6295</v>
      </c>
      <c r="E3081" s="12" t="s">
        <v>6296</v>
      </c>
      <c r="F3081" s="749">
        <v>3</v>
      </c>
      <c r="G3081" s="3" t="s">
        <v>1041</v>
      </c>
      <c r="H3081" s="3"/>
      <c r="I3081" s="3">
        <f>147.1+147.9+147.1</f>
        <v>442.1</v>
      </c>
      <c r="J3081" s="3"/>
      <c r="K3081" s="3" t="str">
        <f>TEXT(L3081,"mmmm")</f>
        <v>February</v>
      </c>
      <c r="L3081" s="761">
        <v>44596</v>
      </c>
      <c r="M3081" s="761" t="str">
        <f>TEXT(N3081,"mmmm")</f>
        <v>January</v>
      </c>
      <c r="N3081" s="761"/>
      <c r="O3081" s="761" t="s">
        <v>62</v>
      </c>
      <c r="P3081" s="762" t="s">
        <v>6297</v>
      </c>
      <c r="Q3081" s="3"/>
      <c r="R3081" s="3"/>
      <c r="S3081" s="3" t="s">
        <v>1547</v>
      </c>
      <c r="T3081" s="3"/>
      <c r="U3081" s="3">
        <v>330.2</v>
      </c>
      <c r="V3081" s="4" t="s">
        <v>2094</v>
      </c>
      <c r="W3081" s="761"/>
      <c r="X3081" s="761" t="s">
        <v>2125</v>
      </c>
      <c r="Y3081" s="761">
        <v>44595</v>
      </c>
      <c r="Z3081" s="761" t="s">
        <v>62</v>
      </c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  <c r="AM3081" s="4"/>
    </row>
    <row r="3082" spans="1:39">
      <c r="B3082" s="1490" t="s">
        <v>163</v>
      </c>
      <c r="C3082" s="1068" t="s">
        <v>6288</v>
      </c>
      <c r="D3082" s="12" t="s">
        <v>6298</v>
      </c>
      <c r="E3082" s="12" t="s">
        <v>6299</v>
      </c>
      <c r="F3082" s="749">
        <v>4</v>
      </c>
      <c r="G3082" s="3" t="s">
        <v>1041</v>
      </c>
      <c r="H3082" s="3"/>
      <c r="I3082" s="3">
        <f>144.8+148.2+145.3</f>
        <v>438.3</v>
      </c>
      <c r="J3082" s="3"/>
      <c r="K3082" s="3" t="str">
        <f>TEXT(L3082,"mmmm")</f>
        <v>February</v>
      </c>
      <c r="L3082" s="761">
        <v>44596</v>
      </c>
      <c r="M3082" s="761" t="str">
        <f>TEXT(N3082,"mmmm")</f>
        <v>January</v>
      </c>
      <c r="N3082" s="761"/>
      <c r="O3082" s="761" t="s">
        <v>62</v>
      </c>
      <c r="P3082" s="762" t="s">
        <v>6300</v>
      </c>
      <c r="Q3082" s="3"/>
      <c r="R3082" s="3"/>
      <c r="S3082" s="3" t="s">
        <v>1547</v>
      </c>
      <c r="T3082" s="3"/>
      <c r="U3082" s="3">
        <v>330.5</v>
      </c>
      <c r="V3082" s="4" t="s">
        <v>2094</v>
      </c>
      <c r="W3082" s="761"/>
      <c r="X3082" s="761" t="s">
        <v>2125</v>
      </c>
      <c r="Y3082" s="761">
        <v>44596</v>
      </c>
      <c r="Z3082" s="761" t="s">
        <v>62</v>
      </c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</row>
  </sheetData>
  <autoFilter ref="B4:AM3082" xr:uid="{00000000-0009-0000-0000-000002000000}"/>
  <sortState xmlns:xlrd2="http://schemas.microsoft.com/office/spreadsheetml/2017/richdata2" ref="B400:G436">
    <sortCondition ref="D433"/>
  </sortState>
  <mergeCells count="44">
    <mergeCell ref="C1:Z1"/>
    <mergeCell ref="C2:Z2"/>
    <mergeCell ref="C3:Z3"/>
    <mergeCell ref="G4:O4"/>
    <mergeCell ref="R4:Z4"/>
    <mergeCell ref="AA4:AM4"/>
    <mergeCell ref="G5:H5"/>
    <mergeCell ref="I5:J5"/>
    <mergeCell ref="K5:N5"/>
    <mergeCell ref="P5:Q5"/>
    <mergeCell ref="R5:S5"/>
    <mergeCell ref="T5:U5"/>
    <mergeCell ref="W5:Y5"/>
    <mergeCell ref="AA5:AB5"/>
    <mergeCell ref="AC5:AD5"/>
    <mergeCell ref="AE5:AF5"/>
    <mergeCell ref="AH5:AM5"/>
    <mergeCell ref="D2180:AM2180"/>
    <mergeCell ref="D2184:AM2184"/>
    <mergeCell ref="H2148:H2149"/>
    <mergeCell ref="I2148:I2149"/>
    <mergeCell ref="J2148:J2149"/>
    <mergeCell ref="P2148:P2149"/>
    <mergeCell ref="Q2148:Q2149"/>
    <mergeCell ref="R2148:R2149"/>
    <mergeCell ref="S2148:S2149"/>
    <mergeCell ref="T2148:T2149"/>
    <mergeCell ref="U2148:U2149"/>
    <mergeCell ref="V2148:V2149"/>
    <mergeCell ref="B2148:B2149"/>
    <mergeCell ref="D2148:D2149"/>
    <mergeCell ref="E2148:E2149"/>
    <mergeCell ref="F2148:F2149"/>
    <mergeCell ref="G2148:G2149"/>
    <mergeCell ref="Z555:Z557"/>
    <mergeCell ref="AG5:AG6"/>
    <mergeCell ref="W2148:AM2149"/>
    <mergeCell ref="R453:W454"/>
    <mergeCell ref="G555:Y557"/>
    <mergeCell ref="G1330:Z1331"/>
    <mergeCell ref="G1814:Z1816"/>
    <mergeCell ref="G595:O595"/>
    <mergeCell ref="S1321:Y1321"/>
    <mergeCell ref="R1708:W1708"/>
  </mergeCells>
  <pageMargins left="0.75" right="0.75" top="1" bottom="1" header="0.51180555555555596" footer="0.51180555555555596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B783"/>
  <sheetViews>
    <sheetView zoomScale="56" zoomScaleNormal="56" workbookViewId="0">
      <pane xSplit="3" ySplit="4" topLeftCell="MU9" activePane="bottomRight" state="frozen"/>
      <selection pane="topRight"/>
      <selection pane="bottomLeft"/>
      <selection pane="bottomRight" activeCell="NR57" sqref="NR57"/>
    </sheetView>
  </sheetViews>
  <sheetFormatPr defaultColWidth="9.109375" defaultRowHeight="13.2"/>
  <cols>
    <col min="1" max="1" width="9.109375" style="49"/>
    <col min="2" max="2" width="9.44140625" style="49" customWidth="1"/>
    <col min="3" max="3" width="9.109375" style="49"/>
    <col min="4" max="4" width="9.109375" style="49" hidden="1" customWidth="1"/>
    <col min="5" max="5" width="12.6640625" style="49" hidden="1" customWidth="1"/>
    <col min="6" max="6" width="11.77734375" style="49" hidden="1" customWidth="1"/>
    <col min="7" max="8" width="12.6640625" style="49" hidden="1" customWidth="1"/>
    <col min="9" max="9" width="11.77734375" style="49" hidden="1" customWidth="1"/>
    <col min="10" max="11" width="9.109375" style="49" hidden="1" customWidth="1"/>
    <col min="12" max="12" width="11.77734375" style="49" hidden="1" customWidth="1"/>
    <col min="13" max="14" width="9.109375" style="49" hidden="1" customWidth="1"/>
    <col min="15" max="15" width="11.77734375" style="49" hidden="1" customWidth="1"/>
    <col min="16" max="16" width="12.6640625" style="49" hidden="1" customWidth="1"/>
    <col min="17" max="17" width="17.6640625" style="49" hidden="1" customWidth="1"/>
    <col min="18" max="18" width="11.77734375" style="49" hidden="1" customWidth="1"/>
    <col min="19" max="19" width="17.6640625" style="49" hidden="1" customWidth="1"/>
    <col min="20" max="20" width="18.33203125" style="49" hidden="1" customWidth="1"/>
    <col min="21" max="21" width="16.109375" style="49" hidden="1" customWidth="1"/>
    <col min="22" max="22" width="17.6640625" style="49" hidden="1" customWidth="1"/>
    <col min="23" max="23" width="21.109375" style="49" hidden="1" customWidth="1"/>
    <col min="24" max="24" width="11.77734375" style="49" hidden="1" customWidth="1"/>
    <col min="25" max="25" width="17.6640625" style="49" hidden="1" customWidth="1"/>
    <col min="26" max="26" width="13.6640625" style="49" hidden="1" customWidth="1"/>
    <col min="27" max="27" width="11.109375" style="49" hidden="1" customWidth="1"/>
    <col min="28" max="29" width="12.6640625" style="49" hidden="1" customWidth="1"/>
    <col min="30" max="36" width="9.109375" style="49" hidden="1" customWidth="1"/>
    <col min="37" max="37" width="14.44140625" style="49" hidden="1" customWidth="1"/>
    <col min="38" max="38" width="17.6640625" style="49" hidden="1" customWidth="1"/>
    <col min="39" max="39" width="11.77734375" style="49" hidden="1" customWidth="1"/>
    <col min="40" max="40" width="12.6640625" style="49" hidden="1" customWidth="1"/>
    <col min="41" max="41" width="18" style="50" hidden="1" customWidth="1"/>
    <col min="42" max="42" width="11.77734375" style="49" hidden="1" customWidth="1"/>
    <col min="43" max="43" width="17.6640625" style="49" hidden="1" customWidth="1"/>
    <col min="44" max="44" width="18.44140625" style="49" hidden="1" customWidth="1"/>
    <col min="45" max="45" width="11.77734375" style="49" hidden="1" customWidth="1"/>
    <col min="46" max="46" width="17.6640625" style="49" hidden="1" customWidth="1"/>
    <col min="47" max="47" width="12.6640625" style="49" hidden="1" customWidth="1"/>
    <col min="48" max="48" width="11.77734375" style="49" hidden="1" customWidth="1"/>
    <col min="49" max="49" width="17.6640625" style="49" hidden="1" customWidth="1"/>
    <col min="50" max="50" width="12.6640625" style="49" hidden="1" customWidth="1"/>
    <col min="51" max="51" width="11.77734375" style="49" hidden="1" customWidth="1"/>
    <col min="52" max="52" width="9.33203125" style="49" hidden="1" customWidth="1"/>
    <col min="53" max="53" width="7.33203125" style="49" hidden="1" customWidth="1"/>
    <col min="54" max="54" width="11.77734375" style="49" hidden="1" customWidth="1"/>
    <col min="55" max="55" width="9.33203125" style="49" hidden="1" customWidth="1"/>
    <col min="56" max="56" width="7.33203125" style="49" hidden="1" customWidth="1"/>
    <col min="57" max="57" width="11.77734375" style="49" hidden="1" customWidth="1"/>
    <col min="58" max="58" width="17.6640625" style="49" hidden="1" customWidth="1"/>
    <col min="59" max="59" width="18.6640625" style="49" hidden="1" customWidth="1"/>
    <col min="60" max="63" width="9.109375" style="49" hidden="1" customWidth="1"/>
    <col min="64" max="64" width="12.6640625" style="49" hidden="1" customWidth="1"/>
    <col min="65" max="66" width="18" style="49" hidden="1" customWidth="1"/>
    <col min="67" max="67" width="16" style="49" hidden="1" customWidth="1"/>
    <col min="68" max="68" width="12.44140625" style="49" hidden="1" customWidth="1"/>
    <col min="69" max="69" width="9" style="49" hidden="1" customWidth="1"/>
    <col min="70" max="70" width="19.109375" style="49" hidden="1" customWidth="1"/>
    <col min="71" max="71" width="9.109375" style="49" hidden="1" customWidth="1"/>
    <col min="72" max="72" width="12.44140625" style="49" hidden="1" customWidth="1"/>
    <col min="73" max="73" width="9" style="49" hidden="1" customWidth="1"/>
    <col min="74" max="74" width="12.77734375" style="49" hidden="1" customWidth="1"/>
    <col min="75" max="80" width="9.109375" style="49" hidden="1" customWidth="1"/>
    <col min="81" max="81" width="11.77734375" style="49" hidden="1" customWidth="1"/>
    <col min="82" max="83" width="10.44140625" style="49" hidden="1" customWidth="1"/>
    <col min="84" max="84" width="9.109375" style="49" hidden="1" customWidth="1"/>
    <col min="85" max="85" width="10.44140625" style="49" hidden="1" customWidth="1"/>
    <col min="86" max="87" width="17.77734375" style="49" hidden="1" customWidth="1"/>
    <col min="88" max="88" width="9.109375" style="49" hidden="1" customWidth="1"/>
    <col min="89" max="89" width="10.44140625" style="49" hidden="1" customWidth="1"/>
    <col min="90" max="90" width="8.6640625" style="49" hidden="1" customWidth="1"/>
    <col min="91" max="91" width="15" style="49" hidden="1" customWidth="1"/>
    <col min="92" max="94" width="9.109375" style="49" hidden="1" customWidth="1"/>
    <col min="95" max="95" width="13.109375" style="49" hidden="1" customWidth="1"/>
    <col min="96" max="98" width="9.109375" style="49" hidden="1" customWidth="1"/>
    <col min="99" max="99" width="10.44140625" style="49" hidden="1" customWidth="1"/>
    <col min="100" max="100" width="17.6640625" style="49" hidden="1" customWidth="1"/>
    <col min="101" max="101" width="9.109375" style="49" hidden="1" customWidth="1"/>
    <col min="102" max="102" width="12.6640625" style="49" hidden="1" customWidth="1"/>
    <col min="103" max="107" width="9.109375" style="49" hidden="1" customWidth="1"/>
    <col min="108" max="108" width="12.44140625" style="49" hidden="1" customWidth="1"/>
    <col min="109" max="109" width="17.6640625" style="49" hidden="1" customWidth="1"/>
    <col min="110" max="110" width="9.109375" style="49" hidden="1" customWidth="1"/>
    <col min="111" max="112" width="13.6640625" style="49" hidden="1" customWidth="1"/>
    <col min="113" max="113" width="9.109375" style="49" hidden="1" customWidth="1"/>
    <col min="114" max="114" width="10.44140625" style="49" hidden="1" customWidth="1"/>
    <col min="115" max="115" width="16.6640625" style="49" hidden="1" customWidth="1"/>
    <col min="116" max="116" width="15.109375" style="49" hidden="1" customWidth="1"/>
    <col min="117" max="117" width="13.6640625" style="49" hidden="1" customWidth="1"/>
    <col min="118" max="118" width="16.109375" style="49" hidden="1" customWidth="1"/>
    <col min="119" max="119" width="11" style="49" hidden="1" customWidth="1"/>
    <col min="120" max="120" width="10.44140625" style="49" hidden="1" customWidth="1"/>
    <col min="121" max="121" width="11.44140625" style="49" hidden="1" customWidth="1"/>
    <col min="122" max="123" width="9.109375" style="49" hidden="1" customWidth="1"/>
    <col min="124" max="124" width="12.6640625" style="49" hidden="1" customWidth="1"/>
    <col min="125" max="128" width="9.109375" style="49" hidden="1" customWidth="1"/>
    <col min="129" max="129" width="12.6640625" style="49" hidden="1" customWidth="1"/>
    <col min="130" max="130" width="13.6640625" style="49" hidden="1" customWidth="1"/>
    <col min="131" max="131" width="11.77734375" style="49" hidden="1" customWidth="1"/>
    <col min="132" max="134" width="9.109375" style="49" hidden="1" customWidth="1"/>
    <col min="135" max="135" width="10.44140625" style="49" hidden="1" customWidth="1"/>
    <col min="136" max="136" width="16.44140625" style="49" hidden="1" customWidth="1"/>
    <col min="137" max="137" width="9.109375" style="49" hidden="1" customWidth="1"/>
    <col min="138" max="139" width="12.6640625" style="49" hidden="1" customWidth="1"/>
    <col min="140" max="140" width="9.109375" style="49" hidden="1" customWidth="1"/>
    <col min="141" max="142" width="12.6640625" style="49" hidden="1" customWidth="1"/>
    <col min="143" max="143" width="11.77734375" style="49" hidden="1" customWidth="1"/>
    <col min="144" max="148" width="9.109375" style="49" hidden="1" customWidth="1"/>
    <col min="149" max="149" width="11.77734375" style="49" hidden="1" customWidth="1"/>
    <col min="150" max="151" width="12.6640625" style="49" hidden="1" customWidth="1"/>
    <col min="152" max="152" width="17.6640625" style="49" hidden="1" customWidth="1"/>
    <col min="153" max="155" width="9.109375" style="49" hidden="1" customWidth="1"/>
    <col min="156" max="156" width="13" style="49" hidden="1" customWidth="1"/>
    <col min="157" max="157" width="13.109375" style="49" hidden="1" customWidth="1"/>
    <col min="158" max="158" width="9.109375" style="49" hidden="1" customWidth="1"/>
    <col min="159" max="160" width="12.6640625" style="49" hidden="1" customWidth="1"/>
    <col min="161" max="161" width="11.77734375" style="49" hidden="1" customWidth="1"/>
    <col min="162" max="163" width="12.6640625" style="49" hidden="1" customWidth="1"/>
    <col min="164" max="164" width="11.77734375" style="49" hidden="1" customWidth="1"/>
    <col min="165" max="170" width="9.109375" style="49" hidden="1" customWidth="1"/>
    <col min="171" max="171" width="11" style="49" hidden="1" customWidth="1"/>
    <col min="172" max="172" width="12.6640625" style="49" hidden="1" customWidth="1"/>
    <col min="173" max="173" width="17.6640625" style="49" hidden="1" customWidth="1"/>
    <col min="174" max="175" width="10.44140625" style="49" hidden="1" customWidth="1"/>
    <col min="176" max="176" width="17.6640625" style="49" hidden="1" customWidth="1"/>
    <col min="177" max="177" width="12.6640625" style="49" hidden="1" customWidth="1"/>
    <col min="178" max="178" width="10.44140625" style="49" hidden="1" customWidth="1"/>
    <col min="179" max="179" width="20.6640625" style="49" hidden="1" customWidth="1"/>
    <col min="180" max="180" width="10.44140625" style="49" hidden="1" customWidth="1"/>
    <col min="181" max="181" width="15.109375" style="49" hidden="1" customWidth="1"/>
    <col min="182" max="183" width="9.109375" style="49" hidden="1" customWidth="1"/>
    <col min="184" max="184" width="11" style="49" hidden="1" customWidth="1"/>
    <col min="185" max="185" width="11.77734375" style="49" hidden="1" customWidth="1"/>
    <col min="186" max="191" width="9.109375" style="49" hidden="1" customWidth="1"/>
    <col min="192" max="193" width="10.44140625" style="49" hidden="1" customWidth="1"/>
    <col min="194" max="194" width="18.109375" style="49" hidden="1" customWidth="1"/>
    <col min="195" max="195" width="10.44140625" style="49" hidden="1" customWidth="1"/>
    <col min="196" max="196" width="13.109375" style="49" hidden="1" customWidth="1"/>
    <col min="197" max="197" width="9.109375" style="49" hidden="1" customWidth="1"/>
    <col min="198" max="198" width="12.6640625" style="49" hidden="1" customWidth="1"/>
    <col min="199" max="199" width="16.33203125" style="51" hidden="1" customWidth="1"/>
    <col min="200" max="200" width="13.44140625" style="49" hidden="1" customWidth="1"/>
    <col min="201" max="201" width="12.6640625" style="49" hidden="1" customWidth="1"/>
    <col min="202" max="202" width="13.109375" style="49" hidden="1" customWidth="1"/>
    <col min="203" max="203" width="31" style="49" hidden="1" customWidth="1"/>
    <col min="204" max="204" width="12.6640625" style="49" hidden="1" customWidth="1"/>
    <col min="205" max="205" width="13.109375" style="49" hidden="1" customWidth="1"/>
    <col min="206" max="206" width="20.6640625" style="49" hidden="1" customWidth="1"/>
    <col min="207" max="207" width="10.44140625" style="49" hidden="1" customWidth="1"/>
    <col min="208" max="208" width="12.109375" style="49" hidden="1" customWidth="1"/>
    <col min="209" max="209" width="15.44140625" style="49" hidden="1" customWidth="1"/>
    <col min="210" max="212" width="9.109375" style="49" hidden="1" customWidth="1"/>
    <col min="213" max="213" width="12.6640625" style="49" hidden="1" customWidth="1"/>
    <col min="214" max="214" width="13.109375" style="49" hidden="1" customWidth="1"/>
    <col min="215" max="215" width="9.109375" style="49" hidden="1" customWidth="1"/>
    <col min="216" max="216" width="13.109375" style="49" hidden="1" customWidth="1"/>
    <col min="217" max="217" width="12.6640625" style="49" hidden="1" customWidth="1"/>
    <col min="218" max="218" width="22.44140625" style="49" hidden="1" customWidth="1"/>
    <col min="219" max="219" width="9.33203125" style="49" hidden="1" customWidth="1"/>
    <col min="220" max="220" width="14.33203125" style="49" hidden="1" customWidth="1"/>
    <col min="221" max="221" width="26.109375" style="49" hidden="1" customWidth="1"/>
    <col min="222" max="222" width="12.6640625" style="49" hidden="1" customWidth="1"/>
    <col min="223" max="223" width="12.109375" style="49" hidden="1" customWidth="1"/>
    <col min="224" max="224" width="15.77734375" style="49" hidden="1" customWidth="1"/>
    <col min="225" max="225" width="9.109375" style="49" hidden="1" customWidth="1"/>
    <col min="226" max="226" width="12.6640625" style="49" hidden="1" customWidth="1"/>
    <col min="227" max="228" width="27.6640625" style="49" hidden="1" customWidth="1"/>
    <col min="229" max="229" width="16.109375" style="49" hidden="1" customWidth="1"/>
    <col min="230" max="231" width="14" style="49" hidden="1" customWidth="1"/>
    <col min="232" max="234" width="9.109375" style="49" hidden="1" customWidth="1"/>
    <col min="235" max="235" width="10.44140625" style="49" hidden="1" customWidth="1"/>
    <col min="236" max="236" width="9.109375" style="49" hidden="1" customWidth="1"/>
    <col min="237" max="237" width="12.6640625" style="52" hidden="1" customWidth="1"/>
    <col min="238" max="238" width="12.6640625" style="49" hidden="1" customWidth="1"/>
    <col min="239" max="239" width="9.109375" style="53" hidden="1" customWidth="1"/>
    <col min="240" max="240" width="12.6640625" style="52" hidden="1" customWidth="1"/>
    <col min="241" max="241" width="13.109375" style="51" hidden="1" customWidth="1"/>
    <col min="242" max="242" width="9.109375" style="53" hidden="1" customWidth="1"/>
    <col min="243" max="243" width="12.6640625" style="52" hidden="1" customWidth="1"/>
    <col min="244" max="244" width="12.6640625" style="49" hidden="1" customWidth="1"/>
    <col min="245" max="245" width="22.44140625" style="53" hidden="1" customWidth="1"/>
    <col min="246" max="246" width="12.6640625" style="52" hidden="1" customWidth="1"/>
    <col min="247" max="247" width="12.6640625" style="49" hidden="1" customWidth="1"/>
    <col min="248" max="248" width="16.109375" style="53" hidden="1" customWidth="1"/>
    <col min="249" max="249" width="9.109375" style="52" hidden="1" customWidth="1"/>
    <col min="250" max="250" width="9.109375" style="49" hidden="1" customWidth="1"/>
    <col min="251" max="251" width="9.109375" style="53" hidden="1" customWidth="1"/>
    <col min="252" max="252" width="9.109375" style="52" hidden="1" customWidth="1"/>
    <col min="253" max="253" width="9.109375" style="49" hidden="1" customWidth="1"/>
    <col min="254" max="254" width="9.109375" style="53" hidden="1" customWidth="1"/>
    <col min="255" max="255" width="12.6640625" style="52" hidden="1" customWidth="1"/>
    <col min="256" max="256" width="9.109375" style="49" hidden="1" customWidth="1"/>
    <col min="257" max="257" width="15.44140625" style="53" hidden="1" customWidth="1"/>
    <col min="258" max="258" width="12.6640625" style="52" hidden="1" customWidth="1"/>
    <col min="259" max="259" width="12.6640625" style="49" hidden="1" customWidth="1"/>
    <col min="260" max="260" width="9.109375" style="53" hidden="1" customWidth="1"/>
    <col min="261" max="261" width="12.6640625" style="52" hidden="1" customWidth="1"/>
    <col min="262" max="262" width="12.6640625" style="49" hidden="1" customWidth="1"/>
    <col min="263" max="263" width="9.109375" style="53" hidden="1" customWidth="1"/>
    <col min="264" max="264" width="12.6640625" style="52" hidden="1" customWidth="1"/>
    <col min="265" max="265" width="13.77734375" style="49" hidden="1" customWidth="1"/>
    <col min="266" max="266" width="24" style="53" hidden="1" customWidth="1"/>
    <col min="267" max="267" width="11.44140625" style="52" hidden="1" customWidth="1"/>
    <col min="268" max="268" width="13.77734375" style="49" hidden="1" customWidth="1"/>
    <col min="269" max="269" width="9.109375" style="53" hidden="1" customWidth="1"/>
    <col min="270" max="270" width="9.109375" style="52" hidden="1" customWidth="1"/>
    <col min="271" max="271" width="9.109375" style="49" hidden="1" customWidth="1"/>
    <col min="272" max="272" width="9.109375" style="53" hidden="1" customWidth="1"/>
    <col min="273" max="273" width="9.109375" style="52" hidden="1" customWidth="1"/>
    <col min="274" max="274" width="9.109375" style="49" hidden="1" customWidth="1"/>
    <col min="275" max="275" width="9.109375" style="53" hidden="1" customWidth="1"/>
    <col min="276" max="276" width="11.44140625" style="52" hidden="1" customWidth="1"/>
    <col min="277" max="277" width="14.33203125" style="49" hidden="1" customWidth="1"/>
    <col min="278" max="278" width="17.6640625" style="53" hidden="1" customWidth="1"/>
    <col min="279" max="279" width="13.77734375" style="49" hidden="1" customWidth="1"/>
    <col min="280" max="280" width="14.33203125" style="54" hidden="1" customWidth="1"/>
    <col min="281" max="281" width="17.6640625" style="49" hidden="1" customWidth="1"/>
    <col min="282" max="282" width="12.6640625" style="49" hidden="1" customWidth="1"/>
    <col min="283" max="283" width="13.77734375" style="49" hidden="1" customWidth="1"/>
    <col min="284" max="284" width="17.6640625" style="49" hidden="1" customWidth="1"/>
    <col min="285" max="286" width="13.77734375" style="49" hidden="1" customWidth="1"/>
    <col min="287" max="287" width="9.109375" style="49" hidden="1" customWidth="1"/>
    <col min="288" max="288" width="16.109375" style="49" hidden="1" customWidth="1"/>
    <col min="289" max="289" width="13.77734375" style="49" hidden="1" customWidth="1"/>
    <col min="290" max="290" width="17.44140625" style="49" hidden="1" customWidth="1"/>
    <col min="291" max="296" width="9.109375" style="49" hidden="1" customWidth="1"/>
    <col min="297" max="298" width="13.77734375" style="49" hidden="1" customWidth="1"/>
    <col min="299" max="299" width="9.109375" style="49" hidden="1" customWidth="1"/>
    <col min="300" max="301" width="13.77734375" style="49" hidden="1" customWidth="1"/>
    <col min="302" max="302" width="11.77734375" style="49" hidden="1" customWidth="1"/>
    <col min="303" max="303" width="10.6640625" style="49" hidden="1" customWidth="1"/>
    <col min="304" max="304" width="13.77734375" style="49" hidden="1" customWidth="1"/>
    <col min="305" max="305" width="17.6640625" style="49" hidden="1" customWidth="1"/>
    <col min="306" max="342" width="9.109375" style="49" hidden="1" customWidth="1"/>
    <col min="343" max="343" width="11.44140625" style="49" customWidth="1"/>
    <col min="344" max="344" width="13.77734375" style="49" customWidth="1"/>
    <col min="345" max="345" width="17.6640625" style="49" customWidth="1"/>
    <col min="346" max="346" width="11.44140625" style="49" customWidth="1"/>
    <col min="347" max="347" width="13.77734375" style="49" customWidth="1"/>
    <col min="348" max="348" width="17.6640625" style="49" customWidth="1"/>
    <col min="349" max="349" width="12.109375" style="49" customWidth="1"/>
    <col min="350" max="351" width="17.6640625" style="49" customWidth="1"/>
    <col min="352" max="352" width="11.44140625" style="49" customWidth="1"/>
    <col min="353" max="353" width="9.44140625" style="49" customWidth="1"/>
    <col min="354" max="354" width="9.109375" style="49"/>
    <col min="355" max="355" width="11.44140625" style="49" customWidth="1"/>
    <col min="356" max="356" width="13.77734375" style="49" customWidth="1"/>
    <col min="357" max="363" width="9.109375" style="49"/>
    <col min="364" max="364" width="11.44140625" style="49" customWidth="1"/>
    <col min="365" max="365" width="13.77734375" style="49" customWidth="1"/>
    <col min="366" max="366" width="9.109375" style="49"/>
    <col min="367" max="367" width="11.44140625" style="49" customWidth="1"/>
    <col min="368" max="368" width="13.77734375" style="49" customWidth="1"/>
    <col min="369" max="369" width="9.109375" style="49"/>
    <col min="370" max="370" width="11.44140625" style="49" customWidth="1"/>
    <col min="371" max="375" width="9.109375" style="49"/>
    <col min="376" max="376" width="11.44140625" style="49" customWidth="1"/>
    <col min="377" max="377" width="13.77734375" style="49" customWidth="1"/>
    <col min="378" max="16384" width="9.109375" style="49"/>
  </cols>
  <sheetData>
    <row r="1" spans="1:392">
      <c r="A1" s="1636" t="s">
        <v>6301</v>
      </c>
      <c r="B1" s="1636"/>
      <c r="C1" s="1636"/>
      <c r="D1" s="1636"/>
      <c r="E1" s="1636"/>
      <c r="F1" s="1636"/>
      <c r="G1" s="1636"/>
      <c r="H1" s="1636"/>
      <c r="I1" s="1636"/>
      <c r="J1" s="1636"/>
      <c r="K1" s="1636"/>
      <c r="L1" s="1636"/>
      <c r="M1" s="1636"/>
      <c r="N1" s="1636"/>
      <c r="O1" s="1636"/>
      <c r="P1" s="1636"/>
      <c r="Q1" s="1636"/>
      <c r="R1" s="1636"/>
      <c r="S1" s="1636"/>
      <c r="T1" s="1636"/>
      <c r="U1" s="1636"/>
      <c r="V1" s="1636"/>
      <c r="W1" s="1636"/>
      <c r="X1" s="1636"/>
      <c r="Y1" s="1636"/>
      <c r="Z1" s="1636"/>
      <c r="AA1" s="1636"/>
      <c r="AB1" s="1636"/>
      <c r="AC1" s="1636"/>
      <c r="AD1" s="1636"/>
      <c r="AE1" s="1636"/>
      <c r="AF1" s="1636"/>
      <c r="AG1" s="1636"/>
      <c r="AH1" s="1636"/>
      <c r="AI1" s="1636"/>
      <c r="AJ1" s="1636"/>
      <c r="AK1" s="1636"/>
      <c r="AL1" s="1636"/>
      <c r="AM1" s="1636"/>
      <c r="AN1" s="1636"/>
      <c r="AO1" s="1636"/>
      <c r="AP1" s="1636"/>
      <c r="AQ1" s="1636"/>
      <c r="AR1" s="1636"/>
      <c r="AS1" s="1636"/>
      <c r="AT1" s="1636"/>
      <c r="AU1" s="1636"/>
      <c r="AV1" s="1636"/>
      <c r="AW1" s="1636"/>
      <c r="AX1" s="1636"/>
      <c r="AY1" s="1636"/>
      <c r="AZ1" s="1636"/>
      <c r="BA1" s="1636"/>
      <c r="BB1" s="1636"/>
      <c r="BC1" s="1636"/>
      <c r="BD1" s="1636"/>
      <c r="BE1" s="1636"/>
      <c r="BF1" s="1636"/>
      <c r="BG1" s="1636"/>
      <c r="BH1" s="1636"/>
      <c r="BI1" s="1636"/>
      <c r="BJ1" s="1636"/>
      <c r="BK1" s="1636"/>
      <c r="BL1" s="1636"/>
      <c r="BM1" s="1636"/>
      <c r="BN1" s="1636"/>
      <c r="BO1" s="1636"/>
      <c r="BP1" s="1636"/>
      <c r="BQ1" s="1636"/>
      <c r="BR1" s="1636"/>
      <c r="BS1" s="1636"/>
      <c r="BT1" s="1636"/>
      <c r="BU1" s="1636"/>
      <c r="BV1" s="1636"/>
      <c r="BW1" s="1636"/>
      <c r="BX1" s="1636"/>
      <c r="BY1" s="1636"/>
      <c r="BZ1" s="1636"/>
      <c r="CA1" s="1636"/>
      <c r="CB1" s="1636"/>
      <c r="CC1" s="1636"/>
      <c r="CD1" s="1636"/>
      <c r="CE1" s="1636"/>
      <c r="CF1" s="1636"/>
      <c r="CG1" s="1636"/>
      <c r="CH1" s="1636"/>
      <c r="CI1" s="1636"/>
      <c r="CJ1" s="1636"/>
      <c r="CK1" s="1636"/>
      <c r="CL1" s="1636"/>
      <c r="CM1" s="1636"/>
      <c r="CN1" s="1636"/>
      <c r="CO1" s="1636"/>
      <c r="CP1" s="1636"/>
      <c r="CQ1" s="1636"/>
      <c r="CR1" s="1636"/>
      <c r="CS1" s="1636"/>
      <c r="CT1" s="1636"/>
      <c r="CU1" s="1636"/>
      <c r="CV1" s="1636"/>
      <c r="CW1" s="1636"/>
      <c r="CX1" s="1636"/>
      <c r="CY1" s="1636"/>
      <c r="CZ1" s="1636"/>
      <c r="DA1" s="1636"/>
      <c r="DB1" s="1636"/>
      <c r="DC1" s="1636"/>
      <c r="DD1" s="1636"/>
      <c r="DE1" s="1636"/>
      <c r="DF1" s="1636"/>
      <c r="DG1" s="1636"/>
      <c r="DH1" s="1636"/>
      <c r="DI1" s="1636"/>
      <c r="DJ1" s="1636"/>
      <c r="DK1" s="1636"/>
      <c r="DL1" s="1636"/>
      <c r="DM1" s="1636"/>
      <c r="DN1" s="1636"/>
      <c r="DO1" s="1636"/>
      <c r="DP1" s="1636"/>
      <c r="DQ1" s="1636"/>
      <c r="DR1" s="1636"/>
      <c r="DS1" s="1636"/>
      <c r="DT1" s="1636"/>
      <c r="DU1" s="1636"/>
      <c r="DV1" s="1636"/>
      <c r="DW1" s="1636"/>
      <c r="DX1" s="1636"/>
      <c r="DY1" s="1636"/>
      <c r="DZ1" s="1636"/>
      <c r="EA1" s="1636"/>
      <c r="EB1" s="1636"/>
      <c r="EC1" s="1636"/>
      <c r="ED1" s="1636"/>
      <c r="EE1" s="1636"/>
      <c r="EF1" s="1636"/>
      <c r="EG1" s="1636"/>
      <c r="EH1" s="1636"/>
      <c r="EI1" s="1636"/>
      <c r="EJ1" s="1636"/>
      <c r="EK1" s="1636"/>
      <c r="EL1" s="1636"/>
      <c r="EM1" s="1636"/>
      <c r="EN1" s="1636"/>
      <c r="EO1" s="1636"/>
      <c r="EP1" s="1636"/>
      <c r="EQ1" s="1636"/>
      <c r="ER1" s="1636"/>
      <c r="ES1" s="1636"/>
      <c r="ET1" s="1636"/>
      <c r="EU1" s="1636"/>
      <c r="EV1" s="1636"/>
      <c r="EW1" s="1636"/>
      <c r="EX1" s="1636"/>
      <c r="EY1" s="1636"/>
      <c r="EZ1" s="1636"/>
      <c r="FA1" s="1636"/>
      <c r="FB1" s="1636"/>
      <c r="FC1" s="1636"/>
      <c r="FD1" s="1636"/>
      <c r="FE1" s="1636"/>
      <c r="FF1" s="1636"/>
      <c r="FG1" s="1636"/>
      <c r="FH1" s="1636"/>
      <c r="FI1" s="1636"/>
      <c r="FJ1" s="1636"/>
      <c r="FK1" s="1636"/>
      <c r="FL1" s="1636"/>
      <c r="FM1" s="1636"/>
      <c r="FN1" s="1636"/>
      <c r="FO1" s="1636"/>
      <c r="FP1" s="1636"/>
      <c r="FQ1" s="1636"/>
      <c r="FR1" s="1636"/>
      <c r="FS1" s="1636"/>
      <c r="FT1" s="1636"/>
      <c r="FU1" s="1636"/>
      <c r="FV1" s="1636"/>
      <c r="FW1" s="1636"/>
      <c r="FX1" s="1636"/>
      <c r="FY1" s="1636"/>
      <c r="FZ1" s="1636"/>
      <c r="GA1" s="1636"/>
      <c r="GB1" s="1636"/>
      <c r="GC1" s="1636"/>
      <c r="GD1" s="1636"/>
      <c r="GE1" s="1636"/>
      <c r="GF1" s="1636"/>
      <c r="GG1" s="1636"/>
      <c r="GH1" s="1636"/>
      <c r="GI1" s="1636"/>
      <c r="GJ1" s="1636"/>
      <c r="GK1" s="1636"/>
      <c r="GL1" s="1636"/>
      <c r="GM1" s="1636"/>
      <c r="GN1" s="1636"/>
      <c r="GO1" s="1636"/>
      <c r="GP1" s="1636"/>
      <c r="GQ1" s="1636"/>
      <c r="GR1" s="1636"/>
      <c r="GS1" s="1636"/>
      <c r="GT1" s="1636"/>
      <c r="GU1" s="1636"/>
      <c r="GV1" s="1636"/>
      <c r="GW1" s="1636"/>
      <c r="GX1" s="1636"/>
      <c r="GY1" s="1636"/>
      <c r="GZ1" s="1636"/>
      <c r="HA1" s="1636"/>
      <c r="HB1" s="1636"/>
      <c r="HC1" s="1636"/>
      <c r="HD1" s="1636"/>
      <c r="HE1" s="1636"/>
      <c r="HF1" s="1636"/>
      <c r="HG1" s="1636"/>
      <c r="HH1" s="1636"/>
      <c r="HI1" s="1636"/>
      <c r="HJ1" s="1636"/>
      <c r="HK1" s="1636"/>
      <c r="HL1" s="1636"/>
      <c r="HM1" s="1636"/>
      <c r="HN1" s="1636"/>
      <c r="HO1" s="1636"/>
      <c r="HP1" s="1636"/>
      <c r="HQ1" s="1636"/>
      <c r="HR1" s="1636"/>
      <c r="HS1" s="1636"/>
      <c r="HT1" s="1636"/>
      <c r="HU1" s="1636"/>
      <c r="HV1" s="1636"/>
      <c r="HW1" s="1636"/>
      <c r="HX1" s="1636"/>
      <c r="HY1" s="1636"/>
      <c r="HZ1" s="1636"/>
      <c r="IA1" s="1636"/>
      <c r="IB1" s="1636"/>
      <c r="IC1" s="1636"/>
      <c r="ID1" s="1636"/>
      <c r="IE1" s="1636"/>
      <c r="IF1" s="1636"/>
      <c r="IG1" s="1636"/>
      <c r="IH1" s="1636"/>
      <c r="II1" s="1636"/>
      <c r="IJ1" s="1636"/>
      <c r="IK1" s="1636"/>
      <c r="IL1" s="1636"/>
      <c r="IM1" s="1636"/>
      <c r="IN1" s="1636"/>
      <c r="IO1" s="1636"/>
      <c r="IP1" s="1636"/>
      <c r="IQ1" s="1636"/>
      <c r="IR1" s="1636"/>
      <c r="IS1" s="1636"/>
      <c r="IT1" s="1636"/>
      <c r="IU1" s="1636"/>
      <c r="IV1" s="1636"/>
      <c r="IW1" s="1636"/>
      <c r="IX1" s="1636"/>
      <c r="IY1" s="1636"/>
      <c r="IZ1" s="1636"/>
      <c r="JA1" s="1636"/>
      <c r="JB1" s="1636"/>
      <c r="JC1" s="1636"/>
      <c r="JD1" s="1636"/>
      <c r="JE1" s="1636"/>
      <c r="JF1" s="1636"/>
      <c r="JG1" s="1636"/>
      <c r="JH1" s="1636"/>
      <c r="JI1" s="1636"/>
      <c r="JJ1" s="1636"/>
      <c r="JK1" s="1636"/>
      <c r="JL1" s="1636"/>
      <c r="JM1" s="1636"/>
      <c r="JN1" s="1636"/>
      <c r="JO1" s="1636"/>
      <c r="JP1" s="1636"/>
      <c r="JQ1" s="1636"/>
      <c r="JR1" s="1636"/>
      <c r="JS1" s="1636"/>
      <c r="JT1" s="1636"/>
      <c r="JU1" s="1636"/>
      <c r="JV1" s="1636"/>
      <c r="JW1" s="1636"/>
      <c r="JX1" s="1636"/>
      <c r="JY1" s="1636"/>
      <c r="JZ1" s="1636"/>
      <c r="KA1" s="1636"/>
      <c r="KB1" s="1636"/>
      <c r="KC1" s="1636"/>
      <c r="KD1" s="1636"/>
      <c r="KE1" s="1636"/>
      <c r="KF1" s="1636"/>
      <c r="KG1" s="1636"/>
      <c r="KH1" s="1636"/>
      <c r="KI1" s="1636"/>
      <c r="KJ1" s="1636"/>
      <c r="KK1" s="1636"/>
      <c r="KL1" s="1636"/>
      <c r="KM1" s="1636"/>
      <c r="KN1" s="1636"/>
      <c r="KO1" s="1636"/>
      <c r="KP1" s="1636"/>
      <c r="KQ1" s="1636"/>
      <c r="KR1" s="1636"/>
      <c r="KS1" s="1636"/>
      <c r="KT1" s="1636"/>
      <c r="KU1" s="1636"/>
      <c r="KV1" s="1636"/>
      <c r="KW1" s="1636"/>
      <c r="KX1" s="1636"/>
      <c r="KY1" s="1636"/>
      <c r="KZ1" s="1636"/>
      <c r="LA1" s="1636"/>
      <c r="LB1" s="1636"/>
      <c r="LC1" s="1636"/>
      <c r="LD1" s="1636"/>
      <c r="LE1" s="1636"/>
      <c r="LF1" s="1636"/>
      <c r="LG1" s="1636"/>
      <c r="LH1" s="1636"/>
      <c r="LI1" s="1636"/>
      <c r="LJ1" s="1636"/>
      <c r="LK1" s="1636"/>
      <c r="LL1" s="1636"/>
      <c r="LM1" s="1636"/>
      <c r="LN1" s="1636"/>
      <c r="LO1" s="1636"/>
      <c r="LP1" s="1636"/>
      <c r="LQ1" s="1636"/>
      <c r="LR1" s="1636"/>
      <c r="LS1" s="1636"/>
      <c r="LT1" s="1636"/>
      <c r="LU1" s="1636"/>
      <c r="LV1" s="1636"/>
      <c r="LW1" s="1636"/>
      <c r="LX1" s="1636"/>
      <c r="LY1" s="1636"/>
      <c r="LZ1" s="1636"/>
      <c r="MA1" s="1636"/>
      <c r="MB1" s="1636"/>
      <c r="MC1" s="1636"/>
      <c r="MD1" s="1636"/>
      <c r="ME1" s="1636"/>
      <c r="MF1" s="1636"/>
      <c r="MG1" s="1636"/>
      <c r="MH1" s="1636"/>
      <c r="MI1" s="1636"/>
      <c r="MJ1" s="1636"/>
      <c r="MK1" s="1636"/>
      <c r="ML1" s="1636"/>
      <c r="MM1" s="1636"/>
      <c r="MN1" s="1636"/>
      <c r="MO1" s="1636"/>
      <c r="MP1" s="1636"/>
      <c r="MQ1" s="1636"/>
      <c r="MR1" s="1636"/>
      <c r="MS1" s="1636"/>
      <c r="MT1" s="1636"/>
      <c r="MU1" s="1636"/>
      <c r="MV1" s="1636"/>
      <c r="MW1" s="1636"/>
      <c r="MX1" s="1636"/>
      <c r="MY1" s="1636"/>
      <c r="MZ1" s="1636"/>
      <c r="NA1" s="1636"/>
      <c r="NB1" s="1636"/>
      <c r="NC1" s="1636"/>
      <c r="ND1" s="1636"/>
      <c r="NE1" s="1636"/>
      <c r="NF1" s="1636"/>
      <c r="NG1" s="1636"/>
      <c r="NH1" s="1636"/>
      <c r="NI1" s="1636"/>
      <c r="NJ1" s="1636"/>
      <c r="NK1" s="1636"/>
      <c r="NL1" s="1636"/>
      <c r="NM1" s="1636"/>
      <c r="NN1" s="1636"/>
      <c r="NO1" s="1636"/>
      <c r="NP1" s="1636"/>
      <c r="NQ1" s="1636"/>
      <c r="NR1" s="1636"/>
      <c r="NS1" s="1636"/>
      <c r="NT1" s="1636"/>
      <c r="NU1" s="1636"/>
      <c r="NV1" s="1636"/>
      <c r="NW1" s="1636"/>
      <c r="NX1" s="1636"/>
      <c r="NY1" s="1636"/>
      <c r="NZ1" s="1636"/>
      <c r="OA1" s="1636"/>
      <c r="OB1" s="1636"/>
    </row>
    <row r="2" spans="1:392" ht="34.049999999999997" customHeight="1">
      <c r="A2" s="1636"/>
      <c r="B2" s="1636"/>
      <c r="C2" s="1636"/>
      <c r="D2" s="1636"/>
      <c r="E2" s="1636"/>
      <c r="F2" s="1636"/>
      <c r="G2" s="1636"/>
      <c r="H2" s="1636"/>
      <c r="I2" s="1636"/>
      <c r="J2" s="1636"/>
      <c r="K2" s="1636"/>
      <c r="L2" s="1636"/>
      <c r="M2" s="1636"/>
      <c r="N2" s="1636"/>
      <c r="O2" s="1636"/>
      <c r="P2" s="1636"/>
      <c r="Q2" s="1636"/>
      <c r="R2" s="1636"/>
      <c r="S2" s="1636"/>
      <c r="T2" s="1636"/>
      <c r="U2" s="1636"/>
      <c r="V2" s="1636"/>
      <c r="W2" s="1636"/>
      <c r="X2" s="1636"/>
      <c r="Y2" s="1636"/>
      <c r="Z2" s="1636"/>
      <c r="AA2" s="1636"/>
      <c r="AB2" s="1636"/>
      <c r="AC2" s="1636"/>
      <c r="AD2" s="1636"/>
      <c r="AE2" s="1636"/>
      <c r="AF2" s="1636"/>
      <c r="AG2" s="1636"/>
      <c r="AH2" s="1636"/>
      <c r="AI2" s="1636"/>
      <c r="AJ2" s="1636"/>
      <c r="AK2" s="1636"/>
      <c r="AL2" s="1636"/>
      <c r="AM2" s="1636"/>
      <c r="AN2" s="1636"/>
      <c r="AO2" s="1636"/>
      <c r="AP2" s="1636"/>
      <c r="AQ2" s="1636"/>
      <c r="AR2" s="1636"/>
      <c r="AS2" s="1636"/>
      <c r="AT2" s="1636"/>
      <c r="AU2" s="1636"/>
      <c r="AV2" s="1636"/>
      <c r="AW2" s="1636"/>
      <c r="AX2" s="1636"/>
      <c r="AY2" s="1636"/>
      <c r="AZ2" s="1636"/>
      <c r="BA2" s="1636"/>
      <c r="BB2" s="1636"/>
      <c r="BC2" s="1636"/>
      <c r="BD2" s="1636"/>
      <c r="BE2" s="1636"/>
      <c r="BF2" s="1636"/>
      <c r="BG2" s="1636"/>
      <c r="BH2" s="1636"/>
      <c r="BI2" s="1636"/>
      <c r="BJ2" s="1636"/>
      <c r="BK2" s="1636"/>
      <c r="BL2" s="1636"/>
      <c r="BM2" s="1636"/>
      <c r="BN2" s="1636"/>
      <c r="BO2" s="1636"/>
      <c r="BP2" s="1636"/>
      <c r="BQ2" s="1636"/>
      <c r="BR2" s="1636"/>
      <c r="BS2" s="1636"/>
      <c r="BT2" s="1636"/>
      <c r="BU2" s="1636"/>
      <c r="BV2" s="1636"/>
      <c r="BW2" s="1636"/>
      <c r="BX2" s="1636"/>
      <c r="BY2" s="1636"/>
      <c r="BZ2" s="1636"/>
      <c r="CA2" s="1636"/>
      <c r="CB2" s="1636"/>
      <c r="CC2" s="1636"/>
      <c r="CD2" s="1636"/>
      <c r="CE2" s="1636"/>
      <c r="CF2" s="1636"/>
      <c r="CG2" s="1636"/>
      <c r="CH2" s="1636"/>
      <c r="CI2" s="1636"/>
      <c r="CJ2" s="1636"/>
      <c r="CK2" s="1636"/>
      <c r="CL2" s="1636"/>
      <c r="CM2" s="1636"/>
      <c r="CN2" s="1636"/>
      <c r="CO2" s="1636"/>
      <c r="CP2" s="1636"/>
      <c r="CQ2" s="1636"/>
      <c r="CR2" s="1636"/>
      <c r="CS2" s="1636"/>
      <c r="CT2" s="1636"/>
      <c r="CU2" s="1636"/>
      <c r="CV2" s="1636"/>
      <c r="CW2" s="1636"/>
      <c r="CX2" s="1636"/>
      <c r="CY2" s="1636"/>
      <c r="CZ2" s="1636"/>
      <c r="DA2" s="1636"/>
      <c r="DB2" s="1636"/>
      <c r="DC2" s="1636"/>
      <c r="DD2" s="1636"/>
      <c r="DE2" s="1636"/>
      <c r="DF2" s="1636"/>
      <c r="DG2" s="1636"/>
      <c r="DH2" s="1636"/>
      <c r="DI2" s="1636"/>
      <c r="DJ2" s="1636"/>
      <c r="DK2" s="1636"/>
      <c r="DL2" s="1636"/>
      <c r="DM2" s="1636"/>
      <c r="DN2" s="1636"/>
      <c r="DO2" s="1636"/>
      <c r="DP2" s="1636"/>
      <c r="DQ2" s="1636"/>
      <c r="DR2" s="1636"/>
      <c r="DS2" s="1636"/>
      <c r="DT2" s="1636"/>
      <c r="DU2" s="1636"/>
      <c r="DV2" s="1636"/>
      <c r="DW2" s="1636"/>
      <c r="DX2" s="1636"/>
      <c r="DY2" s="1636"/>
      <c r="DZ2" s="1636"/>
      <c r="EA2" s="1636"/>
      <c r="EB2" s="1636"/>
      <c r="EC2" s="1636"/>
      <c r="ED2" s="1636"/>
      <c r="EE2" s="1636"/>
      <c r="EF2" s="1636"/>
      <c r="EG2" s="1636"/>
      <c r="EH2" s="1636"/>
      <c r="EI2" s="1636"/>
      <c r="EJ2" s="1636"/>
      <c r="EK2" s="1636"/>
      <c r="EL2" s="1636"/>
      <c r="EM2" s="1636"/>
      <c r="EN2" s="1636"/>
      <c r="EO2" s="1636"/>
      <c r="EP2" s="1636"/>
      <c r="EQ2" s="1636"/>
      <c r="ER2" s="1636"/>
      <c r="ES2" s="1636"/>
      <c r="ET2" s="1636"/>
      <c r="EU2" s="1636"/>
      <c r="EV2" s="1636"/>
      <c r="EW2" s="1636"/>
      <c r="EX2" s="1636"/>
      <c r="EY2" s="1636"/>
      <c r="EZ2" s="1636"/>
      <c r="FA2" s="1636"/>
      <c r="FB2" s="1636"/>
      <c r="FC2" s="1636"/>
      <c r="FD2" s="1636"/>
      <c r="FE2" s="1636"/>
      <c r="FF2" s="1636"/>
      <c r="FG2" s="1636"/>
      <c r="FH2" s="1636"/>
      <c r="FI2" s="1636"/>
      <c r="FJ2" s="1636"/>
      <c r="FK2" s="1636"/>
      <c r="FL2" s="1636"/>
      <c r="FM2" s="1636"/>
      <c r="FN2" s="1636"/>
      <c r="FO2" s="1636"/>
      <c r="FP2" s="1636"/>
      <c r="FQ2" s="1636"/>
      <c r="FR2" s="1636"/>
      <c r="FS2" s="1636"/>
      <c r="FT2" s="1636"/>
      <c r="FU2" s="1636"/>
      <c r="FV2" s="1636"/>
      <c r="FW2" s="1636"/>
      <c r="FX2" s="1636"/>
      <c r="FY2" s="1636"/>
      <c r="FZ2" s="1636"/>
      <c r="GA2" s="1636"/>
      <c r="GB2" s="1636"/>
      <c r="GC2" s="1636"/>
      <c r="GD2" s="1636"/>
      <c r="GE2" s="1636"/>
      <c r="GF2" s="1636"/>
      <c r="GG2" s="1636"/>
      <c r="GH2" s="1636"/>
      <c r="GI2" s="1636"/>
      <c r="GJ2" s="1636"/>
      <c r="GK2" s="1636"/>
      <c r="GL2" s="1636"/>
      <c r="GM2" s="1636"/>
      <c r="GN2" s="1636"/>
      <c r="GO2" s="1636"/>
      <c r="GP2" s="1636"/>
      <c r="GQ2" s="1636"/>
      <c r="GR2" s="1636"/>
      <c r="GS2" s="1636"/>
      <c r="GT2" s="1636"/>
      <c r="GU2" s="1636"/>
      <c r="GV2" s="1636"/>
      <c r="GW2" s="1636"/>
      <c r="GX2" s="1636"/>
      <c r="GY2" s="1636"/>
      <c r="GZ2" s="1636"/>
      <c r="HA2" s="1636"/>
      <c r="HB2" s="1636"/>
      <c r="HC2" s="1636"/>
      <c r="HD2" s="1636"/>
      <c r="HE2" s="1636"/>
      <c r="HF2" s="1636"/>
      <c r="HG2" s="1636"/>
      <c r="HH2" s="1636"/>
      <c r="HI2" s="1636"/>
      <c r="HJ2" s="1636"/>
      <c r="HK2" s="1636"/>
      <c r="HL2" s="1636"/>
      <c r="HM2" s="1636"/>
      <c r="HN2" s="1636"/>
      <c r="HO2" s="1636"/>
      <c r="HP2" s="1636"/>
      <c r="HQ2" s="1636"/>
      <c r="HR2" s="1636"/>
      <c r="HS2" s="1636"/>
      <c r="HT2" s="1636"/>
      <c r="HU2" s="1636"/>
      <c r="HV2" s="1636"/>
      <c r="HW2" s="1636"/>
      <c r="HX2" s="1636"/>
      <c r="HY2" s="1636"/>
      <c r="HZ2" s="1636"/>
      <c r="IA2" s="1636"/>
      <c r="IB2" s="1636"/>
      <c r="IC2" s="1636"/>
      <c r="ID2" s="1636"/>
      <c r="IE2" s="1636"/>
      <c r="IF2" s="1636"/>
      <c r="IG2" s="1636"/>
      <c r="IH2" s="1636"/>
      <c r="II2" s="1636"/>
      <c r="IJ2" s="1636"/>
      <c r="IK2" s="1636"/>
      <c r="IL2" s="1636"/>
      <c r="IM2" s="1636"/>
      <c r="IN2" s="1636"/>
      <c r="IO2" s="1636"/>
      <c r="IP2" s="1636"/>
      <c r="IQ2" s="1636"/>
      <c r="IR2" s="1636"/>
      <c r="IS2" s="1636"/>
      <c r="IT2" s="1636"/>
      <c r="IU2" s="1636"/>
      <c r="IV2" s="1636"/>
      <c r="IW2" s="1636"/>
      <c r="IX2" s="1636"/>
      <c r="IY2" s="1636"/>
      <c r="IZ2" s="1636"/>
      <c r="JA2" s="1636"/>
      <c r="JB2" s="1636"/>
      <c r="JC2" s="1636"/>
      <c r="JD2" s="1636"/>
      <c r="JE2" s="1636"/>
      <c r="JF2" s="1636"/>
      <c r="JG2" s="1636"/>
      <c r="JH2" s="1636"/>
      <c r="JI2" s="1636"/>
      <c r="JJ2" s="1636"/>
      <c r="JK2" s="1636"/>
      <c r="JL2" s="1636"/>
      <c r="JM2" s="1636"/>
      <c r="JN2" s="1636"/>
      <c r="JO2" s="1636"/>
      <c r="JP2" s="1636"/>
      <c r="JQ2" s="1636"/>
      <c r="JR2" s="1636"/>
      <c r="JS2" s="1636"/>
      <c r="JT2" s="1636"/>
      <c r="JU2" s="1636"/>
      <c r="JV2" s="1636"/>
      <c r="JW2" s="1636"/>
      <c r="JX2" s="1636"/>
      <c r="JY2" s="1636"/>
      <c r="JZ2" s="1636"/>
      <c r="KA2" s="1636"/>
      <c r="KB2" s="1636"/>
      <c r="KC2" s="1636"/>
      <c r="KD2" s="1636"/>
      <c r="KE2" s="1636"/>
      <c r="KF2" s="1636"/>
      <c r="KG2" s="1636"/>
      <c r="KH2" s="1636"/>
      <c r="KI2" s="1636"/>
      <c r="KJ2" s="1636"/>
      <c r="KK2" s="1636"/>
      <c r="KL2" s="1636"/>
      <c r="KM2" s="1636"/>
      <c r="KN2" s="1636"/>
      <c r="KO2" s="1636"/>
      <c r="KP2" s="1636"/>
      <c r="KQ2" s="1636"/>
      <c r="KR2" s="1636"/>
      <c r="KS2" s="1636"/>
      <c r="KT2" s="1636"/>
      <c r="KU2" s="1636"/>
      <c r="KV2" s="1636"/>
      <c r="KW2" s="1636"/>
      <c r="KX2" s="1636"/>
      <c r="KY2" s="1636"/>
      <c r="KZ2" s="1636"/>
      <c r="LA2" s="1636"/>
      <c r="LB2" s="1636"/>
      <c r="LC2" s="1636"/>
      <c r="LD2" s="1636"/>
      <c r="LE2" s="1636"/>
      <c r="LF2" s="1636"/>
      <c r="LG2" s="1636"/>
      <c r="LH2" s="1636"/>
      <c r="LI2" s="1636"/>
      <c r="LJ2" s="1636"/>
      <c r="LK2" s="1636"/>
      <c r="LL2" s="1636"/>
      <c r="LM2" s="1636"/>
      <c r="LN2" s="1636"/>
      <c r="LO2" s="1636"/>
      <c r="LP2" s="1636"/>
      <c r="LQ2" s="1636"/>
      <c r="LR2" s="1636"/>
      <c r="LS2" s="1636"/>
      <c r="LT2" s="1636"/>
      <c r="LU2" s="1636"/>
      <c r="LV2" s="1636"/>
      <c r="LW2" s="1636"/>
      <c r="LX2" s="1636"/>
      <c r="LY2" s="1636"/>
      <c r="LZ2" s="1636"/>
      <c r="MA2" s="1636"/>
      <c r="MB2" s="1636"/>
      <c r="MC2" s="1636"/>
      <c r="MD2" s="1636"/>
      <c r="ME2" s="1636"/>
      <c r="MF2" s="1636"/>
      <c r="MG2" s="1636"/>
      <c r="MH2" s="1636"/>
      <c r="MI2" s="1636"/>
      <c r="MJ2" s="1636"/>
      <c r="MK2" s="1636"/>
      <c r="ML2" s="1636"/>
      <c r="MM2" s="1636"/>
      <c r="MN2" s="1636"/>
      <c r="MO2" s="1636"/>
      <c r="MP2" s="1636"/>
      <c r="MQ2" s="1636"/>
      <c r="MR2" s="1636"/>
      <c r="MS2" s="1636"/>
      <c r="MT2" s="1636"/>
      <c r="MU2" s="1636"/>
      <c r="MV2" s="1636"/>
      <c r="MW2" s="1636"/>
      <c r="MX2" s="1636"/>
      <c r="MY2" s="1636"/>
      <c r="MZ2" s="1636"/>
      <c r="NA2" s="1636"/>
      <c r="NB2" s="1636"/>
      <c r="NC2" s="1636"/>
      <c r="ND2" s="1636"/>
      <c r="NE2" s="1636"/>
      <c r="NF2" s="1636"/>
      <c r="NG2" s="1636"/>
      <c r="NH2" s="1636"/>
      <c r="NI2" s="1636"/>
      <c r="NJ2" s="1636"/>
      <c r="NK2" s="1636"/>
      <c r="NL2" s="1636"/>
      <c r="NM2" s="1636"/>
      <c r="NN2" s="1636"/>
      <c r="NO2" s="1636"/>
      <c r="NP2" s="1636"/>
      <c r="NQ2" s="1636"/>
      <c r="NR2" s="1636"/>
      <c r="NS2" s="1636"/>
      <c r="NT2" s="1636"/>
      <c r="NU2" s="1636"/>
      <c r="NV2" s="1636"/>
      <c r="NW2" s="1636"/>
      <c r="NX2" s="1636"/>
      <c r="NY2" s="1636"/>
      <c r="NZ2" s="1636"/>
      <c r="OA2" s="1636"/>
      <c r="OB2" s="1636"/>
    </row>
    <row r="3" spans="1:392" ht="14.4">
      <c r="A3" s="1680" t="s">
        <v>6302</v>
      </c>
      <c r="B3" s="1640" t="s">
        <v>44</v>
      </c>
      <c r="C3" s="1653" t="s">
        <v>1626</v>
      </c>
      <c r="D3" s="1688">
        <v>44378</v>
      </c>
      <c r="E3" s="1688"/>
      <c r="F3" s="1689"/>
      <c r="G3" s="1687">
        <v>44379</v>
      </c>
      <c r="H3" s="1688"/>
      <c r="I3" s="1689"/>
      <c r="J3" s="1690">
        <v>44380</v>
      </c>
      <c r="K3" s="1691"/>
      <c r="L3" s="1692"/>
      <c r="M3" s="1690">
        <v>44381</v>
      </c>
      <c r="N3" s="1691"/>
      <c r="O3" s="1692"/>
      <c r="P3" s="1687">
        <v>44382</v>
      </c>
      <c r="Q3" s="1688"/>
      <c r="R3" s="1689"/>
      <c r="S3" s="1687">
        <v>44383</v>
      </c>
      <c r="T3" s="1688"/>
      <c r="U3" s="1689"/>
      <c r="V3" s="1687">
        <v>44384</v>
      </c>
      <c r="W3" s="1688"/>
      <c r="X3" s="1689"/>
      <c r="Y3" s="1687">
        <v>44385</v>
      </c>
      <c r="Z3" s="1688"/>
      <c r="AA3" s="1689"/>
      <c r="AB3" s="1687">
        <v>44386</v>
      </c>
      <c r="AC3" s="1688"/>
      <c r="AD3" s="1689"/>
      <c r="AE3" s="1690">
        <v>44387</v>
      </c>
      <c r="AF3" s="1691"/>
      <c r="AG3" s="1692"/>
      <c r="AH3" s="1690">
        <v>44388</v>
      </c>
      <c r="AI3" s="1691"/>
      <c r="AJ3" s="1692"/>
      <c r="AK3" s="1687">
        <v>44389</v>
      </c>
      <c r="AL3" s="1688"/>
      <c r="AM3" s="1689"/>
      <c r="AN3" s="1687">
        <v>44390</v>
      </c>
      <c r="AO3" s="1688"/>
      <c r="AP3" s="1689"/>
      <c r="AQ3" s="1687">
        <v>44391</v>
      </c>
      <c r="AR3" s="1688"/>
      <c r="AS3" s="1689"/>
      <c r="AT3" s="1687">
        <v>44392</v>
      </c>
      <c r="AU3" s="1688"/>
      <c r="AV3" s="1689"/>
      <c r="AW3" s="1687">
        <v>44393</v>
      </c>
      <c r="AX3" s="1688"/>
      <c r="AY3" s="1689"/>
      <c r="AZ3" s="1690">
        <v>44387</v>
      </c>
      <c r="BA3" s="1691"/>
      <c r="BB3" s="1692"/>
      <c r="BC3" s="1690">
        <v>44388</v>
      </c>
      <c r="BD3" s="1691"/>
      <c r="BE3" s="1692"/>
      <c r="BF3" s="1687">
        <v>44396</v>
      </c>
      <c r="BG3" s="1688"/>
      <c r="BH3" s="1689"/>
      <c r="BI3" s="1703" t="s">
        <v>6303</v>
      </c>
      <c r="BJ3" s="1704"/>
      <c r="BK3" s="1705"/>
      <c r="BL3" s="1687">
        <v>44398</v>
      </c>
      <c r="BM3" s="1688"/>
      <c r="BN3" s="1688"/>
      <c r="BO3" s="1689"/>
      <c r="BP3" s="1687">
        <v>44399</v>
      </c>
      <c r="BQ3" s="1688"/>
      <c r="BR3" s="1688"/>
      <c r="BS3" s="1689"/>
      <c r="BT3" s="1687">
        <v>44400</v>
      </c>
      <c r="BU3" s="1688"/>
      <c r="BV3" s="1688"/>
      <c r="BW3" s="1689"/>
      <c r="BX3" s="1690">
        <v>44401</v>
      </c>
      <c r="BY3" s="1691"/>
      <c r="BZ3" s="1692"/>
      <c r="CA3" s="1690">
        <v>44402</v>
      </c>
      <c r="CB3" s="1691"/>
      <c r="CC3" s="1692"/>
      <c r="CD3" s="1687">
        <v>44403</v>
      </c>
      <c r="CE3" s="1688"/>
      <c r="CF3" s="1689"/>
      <c r="CG3" s="1687">
        <v>44404</v>
      </c>
      <c r="CH3" s="1688"/>
      <c r="CI3" s="1688"/>
      <c r="CJ3" s="1689"/>
      <c r="CK3" s="1687">
        <v>44405</v>
      </c>
      <c r="CL3" s="1688"/>
      <c r="CM3" s="1688"/>
      <c r="CN3" s="1689"/>
      <c r="CO3" s="1687">
        <v>44406</v>
      </c>
      <c r="CP3" s="1688"/>
      <c r="CQ3" s="1688"/>
      <c r="CR3" s="1689"/>
      <c r="CS3" s="1687">
        <v>44407</v>
      </c>
      <c r="CT3" s="1688"/>
      <c r="CU3" s="1688"/>
      <c r="CV3" s="1689"/>
      <c r="CW3" s="1690">
        <v>44408</v>
      </c>
      <c r="CX3" s="1691"/>
      <c r="CY3" s="1692"/>
      <c r="CZ3" s="1690">
        <v>44409</v>
      </c>
      <c r="DA3" s="1691"/>
      <c r="DB3" s="1692"/>
      <c r="DC3" s="1687">
        <v>44410</v>
      </c>
      <c r="DD3" s="1688"/>
      <c r="DE3" s="1689"/>
      <c r="DF3" s="1687">
        <v>44411</v>
      </c>
      <c r="DG3" s="1688"/>
      <c r="DH3" s="1688"/>
      <c r="DI3" s="1689"/>
      <c r="DJ3" s="1687">
        <v>44412</v>
      </c>
      <c r="DK3" s="1688"/>
      <c r="DL3" s="1689"/>
      <c r="DM3" s="1687">
        <v>44413</v>
      </c>
      <c r="DN3" s="1688"/>
      <c r="DO3" s="1689"/>
      <c r="DP3" s="1687">
        <v>44414</v>
      </c>
      <c r="DQ3" s="1688"/>
      <c r="DR3" s="1689"/>
      <c r="DS3" s="1690">
        <v>44415</v>
      </c>
      <c r="DT3" s="1691"/>
      <c r="DU3" s="1692"/>
      <c r="DV3" s="1690">
        <v>44416</v>
      </c>
      <c r="DW3" s="1691"/>
      <c r="DX3" s="1692"/>
      <c r="DY3" s="1687">
        <v>44417</v>
      </c>
      <c r="DZ3" s="1688"/>
      <c r="EA3" s="1689"/>
      <c r="EB3" s="1690">
        <v>44418</v>
      </c>
      <c r="EC3" s="1691"/>
      <c r="ED3" s="1692"/>
      <c r="EE3" s="1687">
        <v>44419</v>
      </c>
      <c r="EF3" s="1688"/>
      <c r="EG3" s="1689"/>
      <c r="EH3" s="1687">
        <v>44420</v>
      </c>
      <c r="EI3" s="1688"/>
      <c r="EJ3" s="1689"/>
      <c r="EK3" s="1687">
        <v>44421</v>
      </c>
      <c r="EL3" s="1688"/>
      <c r="EM3" s="1689"/>
      <c r="EN3" s="1690">
        <v>44422</v>
      </c>
      <c r="EO3" s="1691"/>
      <c r="EP3" s="1692"/>
      <c r="EQ3" s="1690">
        <v>44423</v>
      </c>
      <c r="ER3" s="1691"/>
      <c r="ES3" s="1692"/>
      <c r="ET3" s="1687">
        <v>44424</v>
      </c>
      <c r="EU3" s="1688"/>
      <c r="EV3" s="1689"/>
      <c r="EW3" s="1690">
        <v>44425</v>
      </c>
      <c r="EX3" s="1691"/>
      <c r="EY3" s="1692"/>
      <c r="EZ3" s="1687">
        <v>44426</v>
      </c>
      <c r="FA3" s="1688"/>
      <c r="FB3" s="1689"/>
      <c r="FC3" s="1687">
        <v>44427</v>
      </c>
      <c r="FD3" s="1688"/>
      <c r="FE3" s="1689"/>
      <c r="FF3" s="1687">
        <v>44428</v>
      </c>
      <c r="FG3" s="1688"/>
      <c r="FH3" s="1689"/>
      <c r="FI3" s="1690">
        <v>44429</v>
      </c>
      <c r="FJ3" s="1691"/>
      <c r="FK3" s="1692"/>
      <c r="FL3" s="1690">
        <v>44430</v>
      </c>
      <c r="FM3" s="1691"/>
      <c r="FN3" s="1692"/>
      <c r="FO3" s="1687">
        <v>44431</v>
      </c>
      <c r="FP3" s="1688"/>
      <c r="FQ3" s="1689"/>
      <c r="FR3" s="1687">
        <v>44432</v>
      </c>
      <c r="FS3" s="1688"/>
      <c r="FT3" s="1689"/>
      <c r="FU3" s="1687">
        <v>44433</v>
      </c>
      <c r="FV3" s="1688"/>
      <c r="FW3" s="1689"/>
      <c r="FX3" s="1687">
        <v>44434</v>
      </c>
      <c r="FY3" s="1688"/>
      <c r="FZ3" s="1689"/>
      <c r="GA3" s="1687">
        <v>44435</v>
      </c>
      <c r="GB3" s="1688"/>
      <c r="GC3" s="1689"/>
      <c r="GD3" s="1690">
        <v>44436</v>
      </c>
      <c r="GE3" s="1691"/>
      <c r="GF3" s="1692"/>
      <c r="GG3" s="1690">
        <v>44437</v>
      </c>
      <c r="GH3" s="1691"/>
      <c r="GI3" s="1692"/>
      <c r="GJ3" s="1687">
        <v>44438</v>
      </c>
      <c r="GK3" s="1688"/>
      <c r="GL3" s="1689"/>
      <c r="GM3" s="1687">
        <v>44439</v>
      </c>
      <c r="GN3" s="1688"/>
      <c r="GO3" s="1689"/>
      <c r="GP3" s="1687">
        <v>44440</v>
      </c>
      <c r="GQ3" s="1688"/>
      <c r="GR3" s="1689"/>
      <c r="GS3" s="1687">
        <v>44441</v>
      </c>
      <c r="GT3" s="1688"/>
      <c r="GU3" s="1689"/>
      <c r="GV3" s="1687">
        <v>44442</v>
      </c>
      <c r="GW3" s="1688"/>
      <c r="GX3" s="1689"/>
      <c r="GY3" s="1687">
        <v>44443</v>
      </c>
      <c r="GZ3" s="1688"/>
      <c r="HA3" s="1689"/>
      <c r="HB3" s="1690">
        <v>44444</v>
      </c>
      <c r="HC3" s="1691"/>
      <c r="HD3" s="1692"/>
      <c r="HE3" s="1687">
        <v>44445</v>
      </c>
      <c r="HF3" s="1688"/>
      <c r="HG3" s="1689"/>
      <c r="HH3" s="1687">
        <v>44446</v>
      </c>
      <c r="HI3" s="1688"/>
      <c r="HJ3" s="1689"/>
      <c r="HK3" s="1687">
        <v>44447</v>
      </c>
      <c r="HL3" s="1688"/>
      <c r="HM3" s="1689"/>
      <c r="HN3" s="1687">
        <v>44448</v>
      </c>
      <c r="HO3" s="1688"/>
      <c r="HP3" s="1689"/>
      <c r="HQ3" s="1687">
        <v>44449</v>
      </c>
      <c r="HR3" s="1688"/>
      <c r="HS3" s="1688"/>
      <c r="HT3" s="1697">
        <v>44450</v>
      </c>
      <c r="HU3" s="1697"/>
      <c r="HV3" s="1697"/>
      <c r="HW3" s="1697">
        <v>44451</v>
      </c>
      <c r="HX3" s="1697"/>
      <c r="HY3" s="1697"/>
      <c r="HZ3" s="1697">
        <v>44452</v>
      </c>
      <c r="IA3" s="1697"/>
      <c r="IB3" s="1702"/>
      <c r="IC3" s="1693">
        <v>44453</v>
      </c>
      <c r="ID3" s="1694"/>
      <c r="IE3" s="1695"/>
      <c r="IF3" s="1693">
        <v>44454</v>
      </c>
      <c r="IG3" s="1694"/>
      <c r="IH3" s="1695"/>
      <c r="II3" s="1693">
        <v>44455</v>
      </c>
      <c r="IJ3" s="1694"/>
      <c r="IK3" s="1695"/>
      <c r="IL3" s="1693">
        <v>44456</v>
      </c>
      <c r="IM3" s="1694"/>
      <c r="IN3" s="1695"/>
      <c r="IO3" s="1696">
        <v>44457</v>
      </c>
      <c r="IP3" s="1697"/>
      <c r="IQ3" s="1698"/>
      <c r="IR3" s="1696">
        <v>44458</v>
      </c>
      <c r="IS3" s="1697"/>
      <c r="IT3" s="1698"/>
      <c r="IU3" s="1693">
        <v>44459</v>
      </c>
      <c r="IV3" s="1694"/>
      <c r="IW3" s="1695"/>
      <c r="IX3" s="1693">
        <v>44460</v>
      </c>
      <c r="IY3" s="1694"/>
      <c r="IZ3" s="1695"/>
      <c r="JA3" s="1693">
        <v>44461</v>
      </c>
      <c r="JB3" s="1694"/>
      <c r="JC3" s="1695"/>
      <c r="JD3" s="1693">
        <v>44462</v>
      </c>
      <c r="JE3" s="1694"/>
      <c r="JF3" s="1695"/>
      <c r="JG3" s="1693">
        <v>44463</v>
      </c>
      <c r="JH3" s="1694"/>
      <c r="JI3" s="1695"/>
      <c r="JJ3" s="1696">
        <v>44464</v>
      </c>
      <c r="JK3" s="1697"/>
      <c r="JL3" s="1698"/>
      <c r="JM3" s="1696">
        <v>44465</v>
      </c>
      <c r="JN3" s="1697"/>
      <c r="JO3" s="1698"/>
      <c r="JP3" s="1687">
        <v>44466</v>
      </c>
      <c r="JQ3" s="1688"/>
      <c r="JR3" s="1689"/>
      <c r="JS3" s="1687">
        <v>44467</v>
      </c>
      <c r="JT3" s="1701"/>
      <c r="JU3" s="1689"/>
      <c r="JV3" s="1687">
        <v>44468</v>
      </c>
      <c r="JW3" s="1688"/>
      <c r="JX3" s="1689"/>
      <c r="JY3" s="1687">
        <v>44469</v>
      </c>
      <c r="JZ3" s="1688"/>
      <c r="KA3" s="1689"/>
      <c r="KB3" s="1687">
        <v>44470</v>
      </c>
      <c r="KC3" s="1688"/>
      <c r="KD3" s="1689"/>
      <c r="KE3" s="1690">
        <v>44471</v>
      </c>
      <c r="KF3" s="1691"/>
      <c r="KG3" s="1692"/>
      <c r="KH3" s="1690">
        <v>44472</v>
      </c>
      <c r="KI3" s="1691"/>
      <c r="KJ3" s="1692"/>
      <c r="KK3" s="1687">
        <v>44473</v>
      </c>
      <c r="KL3" s="1688"/>
      <c r="KM3" s="1689"/>
      <c r="KN3" s="1687">
        <v>44474</v>
      </c>
      <c r="KO3" s="1688"/>
      <c r="KP3" s="1689"/>
      <c r="KQ3" s="1687">
        <v>44475</v>
      </c>
      <c r="KR3" s="1688"/>
      <c r="KS3" s="1689"/>
      <c r="KT3" s="1687">
        <v>44476</v>
      </c>
      <c r="KU3" s="1688"/>
      <c r="KV3" s="1689"/>
      <c r="KW3" s="1687">
        <v>44477</v>
      </c>
      <c r="KX3" s="1688"/>
      <c r="KY3" s="1689"/>
      <c r="KZ3" s="1690">
        <v>44478</v>
      </c>
      <c r="LA3" s="1691"/>
      <c r="LB3" s="1692"/>
      <c r="LC3" s="1690">
        <v>44479</v>
      </c>
      <c r="LD3" s="1691"/>
      <c r="LE3" s="1692"/>
      <c r="LF3" s="1687">
        <v>44480</v>
      </c>
      <c r="LG3" s="1688"/>
      <c r="LH3" s="1689"/>
      <c r="LI3" s="1687">
        <v>44481</v>
      </c>
      <c r="LJ3" s="1688"/>
      <c r="LK3" s="1689"/>
      <c r="LL3" s="1687">
        <v>44482</v>
      </c>
      <c r="LM3" s="1688"/>
      <c r="LN3" s="1689"/>
      <c r="LO3" s="1687">
        <v>44483</v>
      </c>
      <c r="LP3" s="1688"/>
      <c r="LQ3" s="1689"/>
      <c r="LR3" s="1687">
        <v>44484</v>
      </c>
      <c r="LS3" s="1688"/>
      <c r="LT3" s="1689"/>
      <c r="LU3" s="1690">
        <v>44485</v>
      </c>
      <c r="LV3" s="1691"/>
      <c r="LW3" s="1692"/>
      <c r="LX3" s="1690">
        <v>44486</v>
      </c>
      <c r="LY3" s="1691"/>
      <c r="LZ3" s="1692"/>
      <c r="MA3" s="1687">
        <v>44487</v>
      </c>
      <c r="MB3" s="1688"/>
      <c r="MC3" s="1689"/>
      <c r="ME3" s="1687">
        <v>44529</v>
      </c>
      <c r="MF3" s="1688"/>
      <c r="MG3" s="1689"/>
      <c r="MH3" s="1687">
        <v>44530</v>
      </c>
      <c r="MI3" s="1688"/>
      <c r="MJ3" s="1689"/>
      <c r="MK3" s="1687">
        <v>44531</v>
      </c>
      <c r="ML3" s="1688"/>
      <c r="MM3" s="1689"/>
      <c r="MN3" s="1687">
        <v>44532</v>
      </c>
      <c r="MO3" s="1688"/>
      <c r="MP3" s="1689"/>
      <c r="MQ3" s="1687">
        <v>44533</v>
      </c>
      <c r="MR3" s="1688"/>
      <c r="MS3" s="1689"/>
      <c r="MT3" s="1690">
        <v>44534</v>
      </c>
      <c r="MU3" s="1691"/>
      <c r="MV3" s="1692"/>
      <c r="MW3" s="1690">
        <v>44535</v>
      </c>
      <c r="MX3" s="1691"/>
      <c r="MY3" s="1691"/>
      <c r="MZ3" s="1684">
        <v>44536</v>
      </c>
      <c r="NA3" s="1685"/>
      <c r="NB3" s="1686"/>
      <c r="NC3" s="1687">
        <v>44537</v>
      </c>
      <c r="ND3" s="1688"/>
      <c r="NE3" s="1689"/>
      <c r="NF3" s="1687">
        <v>44538</v>
      </c>
      <c r="NG3" s="1688"/>
      <c r="NH3" s="1689"/>
      <c r="NI3" s="1687">
        <v>44539</v>
      </c>
      <c r="NJ3" s="1688"/>
      <c r="NK3" s="1689"/>
      <c r="NL3" s="1687">
        <v>44540</v>
      </c>
      <c r="NM3" s="1688"/>
      <c r="NN3" s="1689"/>
      <c r="NO3" s="1690">
        <v>44541</v>
      </c>
      <c r="NP3" s="1691"/>
      <c r="NQ3" s="1692"/>
      <c r="NR3" s="1690">
        <v>44542</v>
      </c>
      <c r="NS3" s="1691"/>
      <c r="NT3" s="1692"/>
      <c r="NU3" s="1687">
        <v>44543</v>
      </c>
      <c r="NV3" s="1688"/>
      <c r="NW3" s="1689"/>
    </row>
    <row r="4" spans="1:392" ht="14.4">
      <c r="A4" s="1681"/>
      <c r="B4" s="1641"/>
      <c r="C4" s="1654"/>
      <c r="D4" s="55" t="s">
        <v>6304</v>
      </c>
      <c r="E4" s="56" t="s">
        <v>6305</v>
      </c>
      <c r="F4" s="57" t="s">
        <v>37</v>
      </c>
      <c r="G4" s="58" t="s">
        <v>6304</v>
      </c>
      <c r="H4" s="56" t="s">
        <v>6305</v>
      </c>
      <c r="I4" s="57" t="s">
        <v>37</v>
      </c>
      <c r="J4" s="105" t="s">
        <v>6304</v>
      </c>
      <c r="K4" s="106" t="s">
        <v>6305</v>
      </c>
      <c r="L4" s="107" t="s">
        <v>37</v>
      </c>
      <c r="M4" s="105" t="s">
        <v>6304</v>
      </c>
      <c r="N4" s="106" t="s">
        <v>6305</v>
      </c>
      <c r="O4" s="107" t="s">
        <v>37</v>
      </c>
      <c r="P4" s="58" t="s">
        <v>6304</v>
      </c>
      <c r="Q4" s="56" t="s">
        <v>6305</v>
      </c>
      <c r="R4" s="57" t="s">
        <v>37</v>
      </c>
      <c r="S4" s="58" t="s">
        <v>6304</v>
      </c>
      <c r="T4" s="56" t="s">
        <v>6305</v>
      </c>
      <c r="U4" s="57" t="s">
        <v>37</v>
      </c>
      <c r="V4" s="58" t="s">
        <v>6304</v>
      </c>
      <c r="W4" s="56" t="s">
        <v>6305</v>
      </c>
      <c r="X4" s="57" t="s">
        <v>37</v>
      </c>
      <c r="Y4" s="58" t="s">
        <v>6304</v>
      </c>
      <c r="Z4" s="56" t="s">
        <v>6305</v>
      </c>
      <c r="AA4" s="57" t="s">
        <v>37</v>
      </c>
      <c r="AB4" s="58" t="s">
        <v>6304</v>
      </c>
      <c r="AC4" s="56" t="s">
        <v>6305</v>
      </c>
      <c r="AD4" s="57" t="s">
        <v>37</v>
      </c>
      <c r="AE4" s="105" t="s">
        <v>6304</v>
      </c>
      <c r="AF4" s="106" t="s">
        <v>6305</v>
      </c>
      <c r="AG4" s="107" t="s">
        <v>37</v>
      </c>
      <c r="AH4" s="105" t="s">
        <v>6304</v>
      </c>
      <c r="AI4" s="106" t="s">
        <v>6305</v>
      </c>
      <c r="AJ4" s="107" t="s">
        <v>37</v>
      </c>
      <c r="AK4" s="58" t="s">
        <v>6304</v>
      </c>
      <c r="AL4" s="56" t="s">
        <v>6305</v>
      </c>
      <c r="AM4" s="57" t="s">
        <v>37</v>
      </c>
      <c r="AN4" s="58" t="s">
        <v>6304</v>
      </c>
      <c r="AO4" s="56" t="s">
        <v>6305</v>
      </c>
      <c r="AP4" s="57" t="s">
        <v>37</v>
      </c>
      <c r="AQ4" s="58" t="s">
        <v>6304</v>
      </c>
      <c r="AR4" s="56" t="s">
        <v>6305</v>
      </c>
      <c r="AS4" s="57" t="s">
        <v>37</v>
      </c>
      <c r="AT4" s="58" t="s">
        <v>6304</v>
      </c>
      <c r="AU4" s="56" t="s">
        <v>6305</v>
      </c>
      <c r="AV4" s="57" t="s">
        <v>37</v>
      </c>
      <c r="AW4" s="58" t="s">
        <v>6304</v>
      </c>
      <c r="AX4" s="56" t="s">
        <v>6305</v>
      </c>
      <c r="AY4" s="57" t="s">
        <v>37</v>
      </c>
      <c r="AZ4" s="105" t="s">
        <v>6304</v>
      </c>
      <c r="BA4" s="106" t="s">
        <v>6305</v>
      </c>
      <c r="BB4" s="107" t="s">
        <v>37</v>
      </c>
      <c r="BC4" s="105" t="s">
        <v>6304</v>
      </c>
      <c r="BD4" s="106" t="s">
        <v>6305</v>
      </c>
      <c r="BE4" s="107" t="s">
        <v>37</v>
      </c>
      <c r="BF4" s="58" t="s">
        <v>6304</v>
      </c>
      <c r="BG4" s="56" t="s">
        <v>6305</v>
      </c>
      <c r="BH4" s="57" t="s">
        <v>37</v>
      </c>
      <c r="BI4" s="170" t="s">
        <v>6304</v>
      </c>
      <c r="BJ4" s="171" t="s">
        <v>6306</v>
      </c>
      <c r="BK4" s="172" t="s">
        <v>37</v>
      </c>
      <c r="BL4" s="58" t="s">
        <v>6304</v>
      </c>
      <c r="BM4" s="56" t="s">
        <v>6306</v>
      </c>
      <c r="BN4" s="57" t="s">
        <v>6307</v>
      </c>
      <c r="BO4" s="57" t="s">
        <v>37</v>
      </c>
      <c r="BP4" s="58" t="s">
        <v>6304</v>
      </c>
      <c r="BQ4" s="56" t="s">
        <v>6306</v>
      </c>
      <c r="BR4" s="57" t="s">
        <v>6308</v>
      </c>
      <c r="BS4" s="57" t="s">
        <v>37</v>
      </c>
      <c r="BT4" s="58" t="s">
        <v>6304</v>
      </c>
      <c r="BU4" s="56" t="s">
        <v>6306</v>
      </c>
      <c r="BV4" s="57" t="s">
        <v>6308</v>
      </c>
      <c r="BW4" s="57" t="s">
        <v>37</v>
      </c>
      <c r="BX4" s="105" t="s">
        <v>6304</v>
      </c>
      <c r="BY4" s="106" t="s">
        <v>6305</v>
      </c>
      <c r="BZ4" s="107" t="s">
        <v>37</v>
      </c>
      <c r="CA4" s="105" t="s">
        <v>6304</v>
      </c>
      <c r="CB4" s="106" t="s">
        <v>6305</v>
      </c>
      <c r="CC4" s="107" t="s">
        <v>37</v>
      </c>
      <c r="CD4" s="58" t="s">
        <v>6304</v>
      </c>
      <c r="CE4" s="56" t="s">
        <v>6305</v>
      </c>
      <c r="CF4" s="57" t="s">
        <v>37</v>
      </c>
      <c r="CG4" s="58" t="s">
        <v>6304</v>
      </c>
      <c r="CH4" s="56" t="s">
        <v>6306</v>
      </c>
      <c r="CI4" s="56" t="s">
        <v>6305</v>
      </c>
      <c r="CJ4" s="57" t="s">
        <v>37</v>
      </c>
      <c r="CK4" s="58" t="s">
        <v>6304</v>
      </c>
      <c r="CL4" s="56" t="s">
        <v>6306</v>
      </c>
      <c r="CM4" s="239" t="s">
        <v>6309</v>
      </c>
      <c r="CN4" s="240" t="s">
        <v>37</v>
      </c>
      <c r="CO4" s="58" t="s">
        <v>6304</v>
      </c>
      <c r="CP4" s="56" t="s">
        <v>6306</v>
      </c>
      <c r="CQ4" s="57" t="s">
        <v>6307</v>
      </c>
      <c r="CR4" s="57" t="s">
        <v>37</v>
      </c>
      <c r="CS4" s="58" t="s">
        <v>6304</v>
      </c>
      <c r="CT4" s="56" t="s">
        <v>6306</v>
      </c>
      <c r="CU4" s="57" t="s">
        <v>6309</v>
      </c>
      <c r="CV4" s="57" t="s">
        <v>37</v>
      </c>
      <c r="CW4" s="105" t="s">
        <v>6304</v>
      </c>
      <c r="CX4" s="106" t="s">
        <v>6305</v>
      </c>
      <c r="CY4" s="107" t="s">
        <v>37</v>
      </c>
      <c r="CZ4" s="105" t="s">
        <v>6304</v>
      </c>
      <c r="DA4" s="106" t="s">
        <v>6305</v>
      </c>
      <c r="DB4" s="107" t="s">
        <v>37</v>
      </c>
      <c r="DC4" s="58" t="s">
        <v>6304</v>
      </c>
      <c r="DD4" s="56" t="s">
        <v>6305</v>
      </c>
      <c r="DE4" s="57" t="s">
        <v>37</v>
      </c>
      <c r="DF4" s="58" t="s">
        <v>6304</v>
      </c>
      <c r="DG4" s="56" t="s">
        <v>6306</v>
      </c>
      <c r="DH4" s="56" t="s">
        <v>6305</v>
      </c>
      <c r="DI4" s="57" t="s">
        <v>37</v>
      </c>
      <c r="DJ4" s="58" t="s">
        <v>6304</v>
      </c>
      <c r="DK4" s="56" t="s">
        <v>6306</v>
      </c>
      <c r="DL4" s="57" t="s">
        <v>37</v>
      </c>
      <c r="DM4" s="58" t="s">
        <v>6304</v>
      </c>
      <c r="DN4" s="56" t="s">
        <v>6306</v>
      </c>
      <c r="DO4" s="57" t="s">
        <v>37</v>
      </c>
      <c r="DP4" s="58" t="s">
        <v>6304</v>
      </c>
      <c r="DQ4" s="56" t="s">
        <v>6306</v>
      </c>
      <c r="DR4" s="57" t="s">
        <v>37</v>
      </c>
      <c r="DS4" s="105" t="s">
        <v>6304</v>
      </c>
      <c r="DT4" s="106" t="s">
        <v>6305</v>
      </c>
      <c r="DU4" s="107" t="s">
        <v>37</v>
      </c>
      <c r="DV4" s="105" t="s">
        <v>6304</v>
      </c>
      <c r="DW4" s="106" t="s">
        <v>6305</v>
      </c>
      <c r="DX4" s="107" t="s">
        <v>37</v>
      </c>
      <c r="DY4" s="58" t="s">
        <v>6304</v>
      </c>
      <c r="DZ4" s="56" t="s">
        <v>6305</v>
      </c>
      <c r="EA4" s="57" t="s">
        <v>37</v>
      </c>
      <c r="EB4" s="105" t="s">
        <v>6304</v>
      </c>
      <c r="EC4" s="106" t="s">
        <v>6306</v>
      </c>
      <c r="ED4" s="107" t="s">
        <v>37</v>
      </c>
      <c r="EE4" s="58" t="s">
        <v>6304</v>
      </c>
      <c r="EF4" s="56" t="s">
        <v>6305</v>
      </c>
      <c r="EG4" s="57" t="s">
        <v>37</v>
      </c>
      <c r="EH4" s="58" t="s">
        <v>6304</v>
      </c>
      <c r="EI4" s="56" t="s">
        <v>6306</v>
      </c>
      <c r="EJ4" s="57" t="s">
        <v>37</v>
      </c>
      <c r="EK4" s="58" t="s">
        <v>6304</v>
      </c>
      <c r="EL4" s="56" t="s">
        <v>6306</v>
      </c>
      <c r="EM4" s="57" t="s">
        <v>37</v>
      </c>
      <c r="EN4" s="105" t="s">
        <v>6304</v>
      </c>
      <c r="EO4" s="106" t="s">
        <v>6305</v>
      </c>
      <c r="EP4" s="107" t="s">
        <v>37</v>
      </c>
      <c r="EQ4" s="105" t="s">
        <v>6304</v>
      </c>
      <c r="ER4" s="106" t="s">
        <v>6305</v>
      </c>
      <c r="ES4" s="107" t="s">
        <v>37</v>
      </c>
      <c r="ET4" s="58" t="s">
        <v>6304</v>
      </c>
      <c r="EU4" s="56" t="s">
        <v>6305</v>
      </c>
      <c r="EV4" s="57" t="s">
        <v>37</v>
      </c>
      <c r="EW4" s="105" t="s">
        <v>6304</v>
      </c>
      <c r="EX4" s="106" t="s">
        <v>6306</v>
      </c>
      <c r="EY4" s="107" t="s">
        <v>37</v>
      </c>
      <c r="EZ4" s="58" t="s">
        <v>6304</v>
      </c>
      <c r="FA4" s="56" t="s">
        <v>6309</v>
      </c>
      <c r="FB4" s="57" t="s">
        <v>37</v>
      </c>
      <c r="FC4" s="58" t="s">
        <v>6304</v>
      </c>
      <c r="FD4" s="56" t="s">
        <v>6309</v>
      </c>
      <c r="FE4" s="57" t="s">
        <v>37</v>
      </c>
      <c r="FF4" s="58" t="s">
        <v>6304</v>
      </c>
      <c r="FG4" s="56" t="s">
        <v>6309</v>
      </c>
      <c r="FH4" s="57" t="s">
        <v>37</v>
      </c>
      <c r="FI4" s="105" t="s">
        <v>6304</v>
      </c>
      <c r="FJ4" s="106" t="s">
        <v>6305</v>
      </c>
      <c r="FK4" s="107" t="s">
        <v>37</v>
      </c>
      <c r="FL4" s="105" t="s">
        <v>6304</v>
      </c>
      <c r="FM4" s="106" t="s">
        <v>6305</v>
      </c>
      <c r="FN4" s="107" t="s">
        <v>37</v>
      </c>
      <c r="FO4" s="58" t="s">
        <v>6304</v>
      </c>
      <c r="FP4" s="56" t="s">
        <v>6305</v>
      </c>
      <c r="FQ4" s="57" t="s">
        <v>37</v>
      </c>
      <c r="FR4" s="58" t="s">
        <v>6304</v>
      </c>
      <c r="FS4" s="56" t="s">
        <v>6306</v>
      </c>
      <c r="FT4" s="57" t="s">
        <v>37</v>
      </c>
      <c r="FU4" s="58" t="s">
        <v>6304</v>
      </c>
      <c r="FV4" s="56" t="s">
        <v>6306</v>
      </c>
      <c r="FW4" s="57" t="s">
        <v>37</v>
      </c>
      <c r="FX4" s="58" t="s">
        <v>6304</v>
      </c>
      <c r="FY4" s="56" t="s">
        <v>6306</v>
      </c>
      <c r="FZ4" s="57" t="s">
        <v>37</v>
      </c>
      <c r="GA4" s="58" t="s">
        <v>6304</v>
      </c>
      <c r="GB4" s="56" t="s">
        <v>6306</v>
      </c>
      <c r="GC4" s="57" t="s">
        <v>37</v>
      </c>
      <c r="GD4" s="105" t="s">
        <v>6304</v>
      </c>
      <c r="GE4" s="106" t="s">
        <v>6305</v>
      </c>
      <c r="GF4" s="107" t="s">
        <v>37</v>
      </c>
      <c r="GG4" s="105" t="s">
        <v>6304</v>
      </c>
      <c r="GH4" s="106" t="s">
        <v>6305</v>
      </c>
      <c r="GI4" s="107" t="s">
        <v>37</v>
      </c>
      <c r="GJ4" s="58" t="s">
        <v>6304</v>
      </c>
      <c r="GK4" s="56" t="s">
        <v>6305</v>
      </c>
      <c r="GL4" s="57" t="s">
        <v>37</v>
      </c>
      <c r="GM4" s="58" t="s">
        <v>6304</v>
      </c>
      <c r="GN4" s="56" t="s">
        <v>6306</v>
      </c>
      <c r="GO4" s="57" t="s">
        <v>37</v>
      </c>
      <c r="GP4" s="58" t="s">
        <v>6304</v>
      </c>
      <c r="GQ4" s="56" t="s">
        <v>6306</v>
      </c>
      <c r="GR4" s="57" t="s">
        <v>37</v>
      </c>
      <c r="GS4" s="58" t="s">
        <v>6304</v>
      </c>
      <c r="GT4" s="56" t="s">
        <v>6306</v>
      </c>
      <c r="GU4" s="57" t="s">
        <v>37</v>
      </c>
      <c r="GV4" s="58" t="s">
        <v>6304</v>
      </c>
      <c r="GW4" s="56" t="s">
        <v>6306</v>
      </c>
      <c r="GX4" s="57" t="s">
        <v>37</v>
      </c>
      <c r="GY4" s="58" t="s">
        <v>6304</v>
      </c>
      <c r="GZ4" s="56" t="s">
        <v>6305</v>
      </c>
      <c r="HA4" s="57" t="s">
        <v>37</v>
      </c>
      <c r="HB4" s="105" t="s">
        <v>6304</v>
      </c>
      <c r="HC4" s="106" t="s">
        <v>6305</v>
      </c>
      <c r="HD4" s="107" t="s">
        <v>37</v>
      </c>
      <c r="HE4" s="58" t="s">
        <v>6304</v>
      </c>
      <c r="HF4" s="56" t="s">
        <v>6305</v>
      </c>
      <c r="HG4" s="57" t="s">
        <v>37</v>
      </c>
      <c r="HH4" s="58" t="s">
        <v>6304</v>
      </c>
      <c r="HI4" s="56" t="s">
        <v>6306</v>
      </c>
      <c r="HJ4" s="57" t="s">
        <v>37</v>
      </c>
      <c r="HK4" s="58" t="s">
        <v>6304</v>
      </c>
      <c r="HL4" s="56" t="s">
        <v>6306</v>
      </c>
      <c r="HM4" s="57" t="s">
        <v>37</v>
      </c>
      <c r="HN4" s="58" t="s">
        <v>6304</v>
      </c>
      <c r="HO4" s="56" t="s">
        <v>6306</v>
      </c>
      <c r="HP4" s="57" t="s">
        <v>37</v>
      </c>
      <c r="HQ4" s="58" t="s">
        <v>6304</v>
      </c>
      <c r="HR4" s="56" t="s">
        <v>6306</v>
      </c>
      <c r="HS4" s="57" t="s">
        <v>37</v>
      </c>
      <c r="HT4" s="403" t="s">
        <v>6304</v>
      </c>
      <c r="HU4" s="403" t="s">
        <v>6305</v>
      </c>
      <c r="HV4" s="403" t="s">
        <v>37</v>
      </c>
      <c r="HW4" s="403" t="s">
        <v>6304</v>
      </c>
      <c r="HX4" s="403" t="s">
        <v>6305</v>
      </c>
      <c r="HY4" s="403" t="s">
        <v>37</v>
      </c>
      <c r="HZ4" s="403" t="s">
        <v>6304</v>
      </c>
      <c r="IA4" s="403" t="s">
        <v>6305</v>
      </c>
      <c r="IB4" s="406" t="s">
        <v>37</v>
      </c>
      <c r="IC4" s="407" t="s">
        <v>6304</v>
      </c>
      <c r="ID4" s="239" t="s">
        <v>6305</v>
      </c>
      <c r="IE4" s="408" t="s">
        <v>37</v>
      </c>
      <c r="IF4" s="407" t="s">
        <v>6304</v>
      </c>
      <c r="IG4" s="239" t="s">
        <v>6306</v>
      </c>
      <c r="IH4" s="408" t="s">
        <v>37</v>
      </c>
      <c r="II4" s="407" t="s">
        <v>6304</v>
      </c>
      <c r="IJ4" s="239" t="s">
        <v>6306</v>
      </c>
      <c r="IK4" s="408" t="s">
        <v>37</v>
      </c>
      <c r="IL4" s="407" t="s">
        <v>6304</v>
      </c>
      <c r="IM4" s="239" t="s">
        <v>6306</v>
      </c>
      <c r="IN4" s="408" t="s">
        <v>37</v>
      </c>
      <c r="IO4" s="451" t="s">
        <v>6304</v>
      </c>
      <c r="IP4" s="403" t="s">
        <v>6305</v>
      </c>
      <c r="IQ4" s="452" t="s">
        <v>37</v>
      </c>
      <c r="IR4" s="451" t="s">
        <v>6304</v>
      </c>
      <c r="IS4" s="403" t="s">
        <v>6305</v>
      </c>
      <c r="IT4" s="452" t="s">
        <v>37</v>
      </c>
      <c r="IU4" s="407" t="s">
        <v>6304</v>
      </c>
      <c r="IV4" s="239" t="s">
        <v>6305</v>
      </c>
      <c r="IW4" s="408" t="s">
        <v>37</v>
      </c>
      <c r="IX4" s="407" t="s">
        <v>6304</v>
      </c>
      <c r="IY4" s="239" t="s">
        <v>6305</v>
      </c>
      <c r="IZ4" s="408" t="s">
        <v>37</v>
      </c>
      <c r="JA4" s="407" t="s">
        <v>6304</v>
      </c>
      <c r="JB4" s="239" t="s">
        <v>6306</v>
      </c>
      <c r="JC4" s="408" t="s">
        <v>37</v>
      </c>
      <c r="JD4" s="407" t="s">
        <v>6304</v>
      </c>
      <c r="JE4" s="239" t="s">
        <v>6306</v>
      </c>
      <c r="JF4" s="408" t="s">
        <v>37</v>
      </c>
      <c r="JG4" s="407" t="s">
        <v>6304</v>
      </c>
      <c r="JH4" s="239" t="s">
        <v>6309</v>
      </c>
      <c r="JI4" s="408" t="s">
        <v>37</v>
      </c>
      <c r="JJ4" s="451" t="s">
        <v>6304</v>
      </c>
      <c r="JK4" s="403" t="s">
        <v>6305</v>
      </c>
      <c r="JL4" s="452" t="s">
        <v>37</v>
      </c>
      <c r="JM4" s="451" t="s">
        <v>6304</v>
      </c>
      <c r="JN4" s="403" t="s">
        <v>6305</v>
      </c>
      <c r="JO4" s="452" t="s">
        <v>37</v>
      </c>
      <c r="JP4" s="480" t="s">
        <v>6304</v>
      </c>
      <c r="JQ4" s="481" t="s">
        <v>6305</v>
      </c>
      <c r="JR4" s="57" t="s">
        <v>37</v>
      </c>
      <c r="JS4" s="482" t="s">
        <v>6304</v>
      </c>
      <c r="JT4" s="483" t="s">
        <v>6305</v>
      </c>
      <c r="JU4" s="526" t="s">
        <v>37</v>
      </c>
      <c r="JV4" s="480" t="s">
        <v>6304</v>
      </c>
      <c r="JW4" s="481" t="s">
        <v>6306</v>
      </c>
      <c r="JX4" s="526" t="s">
        <v>37</v>
      </c>
      <c r="JY4" s="480" t="s">
        <v>6304</v>
      </c>
      <c r="JZ4" s="481" t="s">
        <v>6309</v>
      </c>
      <c r="KA4" s="526" t="s">
        <v>37</v>
      </c>
      <c r="KB4" s="480" t="s">
        <v>6304</v>
      </c>
      <c r="KC4" s="481" t="s">
        <v>6306</v>
      </c>
      <c r="KD4" s="526" t="s">
        <v>37</v>
      </c>
      <c r="KE4" s="540" t="s">
        <v>6304</v>
      </c>
      <c r="KF4" s="541" t="s">
        <v>6305</v>
      </c>
      <c r="KG4" s="542" t="s">
        <v>37</v>
      </c>
      <c r="KH4" s="540" t="s">
        <v>6304</v>
      </c>
      <c r="KI4" s="541" t="s">
        <v>6305</v>
      </c>
      <c r="KJ4" s="542" t="s">
        <v>37</v>
      </c>
      <c r="KK4" s="480" t="s">
        <v>6304</v>
      </c>
      <c r="KL4" s="481" t="s">
        <v>6305</v>
      </c>
      <c r="KM4" s="526" t="s">
        <v>37</v>
      </c>
      <c r="KN4" s="480" t="s">
        <v>6304</v>
      </c>
      <c r="KO4" s="481" t="s">
        <v>6305</v>
      </c>
      <c r="KP4" s="526" t="s">
        <v>37</v>
      </c>
      <c r="KQ4" s="480" t="s">
        <v>6304</v>
      </c>
      <c r="KR4" s="481" t="s">
        <v>6306</v>
      </c>
      <c r="KS4" s="526" t="s">
        <v>37</v>
      </c>
      <c r="KT4" s="480" t="s">
        <v>6304</v>
      </c>
      <c r="KU4" s="481" t="s">
        <v>6306</v>
      </c>
      <c r="KV4" s="526" t="s">
        <v>37</v>
      </c>
      <c r="KW4" s="480" t="s">
        <v>6304</v>
      </c>
      <c r="KX4" s="481" t="s">
        <v>6306</v>
      </c>
      <c r="KY4" s="526" t="s">
        <v>37</v>
      </c>
      <c r="KZ4" s="540" t="s">
        <v>6304</v>
      </c>
      <c r="LA4" s="541" t="s">
        <v>6305</v>
      </c>
      <c r="LB4" s="542" t="s">
        <v>37</v>
      </c>
      <c r="LC4" s="540" t="s">
        <v>6304</v>
      </c>
      <c r="LD4" s="541" t="s">
        <v>6305</v>
      </c>
      <c r="LE4" s="542" t="s">
        <v>37</v>
      </c>
      <c r="LF4" s="480" t="s">
        <v>6304</v>
      </c>
      <c r="LG4" s="481" t="s">
        <v>6305</v>
      </c>
      <c r="LH4" s="526" t="s">
        <v>37</v>
      </c>
      <c r="LI4" s="480" t="s">
        <v>6304</v>
      </c>
      <c r="LJ4" s="481" t="s">
        <v>6305</v>
      </c>
      <c r="LK4" s="526" t="s">
        <v>37</v>
      </c>
      <c r="LL4" s="480" t="s">
        <v>6304</v>
      </c>
      <c r="LM4" s="481" t="s">
        <v>6306</v>
      </c>
      <c r="LN4" s="526" t="s">
        <v>37</v>
      </c>
      <c r="LO4" s="480" t="s">
        <v>6304</v>
      </c>
      <c r="LP4" s="481" t="s">
        <v>6306</v>
      </c>
      <c r="LQ4" s="526" t="s">
        <v>37</v>
      </c>
      <c r="LR4" s="480" t="s">
        <v>6304</v>
      </c>
      <c r="LS4" s="481" t="s">
        <v>6306</v>
      </c>
      <c r="LT4" s="526" t="s">
        <v>37</v>
      </c>
      <c r="LU4" s="540" t="s">
        <v>6304</v>
      </c>
      <c r="LV4" s="541" t="s">
        <v>6305</v>
      </c>
      <c r="LW4" s="542" t="s">
        <v>37</v>
      </c>
      <c r="LX4" s="540" t="s">
        <v>6304</v>
      </c>
      <c r="LY4" s="541" t="s">
        <v>6305</v>
      </c>
      <c r="LZ4" s="542" t="s">
        <v>37</v>
      </c>
      <c r="MA4" s="480" t="s">
        <v>6304</v>
      </c>
      <c r="MB4" s="481" t="s">
        <v>6305</v>
      </c>
      <c r="MC4" s="526" t="s">
        <v>37</v>
      </c>
      <c r="ME4" s="480" t="s">
        <v>6304</v>
      </c>
      <c r="MF4" s="481" t="s">
        <v>6305</v>
      </c>
      <c r="MG4" s="526" t="s">
        <v>37</v>
      </c>
      <c r="MH4" s="480" t="s">
        <v>6304</v>
      </c>
      <c r="MI4" s="481" t="s">
        <v>6305</v>
      </c>
      <c r="MJ4" s="526" t="s">
        <v>37</v>
      </c>
      <c r="MK4" s="480" t="s">
        <v>6304</v>
      </c>
      <c r="ML4" s="481" t="s">
        <v>6305</v>
      </c>
      <c r="MM4" s="526" t="s">
        <v>37</v>
      </c>
      <c r="MN4" s="480" t="s">
        <v>6304</v>
      </c>
      <c r="MO4" s="481" t="s">
        <v>6305</v>
      </c>
      <c r="MP4" s="526" t="s">
        <v>37</v>
      </c>
      <c r="MQ4" s="480" t="s">
        <v>6304</v>
      </c>
      <c r="MR4" s="481" t="s">
        <v>6305</v>
      </c>
      <c r="MS4" s="526" t="s">
        <v>37</v>
      </c>
      <c r="MT4" s="540" t="s">
        <v>6304</v>
      </c>
      <c r="MU4" s="541" t="s">
        <v>6305</v>
      </c>
      <c r="MV4" s="542" t="s">
        <v>37</v>
      </c>
      <c r="MW4" s="540" t="s">
        <v>6304</v>
      </c>
      <c r="MX4" s="541" t="s">
        <v>6305</v>
      </c>
      <c r="MY4" s="542" t="s">
        <v>37</v>
      </c>
      <c r="MZ4" s="407" t="s">
        <v>6304</v>
      </c>
      <c r="NA4" s="239" t="s">
        <v>6305</v>
      </c>
      <c r="NB4" s="408" t="s">
        <v>37</v>
      </c>
      <c r="NC4" s="480" t="s">
        <v>6304</v>
      </c>
      <c r="ND4" s="481" t="s">
        <v>6305</v>
      </c>
      <c r="NE4" s="526" t="s">
        <v>37</v>
      </c>
      <c r="NF4" s="480" t="s">
        <v>6304</v>
      </c>
      <c r="NG4" s="481" t="s">
        <v>6305</v>
      </c>
      <c r="NH4" s="526" t="s">
        <v>37</v>
      </c>
      <c r="NI4" s="480" t="s">
        <v>6304</v>
      </c>
      <c r="NJ4" s="481" t="s">
        <v>6305</v>
      </c>
      <c r="NK4" s="526" t="s">
        <v>37</v>
      </c>
      <c r="NL4" s="480" t="s">
        <v>6304</v>
      </c>
      <c r="NM4" s="481" t="s">
        <v>6305</v>
      </c>
      <c r="NN4" s="526" t="s">
        <v>37</v>
      </c>
      <c r="NO4" s="540" t="s">
        <v>6304</v>
      </c>
      <c r="NP4" s="541" t="s">
        <v>6305</v>
      </c>
      <c r="NQ4" s="542" t="s">
        <v>37</v>
      </c>
      <c r="NR4" s="540" t="s">
        <v>6304</v>
      </c>
      <c r="NS4" s="541" t="s">
        <v>6305</v>
      </c>
      <c r="NT4" s="542" t="s">
        <v>37</v>
      </c>
      <c r="NU4" s="480" t="s">
        <v>6304</v>
      </c>
      <c r="NV4" s="481" t="s">
        <v>6305</v>
      </c>
      <c r="NW4" s="526" t="s">
        <v>37</v>
      </c>
    </row>
    <row r="5" spans="1:392" ht="14.4">
      <c r="A5" s="1637">
        <v>1</v>
      </c>
      <c r="B5" s="1642" t="s">
        <v>6310</v>
      </c>
      <c r="C5" s="1655" t="s">
        <v>6311</v>
      </c>
      <c r="D5" s="59"/>
      <c r="E5" s="60"/>
      <c r="F5" s="61"/>
      <c r="G5" s="61"/>
      <c r="H5" s="61"/>
      <c r="I5" s="61"/>
      <c r="J5" s="108"/>
      <c r="K5" s="108"/>
      <c r="L5" s="108"/>
      <c r="M5" s="108"/>
      <c r="N5" s="108"/>
      <c r="O5" s="108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108"/>
      <c r="AF5" s="108"/>
      <c r="AG5" s="108"/>
      <c r="AH5" s="108"/>
      <c r="AI5" s="108"/>
      <c r="AJ5" s="108"/>
      <c r="AK5" s="61"/>
      <c r="AL5" s="61"/>
      <c r="AM5" s="61"/>
      <c r="AN5" s="61"/>
      <c r="AO5" s="150"/>
      <c r="AP5" s="61"/>
      <c r="AQ5" s="61"/>
      <c r="AR5" s="61"/>
      <c r="AS5" s="61"/>
      <c r="AT5" s="61"/>
      <c r="AU5" s="61"/>
      <c r="AV5" s="61"/>
      <c r="AW5" s="167" t="s">
        <v>6312</v>
      </c>
      <c r="AX5" s="168" t="s">
        <v>6312</v>
      </c>
      <c r="AY5" s="61"/>
      <c r="AZ5" s="108"/>
      <c r="BA5" s="108"/>
      <c r="BB5" s="108"/>
      <c r="BC5" s="108"/>
      <c r="BD5" s="108"/>
      <c r="BE5" s="108"/>
      <c r="BF5" s="61"/>
      <c r="BG5" s="61"/>
      <c r="BH5" s="61"/>
      <c r="BI5" s="173"/>
      <c r="BJ5" s="173"/>
      <c r="BK5" s="173"/>
      <c r="BL5" s="61"/>
      <c r="BM5" s="61"/>
      <c r="BN5" s="61"/>
      <c r="BO5" s="61"/>
      <c r="BP5" s="61"/>
      <c r="BQ5" s="61"/>
      <c r="BR5" s="61"/>
      <c r="BS5" s="61"/>
      <c r="BT5" s="167"/>
      <c r="BU5" s="61"/>
      <c r="BV5" s="61"/>
      <c r="BW5" s="61"/>
      <c r="BX5" s="108"/>
      <c r="BY5" s="108"/>
      <c r="BZ5" s="108"/>
      <c r="CA5" s="108"/>
      <c r="CB5" s="108"/>
      <c r="CC5" s="126"/>
      <c r="CD5" s="194"/>
      <c r="CE5" s="185"/>
      <c r="CF5" s="185"/>
      <c r="CG5" s="185"/>
      <c r="CH5" s="195"/>
      <c r="CI5" s="185"/>
      <c r="CJ5" s="185"/>
      <c r="CK5" s="185"/>
      <c r="CL5" s="185"/>
      <c r="CM5" s="185"/>
      <c r="CN5" s="185"/>
      <c r="CO5" s="185"/>
      <c r="CP5" s="185"/>
      <c r="CQ5" s="215" t="s">
        <v>6313</v>
      </c>
      <c r="CR5" s="185"/>
      <c r="CS5" s="206"/>
      <c r="CT5" s="185"/>
      <c r="CU5" s="185"/>
      <c r="CV5" s="257"/>
      <c r="CW5" s="258"/>
      <c r="CX5" s="259"/>
      <c r="CY5" s="259"/>
      <c r="CZ5" s="259"/>
      <c r="DA5" s="259"/>
      <c r="DB5" s="292"/>
      <c r="DC5" s="233"/>
      <c r="DD5" s="195"/>
      <c r="DE5" s="195"/>
      <c r="DF5" s="195"/>
      <c r="DG5" s="195"/>
      <c r="DH5" s="195"/>
      <c r="DI5" s="195"/>
      <c r="DJ5" s="61"/>
      <c r="DK5" s="61"/>
      <c r="DL5" s="61"/>
      <c r="DM5" s="61"/>
      <c r="DN5" s="61"/>
      <c r="DO5" s="61"/>
      <c r="DP5" s="167"/>
      <c r="DQ5" s="61"/>
      <c r="DR5" s="61"/>
      <c r="DS5" s="108"/>
      <c r="DT5" s="108"/>
      <c r="DU5" s="108"/>
      <c r="DV5" s="108"/>
      <c r="DW5" s="108"/>
      <c r="DX5" s="108"/>
      <c r="DY5" s="61"/>
      <c r="DZ5" s="61"/>
      <c r="EA5" s="61"/>
      <c r="EB5" s="108"/>
      <c r="EC5" s="108"/>
      <c r="ED5" s="108"/>
      <c r="EE5" s="61"/>
      <c r="EF5" s="61"/>
      <c r="EG5" s="61"/>
      <c r="EH5" s="61"/>
      <c r="EI5" s="61"/>
      <c r="EJ5" s="61"/>
      <c r="EK5" s="167"/>
      <c r="EL5" s="168" t="s">
        <v>6314</v>
      </c>
      <c r="EM5" s="61"/>
      <c r="EN5" s="108"/>
      <c r="EO5" s="108"/>
      <c r="EP5" s="108"/>
      <c r="EQ5" s="108"/>
      <c r="ER5" s="108"/>
      <c r="ES5" s="108"/>
      <c r="ET5" s="61"/>
      <c r="EU5" s="61"/>
      <c r="EV5" s="61"/>
      <c r="EW5" s="108"/>
      <c r="EX5" s="108"/>
      <c r="EY5" s="108"/>
      <c r="EZ5" s="211"/>
      <c r="FA5" s="211"/>
      <c r="FB5" s="211"/>
      <c r="FC5" s="211"/>
      <c r="FD5" s="211"/>
      <c r="FE5" s="211"/>
      <c r="FF5" s="167"/>
      <c r="FG5" s="347"/>
      <c r="FH5" s="61"/>
      <c r="FI5" s="108"/>
      <c r="FJ5" s="168"/>
      <c r="FK5" s="108"/>
      <c r="FL5" s="108"/>
      <c r="FM5" s="108"/>
      <c r="FN5" s="108"/>
      <c r="FO5" s="61"/>
      <c r="FP5" s="61"/>
      <c r="FQ5" s="61"/>
      <c r="FR5" s="61"/>
      <c r="FS5" s="61"/>
      <c r="FT5" s="61"/>
      <c r="FU5" s="211"/>
      <c r="FV5" s="211"/>
      <c r="FW5" s="211"/>
      <c r="FX5" s="211"/>
      <c r="FY5" s="211"/>
      <c r="FZ5" s="211"/>
      <c r="GA5" s="167"/>
      <c r="GB5" s="211"/>
      <c r="GC5" s="61"/>
      <c r="GD5" s="108"/>
      <c r="GE5" s="108"/>
      <c r="GF5" s="108"/>
      <c r="GG5" s="108"/>
      <c r="GH5" s="108"/>
      <c r="GI5" s="108"/>
      <c r="GJ5" s="61"/>
      <c r="GK5" s="61"/>
      <c r="GL5" s="61"/>
      <c r="GM5" s="61"/>
      <c r="GN5" s="61"/>
      <c r="GO5" s="61"/>
      <c r="GP5" s="61" t="s">
        <v>6315</v>
      </c>
      <c r="GQ5" s="211" t="s">
        <v>6316</v>
      </c>
      <c r="GR5" s="211"/>
      <c r="GS5" s="211"/>
      <c r="GT5" s="211"/>
      <c r="GU5" s="211"/>
      <c r="GV5" s="167"/>
      <c r="GW5" s="211"/>
      <c r="GX5" s="61"/>
      <c r="GY5" s="211"/>
      <c r="GZ5" s="211"/>
      <c r="HA5" s="211"/>
      <c r="HB5" s="108"/>
      <c r="HC5" s="108"/>
      <c r="HD5" s="108"/>
      <c r="HE5" s="61"/>
      <c r="HF5" s="61"/>
      <c r="HG5" s="61"/>
      <c r="HH5" s="61"/>
      <c r="HI5" s="61"/>
      <c r="HJ5" s="61"/>
      <c r="HK5" s="61"/>
      <c r="HL5" s="211"/>
      <c r="HM5" s="211"/>
      <c r="HN5" s="211"/>
      <c r="HO5" s="211"/>
      <c r="HP5" s="211"/>
      <c r="HQ5" s="167"/>
      <c r="HR5" s="211"/>
      <c r="HS5" s="251"/>
      <c r="HT5" s="265"/>
      <c r="HU5" s="265"/>
      <c r="HV5" s="265"/>
      <c r="HW5" s="265"/>
      <c r="HX5" s="265"/>
      <c r="HY5" s="265"/>
      <c r="HZ5" s="265"/>
      <c r="IA5" s="265"/>
      <c r="IB5" s="273"/>
      <c r="IC5" s="194"/>
      <c r="ID5" s="185"/>
      <c r="IE5" s="257"/>
      <c r="IF5" s="194"/>
      <c r="IG5" s="206"/>
      <c r="IH5" s="430"/>
      <c r="II5" s="414"/>
      <c r="IJ5" s="206"/>
      <c r="IK5" s="430"/>
      <c r="IL5" s="414"/>
      <c r="IM5" s="206"/>
      <c r="IN5" s="257"/>
      <c r="IO5" s="287"/>
      <c r="IP5" s="265"/>
      <c r="IQ5" s="295"/>
      <c r="IR5" s="287"/>
      <c r="IS5" s="265"/>
      <c r="IT5" s="295"/>
      <c r="IU5" s="415"/>
      <c r="IV5" s="453"/>
      <c r="IW5" s="469"/>
      <c r="IX5" s="194"/>
      <c r="IY5" s="185"/>
      <c r="IZ5" s="257"/>
      <c r="JA5" s="194"/>
      <c r="JB5" s="206"/>
      <c r="JC5" s="430"/>
      <c r="JD5" s="414"/>
      <c r="JE5" s="206"/>
      <c r="JF5" s="430"/>
      <c r="JG5" s="414"/>
      <c r="JH5" s="230" t="s">
        <v>6312</v>
      </c>
      <c r="JI5" s="257"/>
      <c r="JJ5" s="287"/>
      <c r="JK5" s="265"/>
      <c r="JL5" s="295"/>
      <c r="JM5" s="287"/>
      <c r="JN5" s="265"/>
      <c r="JO5" s="295"/>
      <c r="JP5" s="484"/>
      <c r="JQ5" s="485"/>
      <c r="JR5" s="486"/>
      <c r="JS5" s="487"/>
      <c r="JT5" s="488"/>
      <c r="JU5" s="527"/>
      <c r="JV5" s="64"/>
      <c r="JW5" s="377"/>
      <c r="JX5" s="377"/>
      <c r="JY5" s="528"/>
      <c r="JZ5" s="377" t="s">
        <v>6312</v>
      </c>
      <c r="KA5" s="377"/>
      <c r="KB5" s="147"/>
      <c r="KC5" s="377"/>
      <c r="KD5" s="230"/>
      <c r="KE5" s="339"/>
      <c r="KF5" s="339"/>
      <c r="KG5" s="339"/>
      <c r="KH5" s="339"/>
      <c r="KI5" s="339"/>
      <c r="KJ5" s="339"/>
      <c r="KK5" s="484"/>
      <c r="KL5" s="230"/>
      <c r="KM5" s="484"/>
      <c r="KN5" s="230"/>
      <c r="KO5" s="230" t="s">
        <v>6317</v>
      </c>
      <c r="KP5" s="230"/>
      <c r="KQ5" s="64"/>
      <c r="KR5" s="377"/>
      <c r="KS5" s="377"/>
      <c r="KT5" s="377"/>
      <c r="KU5" s="377"/>
      <c r="KV5" s="377"/>
      <c r="KW5" s="147"/>
      <c r="KX5" s="377"/>
      <c r="KY5" s="230"/>
      <c r="KZ5" s="339"/>
      <c r="LA5" s="339"/>
      <c r="LB5" s="339"/>
      <c r="LC5" s="339"/>
      <c r="LD5" s="339"/>
      <c r="LE5" s="339"/>
      <c r="LF5" s="484"/>
      <c r="LG5" s="484"/>
      <c r="LH5" s="484"/>
      <c r="LI5" s="230"/>
      <c r="LJ5" s="230"/>
      <c r="LK5" s="230"/>
      <c r="LL5" s="64"/>
      <c r="LM5" s="377"/>
      <c r="LN5" s="377"/>
      <c r="LO5" s="377"/>
      <c r="LP5" s="377"/>
      <c r="LQ5" s="377"/>
      <c r="LR5" s="147"/>
      <c r="LS5" s="377"/>
      <c r="LT5" s="230"/>
      <c r="LU5" s="339"/>
      <c r="LV5" s="339"/>
      <c r="LW5" s="339"/>
      <c r="LX5" s="339"/>
      <c r="LY5" s="339"/>
      <c r="LZ5" s="339"/>
      <c r="MA5" s="484"/>
      <c r="MB5" s="484"/>
      <c r="MC5" s="484"/>
      <c r="MD5" s="222"/>
      <c r="ME5" s="484"/>
      <c r="MF5" s="230"/>
      <c r="MG5" s="484"/>
      <c r="MH5" s="64"/>
      <c r="MI5" s="377"/>
      <c r="MJ5" s="377"/>
      <c r="MK5" s="377"/>
      <c r="ML5" s="377" t="s">
        <v>6312</v>
      </c>
      <c r="MM5" s="377"/>
      <c r="MN5" s="147"/>
      <c r="MO5" s="377"/>
      <c r="MP5" s="230"/>
      <c r="MQ5" s="230"/>
      <c r="MR5" s="230"/>
      <c r="MS5" s="230"/>
      <c r="MT5" s="339"/>
      <c r="MU5" s="339"/>
      <c r="MV5" s="339"/>
      <c r="MW5" s="339"/>
      <c r="MX5" s="339"/>
      <c r="MY5" s="577"/>
      <c r="MZ5" s="415"/>
      <c r="NA5" s="453"/>
      <c r="NB5" s="469"/>
      <c r="NC5" s="64"/>
      <c r="ND5" s="377"/>
      <c r="NE5" s="377"/>
      <c r="NF5" s="377"/>
      <c r="NG5" s="377"/>
      <c r="NH5" s="377"/>
      <c r="NI5" s="147"/>
      <c r="NJ5" s="377"/>
      <c r="NK5" s="230"/>
      <c r="NL5" s="230"/>
      <c r="NM5" s="230" t="s">
        <v>6314</v>
      </c>
      <c r="NN5" s="230"/>
      <c r="NO5" s="339"/>
      <c r="NP5" s="339"/>
      <c r="NQ5" s="339"/>
      <c r="NR5" s="339"/>
      <c r="NS5" s="339"/>
      <c r="NT5" s="339"/>
      <c r="NU5" s="484"/>
      <c r="NV5" s="484"/>
      <c r="NW5" s="484"/>
    </row>
    <row r="6" spans="1:392" ht="43.2">
      <c r="A6" s="1638"/>
      <c r="B6" s="1643"/>
      <c r="C6" s="1656"/>
      <c r="D6" s="62"/>
      <c r="E6" s="63" t="s">
        <v>6318</v>
      </c>
      <c r="F6" s="64"/>
      <c r="G6" s="65" t="s">
        <v>6319</v>
      </c>
      <c r="H6" s="66" t="s">
        <v>874</v>
      </c>
      <c r="I6" s="64"/>
      <c r="J6" s="109"/>
      <c r="K6" s="110"/>
      <c r="L6" s="109"/>
      <c r="M6" s="109"/>
      <c r="N6" s="109"/>
      <c r="O6" s="109"/>
      <c r="P6" s="65" t="s">
        <v>6320</v>
      </c>
      <c r="Q6" s="75" t="s">
        <v>6321</v>
      </c>
      <c r="R6" s="64"/>
      <c r="S6" s="65" t="s">
        <v>6312</v>
      </c>
      <c r="T6" s="141" t="s">
        <v>6317</v>
      </c>
      <c r="U6" s="64"/>
      <c r="V6" s="65" t="s">
        <v>6312</v>
      </c>
      <c r="W6" s="75" t="s">
        <v>6322</v>
      </c>
      <c r="X6" s="64"/>
      <c r="Y6" s="65" t="s">
        <v>6312</v>
      </c>
      <c r="Z6" s="75" t="s">
        <v>6322</v>
      </c>
      <c r="AA6" s="64"/>
      <c r="AB6" s="147" t="s">
        <v>6317</v>
      </c>
      <c r="AC6" s="75" t="s">
        <v>6317</v>
      </c>
      <c r="AD6" s="64"/>
      <c r="AE6" s="109"/>
      <c r="AF6" s="109"/>
      <c r="AG6" s="109"/>
      <c r="AH6" s="109"/>
      <c r="AI6" s="109"/>
      <c r="AJ6" s="109"/>
      <c r="AK6" s="64" t="s">
        <v>6312</v>
      </c>
      <c r="AL6" s="75" t="s">
        <v>6312</v>
      </c>
      <c r="AM6" s="64"/>
      <c r="AN6" s="64" t="s">
        <v>6312</v>
      </c>
      <c r="AO6" s="151" t="s">
        <v>6323</v>
      </c>
      <c r="AP6" s="64"/>
      <c r="AQ6" s="64" t="s">
        <v>6312</v>
      </c>
      <c r="AR6" s="75" t="s">
        <v>6312</v>
      </c>
      <c r="AS6" s="64"/>
      <c r="AT6" s="152" t="s">
        <v>6312</v>
      </c>
      <c r="AU6" s="75" t="s">
        <v>6312</v>
      </c>
      <c r="AV6" s="64"/>
      <c r="AW6" s="148" t="s">
        <v>6324</v>
      </c>
      <c r="AX6" s="75" t="s">
        <v>6325</v>
      </c>
      <c r="AY6" s="64"/>
      <c r="AZ6" s="109"/>
      <c r="BA6" s="109"/>
      <c r="BB6" s="109"/>
      <c r="BC6" s="109"/>
      <c r="BD6" s="109"/>
      <c r="BE6" s="109"/>
      <c r="BF6" s="64" t="s">
        <v>6312</v>
      </c>
      <c r="BG6" s="67" t="s">
        <v>6312</v>
      </c>
      <c r="BH6" s="64"/>
      <c r="BI6" s="174"/>
      <c r="BJ6" s="174"/>
      <c r="BK6" s="174"/>
      <c r="BL6" s="64" t="s">
        <v>6314</v>
      </c>
      <c r="BM6" s="64" t="s">
        <v>6314</v>
      </c>
      <c r="BN6" s="75" t="s">
        <v>6317</v>
      </c>
      <c r="BO6" s="64"/>
      <c r="BP6" s="148" t="s">
        <v>6317</v>
      </c>
      <c r="BQ6" s="64"/>
      <c r="BR6" s="75" t="s">
        <v>6326</v>
      </c>
      <c r="BS6" s="64"/>
      <c r="BT6" s="148" t="s">
        <v>6317</v>
      </c>
      <c r="BU6" s="64"/>
      <c r="BV6" s="75" t="s">
        <v>6317</v>
      </c>
      <c r="BW6" s="64"/>
      <c r="BX6" s="109"/>
      <c r="BY6" s="109"/>
      <c r="BZ6" s="109"/>
      <c r="CA6" s="109"/>
      <c r="CB6" s="109"/>
      <c r="CC6" s="196"/>
      <c r="CD6" s="197" t="s">
        <v>6317</v>
      </c>
      <c r="CE6" s="166" t="s">
        <v>6317</v>
      </c>
      <c r="CF6" s="198"/>
      <c r="CG6" s="199" t="s">
        <v>6317</v>
      </c>
      <c r="CH6" s="89"/>
      <c r="CI6" s="166" t="s">
        <v>6317</v>
      </c>
      <c r="CJ6" s="198"/>
      <c r="CK6" s="199" t="s">
        <v>6318</v>
      </c>
      <c r="CL6" s="198"/>
      <c r="CM6" s="166" t="s">
        <v>6318</v>
      </c>
      <c r="CN6" s="198"/>
      <c r="CO6" s="241" t="s">
        <v>6313</v>
      </c>
      <c r="CP6" s="198"/>
      <c r="CQ6" s="166" t="s">
        <v>6327</v>
      </c>
      <c r="CR6" s="198"/>
      <c r="CS6" s="198" t="s">
        <v>6312</v>
      </c>
      <c r="CT6" s="198"/>
      <c r="CU6" s="166" t="s">
        <v>6322</v>
      </c>
      <c r="CV6" s="220"/>
      <c r="CW6" s="260"/>
      <c r="CX6" s="260"/>
      <c r="CY6" s="260"/>
      <c r="CZ6" s="260"/>
      <c r="DA6" s="260"/>
      <c r="DB6" s="260"/>
      <c r="DC6" s="62"/>
      <c r="DD6" s="89"/>
      <c r="DE6" s="89"/>
      <c r="DF6" s="89"/>
      <c r="DG6" s="89"/>
      <c r="DH6" s="89"/>
      <c r="DI6" s="89"/>
      <c r="DJ6" s="64" t="s">
        <v>6312</v>
      </c>
      <c r="DK6" s="75" t="s">
        <v>6312</v>
      </c>
      <c r="DL6" s="64"/>
      <c r="DM6" s="70" t="s">
        <v>874</v>
      </c>
      <c r="DN6" s="75" t="s">
        <v>6318</v>
      </c>
      <c r="DO6" s="64"/>
      <c r="DP6" s="152" t="s">
        <v>6318</v>
      </c>
      <c r="DQ6" s="66" t="s">
        <v>6320</v>
      </c>
      <c r="DR6" s="64"/>
      <c r="DS6" s="169" t="s">
        <v>6328</v>
      </c>
      <c r="DT6" s="75" t="s">
        <v>6318</v>
      </c>
      <c r="DU6" s="109"/>
      <c r="DV6" s="109"/>
      <c r="DW6" s="109"/>
      <c r="DX6" s="109"/>
      <c r="DY6" s="152" t="s">
        <v>6318</v>
      </c>
      <c r="DZ6" s="75" t="s">
        <v>6329</v>
      </c>
      <c r="EA6" s="64"/>
      <c r="EB6" s="109"/>
      <c r="EC6" s="109"/>
      <c r="ED6" s="109"/>
      <c r="EE6" s="64" t="s">
        <v>6329</v>
      </c>
      <c r="EF6" s="316" t="s">
        <v>6315</v>
      </c>
      <c r="EG6" s="64"/>
      <c r="EH6" s="152" t="s">
        <v>6318</v>
      </c>
      <c r="EI6" s="75" t="s">
        <v>6318</v>
      </c>
      <c r="EJ6" s="64"/>
      <c r="EK6" s="64" t="s">
        <v>6317</v>
      </c>
      <c r="EL6" s="66" t="s">
        <v>6330</v>
      </c>
      <c r="EM6" s="64"/>
      <c r="EN6" s="109"/>
      <c r="EO6" s="109"/>
      <c r="EP6" s="109"/>
      <c r="EQ6" s="109"/>
      <c r="ER6" s="109"/>
      <c r="ES6" s="109"/>
      <c r="ET6" s="64" t="s">
        <v>6331</v>
      </c>
      <c r="EU6" s="75" t="s">
        <v>6332</v>
      </c>
      <c r="EV6" s="64"/>
      <c r="EW6" s="109"/>
      <c r="EX6" s="109"/>
      <c r="EY6" s="109"/>
      <c r="EZ6" s="64" t="s">
        <v>6317</v>
      </c>
      <c r="FA6" s="316" t="s">
        <v>6317</v>
      </c>
      <c r="FB6" s="152"/>
      <c r="FC6" s="152" t="s">
        <v>6331</v>
      </c>
      <c r="FD6" s="316" t="s">
        <v>6312</v>
      </c>
      <c r="FE6" s="348" t="s">
        <v>6333</v>
      </c>
      <c r="FF6" s="152" t="s">
        <v>6312</v>
      </c>
      <c r="FG6" s="78" t="s">
        <v>6312</v>
      </c>
      <c r="FH6" s="64"/>
      <c r="FI6" s="109"/>
      <c r="FJ6" s="75" t="s">
        <v>6314</v>
      </c>
      <c r="FK6" s="109"/>
      <c r="FL6" s="109"/>
      <c r="FM6" s="109"/>
      <c r="FN6" s="109"/>
      <c r="FO6" s="64" t="s">
        <v>6332</v>
      </c>
      <c r="FP6" s="64" t="s">
        <v>6312</v>
      </c>
      <c r="FQ6" s="64"/>
      <c r="FR6" s="152" t="s">
        <v>6312</v>
      </c>
      <c r="FS6" s="64" t="s">
        <v>6312</v>
      </c>
      <c r="FT6" s="350" t="s">
        <v>6334</v>
      </c>
      <c r="FU6" s="64" t="s">
        <v>6318</v>
      </c>
      <c r="FV6" s="152" t="s">
        <v>6318</v>
      </c>
      <c r="FW6" s="152" t="s">
        <v>6335</v>
      </c>
      <c r="FX6" s="77" t="s">
        <v>6312</v>
      </c>
      <c r="FY6" s="152" t="s">
        <v>6312</v>
      </c>
      <c r="FZ6" s="152"/>
      <c r="GA6" s="332" t="s">
        <v>6328</v>
      </c>
      <c r="GB6" s="49" t="s">
        <v>6322</v>
      </c>
      <c r="GC6" s="64"/>
      <c r="GD6" s="109"/>
      <c r="GE6" s="109"/>
      <c r="GF6" s="109"/>
      <c r="GG6" s="109"/>
      <c r="GH6" s="109"/>
      <c r="GI6" s="109"/>
      <c r="GJ6" s="64" t="s">
        <v>6318</v>
      </c>
      <c r="GK6" s="64" t="s">
        <v>6314</v>
      </c>
      <c r="GL6" s="64"/>
      <c r="GM6" s="169" t="s">
        <v>6328</v>
      </c>
      <c r="GN6" s="68" t="s">
        <v>6328</v>
      </c>
      <c r="GO6" s="362" t="s">
        <v>6336</v>
      </c>
      <c r="GP6" s="68" t="s">
        <v>6337</v>
      </c>
      <c r="GQ6" s="152" t="s">
        <v>6337</v>
      </c>
      <c r="GS6" s="77" t="s">
        <v>6332</v>
      </c>
      <c r="GT6" s="87" t="s">
        <v>6332</v>
      </c>
      <c r="GU6" s="152" t="s">
        <v>6338</v>
      </c>
      <c r="GV6" s="77" t="s">
        <v>6317</v>
      </c>
      <c r="GW6" s="87" t="s">
        <v>6317</v>
      </c>
      <c r="GX6" s="64"/>
      <c r="GY6" s="77" t="s">
        <v>6332</v>
      </c>
      <c r="GZ6" s="152" t="s">
        <v>6332</v>
      </c>
      <c r="HA6" s="152"/>
      <c r="HB6" s="109"/>
      <c r="HC6" s="109"/>
      <c r="HD6" s="109"/>
      <c r="HE6" s="70" t="s">
        <v>6318</v>
      </c>
      <c r="HF6" s="49" t="s">
        <v>6312</v>
      </c>
      <c r="HG6" s="64"/>
      <c r="HH6" s="77" t="s">
        <v>6317</v>
      </c>
      <c r="HI6" s="68" t="s">
        <v>6312</v>
      </c>
      <c r="HJ6" s="64"/>
      <c r="HK6" s="77" t="s">
        <v>6332</v>
      </c>
      <c r="HL6" s="152" t="s">
        <v>6317</v>
      </c>
      <c r="HM6" s="152"/>
      <c r="HN6" s="77" t="s">
        <v>6317</v>
      </c>
      <c r="HO6" s="152" t="s">
        <v>6339</v>
      </c>
      <c r="HP6" s="152"/>
      <c r="HQ6" s="70" t="s">
        <v>6318</v>
      </c>
      <c r="HR6" s="87" t="s">
        <v>6312</v>
      </c>
      <c r="HS6" s="328"/>
      <c r="HT6" s="260"/>
      <c r="HU6" s="260"/>
      <c r="HV6" s="260"/>
      <c r="HW6" s="260"/>
      <c r="HX6" s="260"/>
      <c r="HY6" s="260"/>
      <c r="HZ6" s="260" t="s">
        <v>6318</v>
      </c>
      <c r="IA6" s="260"/>
      <c r="IB6" s="274"/>
      <c r="IC6" s="409" t="s">
        <v>874</v>
      </c>
      <c r="ID6" s="198" t="s">
        <v>6318</v>
      </c>
      <c r="IE6" s="268"/>
      <c r="IF6" s="410" t="s">
        <v>6340</v>
      </c>
      <c r="IG6" s="199" t="s">
        <v>6341</v>
      </c>
      <c r="IH6" s="431"/>
      <c r="II6" s="432" t="s">
        <v>6318</v>
      </c>
      <c r="IJ6" s="199" t="s">
        <v>6342</v>
      </c>
      <c r="IK6" s="431"/>
      <c r="IL6" s="432" t="s">
        <v>6317</v>
      </c>
      <c r="IM6" s="433" t="s">
        <v>6343</v>
      </c>
      <c r="IN6" s="268"/>
      <c r="IO6" s="288"/>
      <c r="IP6" s="260"/>
      <c r="IQ6" s="296"/>
      <c r="IR6" s="288"/>
      <c r="IS6" s="260"/>
      <c r="IT6" s="296"/>
      <c r="IU6" s="197" t="s">
        <v>6332</v>
      </c>
      <c r="IV6" s="454" t="s">
        <v>6332</v>
      </c>
      <c r="IW6" s="470"/>
      <c r="IX6" s="197" t="s">
        <v>6332</v>
      </c>
      <c r="IY6" s="198" t="s">
        <v>6317</v>
      </c>
      <c r="IZ6" s="268"/>
      <c r="JA6" s="432" t="s">
        <v>6317</v>
      </c>
      <c r="JB6" s="198" t="s">
        <v>6332</v>
      </c>
      <c r="JC6" s="431"/>
      <c r="JD6" s="432" t="s">
        <v>6317</v>
      </c>
      <c r="JE6" s="198" t="s">
        <v>6318</v>
      </c>
      <c r="JF6" s="431"/>
      <c r="JG6" s="197" t="s">
        <v>6332</v>
      </c>
      <c r="JH6" s="68" t="s">
        <v>6344</v>
      </c>
      <c r="JI6" s="268"/>
      <c r="JJ6" s="288"/>
      <c r="JK6" s="260"/>
      <c r="JL6" s="296"/>
      <c r="JM6" s="288"/>
      <c r="JN6" s="260"/>
      <c r="JO6" s="296"/>
      <c r="JP6" s="77" t="s">
        <v>6312</v>
      </c>
      <c r="JQ6" s="387" t="s">
        <v>6322</v>
      </c>
      <c r="JR6" s="489"/>
      <c r="JS6" s="490" t="s">
        <v>6318</v>
      </c>
      <c r="JT6" s="491" t="s">
        <v>6314</v>
      </c>
      <c r="JU6" s="79"/>
      <c r="JV6" s="515" t="s">
        <v>6340</v>
      </c>
      <c r="JW6" s="70" t="s">
        <v>6340</v>
      </c>
      <c r="JX6" s="515"/>
      <c r="JY6" s="515" t="s">
        <v>6312</v>
      </c>
      <c r="JZ6" s="152" t="s">
        <v>6345</v>
      </c>
      <c r="KA6" s="152"/>
      <c r="KB6" s="77" t="s">
        <v>6312</v>
      </c>
      <c r="KC6" s="87" t="s">
        <v>6312</v>
      </c>
      <c r="KD6" s="64"/>
      <c r="KE6" s="109"/>
      <c r="KF6" s="109"/>
      <c r="KG6" s="109"/>
      <c r="KH6" s="109"/>
      <c r="KI6" s="109"/>
      <c r="KJ6" s="109"/>
      <c r="KK6" s="525" t="s">
        <v>6312</v>
      </c>
      <c r="KL6" s="68" t="s">
        <v>6312</v>
      </c>
      <c r="KM6" s="525"/>
      <c r="KN6" s="77" t="s">
        <v>6317</v>
      </c>
      <c r="KO6" s="70" t="s">
        <v>6346</v>
      </c>
      <c r="KP6" s="64"/>
      <c r="KQ6" s="525" t="s">
        <v>6312</v>
      </c>
      <c r="KR6" s="68" t="s">
        <v>6312</v>
      </c>
      <c r="KS6" s="515"/>
      <c r="KT6" s="77" t="s">
        <v>6317</v>
      </c>
      <c r="KU6" s="513"/>
      <c r="KV6" s="152"/>
      <c r="KW6" s="77" t="s">
        <v>6314</v>
      </c>
      <c r="KX6" s="87"/>
      <c r="KY6" s="64"/>
      <c r="KZ6" s="109"/>
      <c r="LA6" s="109"/>
      <c r="LB6" s="109"/>
      <c r="LC6" s="109"/>
      <c r="LD6" s="109"/>
      <c r="LE6" s="109"/>
      <c r="LF6" s="77" t="s">
        <v>6318</v>
      </c>
      <c r="LG6" s="68"/>
      <c r="LH6" s="525"/>
      <c r="LI6" s="563" t="s">
        <v>6347</v>
      </c>
      <c r="LJ6" s="513"/>
      <c r="LK6" s="64"/>
      <c r="LL6" s="77" t="s">
        <v>6340</v>
      </c>
      <c r="LM6" s="77"/>
      <c r="LN6" s="515"/>
      <c r="LO6" s="77" t="s">
        <v>6317</v>
      </c>
      <c r="LP6" s="152"/>
      <c r="LQ6" s="152"/>
      <c r="LR6" s="64" t="s">
        <v>6331</v>
      </c>
      <c r="LS6" s="87"/>
      <c r="LT6" s="64"/>
      <c r="LU6" s="109"/>
      <c r="LV6" s="109"/>
      <c r="LW6" s="109"/>
      <c r="LX6" s="109"/>
      <c r="LY6" s="109"/>
      <c r="LZ6" s="109"/>
      <c r="MA6" s="77" t="s">
        <v>6312</v>
      </c>
      <c r="MB6" s="68"/>
      <c r="MC6" s="525"/>
      <c r="ME6" s="64" t="s">
        <v>6331</v>
      </c>
      <c r="MF6" s="64" t="s">
        <v>6312</v>
      </c>
      <c r="MG6" s="513"/>
      <c r="MH6" s="152" t="s">
        <v>6312</v>
      </c>
      <c r="MI6" s="64" t="s">
        <v>6312</v>
      </c>
      <c r="MJ6" s="152"/>
      <c r="MK6" s="152" t="s">
        <v>6312</v>
      </c>
      <c r="ML6" s="64" t="s">
        <v>6348</v>
      </c>
      <c r="MM6" s="152"/>
      <c r="MN6" s="513" t="s">
        <v>6318</v>
      </c>
      <c r="MO6" s="64"/>
      <c r="MP6" s="152"/>
      <c r="MQ6" s="77" t="s">
        <v>6312</v>
      </c>
      <c r="MR6" s="64" t="s">
        <v>6318</v>
      </c>
      <c r="MS6" s="64"/>
      <c r="MT6" s="109"/>
      <c r="MU6" s="109"/>
      <c r="MV6" s="109"/>
      <c r="MW6" s="322"/>
      <c r="MX6" s="111"/>
      <c r="MY6" s="196"/>
      <c r="MZ6" s="432" t="s">
        <v>6318</v>
      </c>
      <c r="NA6" s="198" t="s">
        <v>6314</v>
      </c>
      <c r="NB6" s="470"/>
      <c r="NC6" s="513" t="s">
        <v>6318</v>
      </c>
      <c r="ND6" s="64" t="s">
        <v>6318</v>
      </c>
      <c r="NE6" s="152"/>
      <c r="NF6" s="513" t="s">
        <v>6318</v>
      </c>
      <c r="NG6" s="64"/>
      <c r="NH6" s="152"/>
      <c r="NI6" s="513" t="s">
        <v>6314</v>
      </c>
      <c r="NJ6" s="64"/>
      <c r="NK6" s="152"/>
      <c r="NL6" s="70" t="s">
        <v>6312</v>
      </c>
      <c r="NM6" s="70" t="s">
        <v>6349</v>
      </c>
      <c r="NN6" s="64"/>
      <c r="NO6" s="109"/>
      <c r="NP6" s="109"/>
      <c r="NQ6" s="109"/>
      <c r="NR6" s="322"/>
      <c r="NS6" s="111"/>
      <c r="NT6" s="109"/>
      <c r="NU6" s="77" t="s">
        <v>6317</v>
      </c>
      <c r="NV6" s="64"/>
      <c r="NW6" s="513"/>
    </row>
    <row r="7" spans="1:392" ht="28.8">
      <c r="A7" s="1638"/>
      <c r="B7" s="1643"/>
      <c r="C7" s="1656"/>
      <c r="E7" s="67" t="s">
        <v>6350</v>
      </c>
      <c r="F7" s="68"/>
      <c r="G7" s="64" t="s">
        <v>6351</v>
      </c>
      <c r="H7" s="66" t="s">
        <v>6352</v>
      </c>
      <c r="I7" s="68"/>
      <c r="J7" s="111"/>
      <c r="K7" s="110"/>
      <c r="L7" s="111"/>
      <c r="M7" s="111"/>
      <c r="N7" s="111"/>
      <c r="O7" s="111"/>
      <c r="P7" s="64" t="s">
        <v>6353</v>
      </c>
      <c r="Q7" s="67" t="s">
        <v>6320</v>
      </c>
      <c r="R7" s="68"/>
      <c r="S7" s="64" t="s">
        <v>6354</v>
      </c>
      <c r="T7" s="141" t="s">
        <v>6355</v>
      </c>
      <c r="U7" s="68"/>
      <c r="V7" s="64" t="s">
        <v>6356</v>
      </c>
      <c r="W7" s="67" t="s">
        <v>6357</v>
      </c>
      <c r="X7" s="68"/>
      <c r="Y7" s="64" t="s">
        <v>6358</v>
      </c>
      <c r="Z7" s="67" t="s">
        <v>6359</v>
      </c>
      <c r="AA7" s="68"/>
      <c r="AB7" s="148" t="s">
        <v>6360</v>
      </c>
      <c r="AC7" s="67" t="s">
        <v>6361</v>
      </c>
      <c r="AD7" s="68"/>
      <c r="AE7" s="111"/>
      <c r="AF7" s="111"/>
      <c r="AG7" s="111"/>
      <c r="AH7" s="111"/>
      <c r="AI7" s="111"/>
      <c r="AJ7" s="111"/>
      <c r="AK7" s="68" t="s">
        <v>6358</v>
      </c>
      <c r="AL7" s="149" t="s">
        <v>6362</v>
      </c>
      <c r="AM7" s="68"/>
      <c r="AN7" s="64" t="s">
        <v>6363</v>
      </c>
      <c r="AO7" s="153" t="s">
        <v>6364</v>
      </c>
      <c r="AP7" s="68"/>
      <c r="AQ7" s="64" t="s">
        <v>6365</v>
      </c>
      <c r="AR7" s="67" t="s">
        <v>6366</v>
      </c>
      <c r="AS7" s="68"/>
      <c r="AT7" s="148" t="s">
        <v>6367</v>
      </c>
      <c r="AU7" s="67" t="s">
        <v>6368</v>
      </c>
      <c r="AV7" s="68"/>
      <c r="AW7" s="148"/>
      <c r="AX7" s="68"/>
      <c r="AY7" s="68"/>
      <c r="AZ7" s="111"/>
      <c r="BA7" s="111"/>
      <c r="BB7" s="111"/>
      <c r="BC7" s="111"/>
      <c r="BD7" s="111"/>
      <c r="BE7" s="111"/>
      <c r="BF7" s="68" t="s">
        <v>6369</v>
      </c>
      <c r="BG7" s="175" t="s">
        <v>6370</v>
      </c>
      <c r="BH7" s="68"/>
      <c r="BI7" s="174"/>
      <c r="BJ7" s="176"/>
      <c r="BK7" s="176"/>
      <c r="BL7" s="64" t="s">
        <v>6371</v>
      </c>
      <c r="BM7" s="68" t="s">
        <v>6372</v>
      </c>
      <c r="BN7" s="67" t="s">
        <v>6373</v>
      </c>
      <c r="BO7" s="68"/>
      <c r="BP7" s="148" t="s">
        <v>6373</v>
      </c>
      <c r="BQ7" s="68"/>
      <c r="BR7" s="67" t="s">
        <v>6374</v>
      </c>
      <c r="BS7" s="68"/>
      <c r="BT7" s="148" t="s">
        <v>6375</v>
      </c>
      <c r="BU7" s="68"/>
      <c r="BV7" s="67" t="s">
        <v>6375</v>
      </c>
      <c r="BW7" s="68"/>
      <c r="BX7" s="111"/>
      <c r="BY7" s="111"/>
      <c r="BZ7" s="111"/>
      <c r="CA7" s="111"/>
      <c r="CB7" s="111"/>
      <c r="CC7" s="200"/>
      <c r="CD7" s="197" t="s">
        <v>6376</v>
      </c>
      <c r="CE7" s="166" t="s">
        <v>6376</v>
      </c>
      <c r="CF7" s="198"/>
      <c r="CG7" s="198" t="s">
        <v>6377</v>
      </c>
      <c r="CH7" s="89"/>
      <c r="CI7" s="166" t="s">
        <v>6377</v>
      </c>
      <c r="CJ7" s="198"/>
      <c r="CK7" s="199" t="s">
        <v>6378</v>
      </c>
      <c r="CL7" s="198"/>
      <c r="CM7" s="166" t="s">
        <v>6379</v>
      </c>
      <c r="CN7" s="198"/>
      <c r="CO7" s="241" t="s">
        <v>6327</v>
      </c>
      <c r="CP7" s="198"/>
      <c r="CQ7" s="166" t="s">
        <v>6380</v>
      </c>
      <c r="CR7" s="198"/>
      <c r="CS7" s="198" t="s">
        <v>6381</v>
      </c>
      <c r="CT7" s="198"/>
      <c r="CU7" s="166" t="s">
        <v>6382</v>
      </c>
      <c r="CV7" s="220"/>
      <c r="CW7" s="260"/>
      <c r="CX7" s="260"/>
      <c r="CY7" s="260"/>
      <c r="CZ7" s="260"/>
      <c r="DA7" s="260"/>
      <c r="DB7" s="260"/>
      <c r="DC7" s="79"/>
      <c r="DD7" s="64"/>
      <c r="DE7" s="64"/>
      <c r="DF7" s="64"/>
      <c r="DG7" s="64"/>
      <c r="DH7" s="64"/>
      <c r="DI7" s="64"/>
      <c r="DJ7" s="64" t="s">
        <v>6383</v>
      </c>
      <c r="DK7" s="67" t="s">
        <v>6383</v>
      </c>
      <c r="DL7" s="68"/>
      <c r="DM7" s="70" t="s">
        <v>6384</v>
      </c>
      <c r="DN7" s="66" t="s">
        <v>6385</v>
      </c>
      <c r="DO7" s="68"/>
      <c r="DP7" s="64" t="s">
        <v>6386</v>
      </c>
      <c r="DQ7" s="66" t="s">
        <v>6387</v>
      </c>
      <c r="DR7" s="68"/>
      <c r="DS7" s="321" t="s">
        <v>6388</v>
      </c>
      <c r="DT7" s="67" t="s">
        <v>6389</v>
      </c>
      <c r="DU7" s="111"/>
      <c r="DV7" s="111"/>
      <c r="DW7" s="111"/>
      <c r="DX7" s="111"/>
      <c r="DY7" s="87" t="s">
        <v>6390</v>
      </c>
      <c r="DZ7" s="67" t="s">
        <v>6391</v>
      </c>
      <c r="EA7" s="68"/>
      <c r="EB7" s="111"/>
      <c r="EC7" s="111"/>
      <c r="ED7" s="111"/>
      <c r="EE7" s="68" t="s">
        <v>6392</v>
      </c>
      <c r="EF7" s="324" t="s">
        <v>6392</v>
      </c>
      <c r="EG7" s="68"/>
      <c r="EH7" s="152" t="s">
        <v>6393</v>
      </c>
      <c r="EI7" s="67" t="s">
        <v>6393</v>
      </c>
      <c r="EJ7" s="68"/>
      <c r="EK7" s="147" t="s">
        <v>6394</v>
      </c>
      <c r="EL7" s="66" t="s">
        <v>6317</v>
      </c>
      <c r="EM7" s="68"/>
      <c r="EN7" s="109"/>
      <c r="EO7" s="111"/>
      <c r="EP7" s="111"/>
      <c r="EQ7" s="111"/>
      <c r="ER7" s="111"/>
      <c r="ES7" s="111"/>
      <c r="ET7" s="68"/>
      <c r="EU7" s="67" t="s">
        <v>6395</v>
      </c>
      <c r="EV7" s="68"/>
      <c r="EW7" s="111"/>
      <c r="EX7" s="111"/>
      <c r="EY7" s="111"/>
      <c r="EZ7" s="147" t="s">
        <v>6396</v>
      </c>
      <c r="FA7" s="324" t="s">
        <v>6397</v>
      </c>
      <c r="FB7" s="77"/>
      <c r="FC7" s="77"/>
      <c r="FD7" s="324" t="s">
        <v>6398</v>
      </c>
      <c r="FE7" s="178" t="s">
        <v>6399</v>
      </c>
      <c r="FF7" s="147" t="s">
        <v>6400</v>
      </c>
      <c r="FG7" s="78" t="s">
        <v>6400</v>
      </c>
      <c r="FH7" s="68"/>
      <c r="FI7" s="109"/>
      <c r="FJ7" s="67" t="s">
        <v>6401</v>
      </c>
      <c r="FK7" s="111"/>
      <c r="FL7" s="111"/>
      <c r="FM7" s="111"/>
      <c r="FN7" s="111"/>
      <c r="FO7" s="68" t="s">
        <v>6402</v>
      </c>
      <c r="FP7" s="68" t="s">
        <v>6403</v>
      </c>
      <c r="FQ7" s="68"/>
      <c r="FR7" s="152" t="s">
        <v>6404</v>
      </c>
      <c r="FS7" s="68" t="s">
        <v>6405</v>
      </c>
      <c r="FT7" s="68"/>
      <c r="FU7" s="68" t="s">
        <v>6406</v>
      </c>
      <c r="FV7" s="77" t="s">
        <v>6407</v>
      </c>
      <c r="FW7" s="77"/>
      <c r="FX7" s="77" t="s">
        <v>6408</v>
      </c>
      <c r="FY7" s="77" t="s">
        <v>6409</v>
      </c>
      <c r="FZ7" s="77"/>
      <c r="GA7" s="333" t="s">
        <v>6410</v>
      </c>
      <c r="GB7" s="49" t="s">
        <v>6411</v>
      </c>
      <c r="GC7" s="68"/>
      <c r="GD7" s="109"/>
      <c r="GE7" s="111"/>
      <c r="GF7" s="111"/>
      <c r="GG7" s="111"/>
      <c r="GH7" s="111"/>
      <c r="GI7" s="111"/>
      <c r="GJ7" s="152" t="s">
        <v>6412</v>
      </c>
      <c r="GK7" s="68" t="s">
        <v>6412</v>
      </c>
      <c r="GL7" s="68"/>
      <c r="GM7" s="321" t="s">
        <v>6413</v>
      </c>
      <c r="GN7" s="64" t="s">
        <v>6414</v>
      </c>
      <c r="GO7" s="68"/>
      <c r="GP7" s="64" t="s">
        <v>6415</v>
      </c>
      <c r="GQ7" s="77" t="s">
        <v>6318</v>
      </c>
      <c r="GR7" s="77"/>
      <c r="GS7" s="77" t="s">
        <v>6416</v>
      </c>
      <c r="GT7" s="87" t="s">
        <v>6416</v>
      </c>
      <c r="GV7" s="77" t="s">
        <v>6416</v>
      </c>
      <c r="GW7" s="87" t="s">
        <v>6417</v>
      </c>
      <c r="GX7" s="68"/>
      <c r="GY7" s="77" t="s">
        <v>6418</v>
      </c>
      <c r="GZ7" s="77" t="s">
        <v>6419</v>
      </c>
      <c r="HA7" s="77"/>
      <c r="HB7" s="111"/>
      <c r="HC7" s="111"/>
      <c r="HD7" s="111"/>
      <c r="HE7" s="344" t="s">
        <v>6420</v>
      </c>
      <c r="HF7" s="49" t="s">
        <v>6421</v>
      </c>
      <c r="HG7" s="68"/>
      <c r="HH7" s="77" t="s">
        <v>6422</v>
      </c>
      <c r="HI7" s="64" t="s">
        <v>6423</v>
      </c>
      <c r="HJ7" s="68"/>
      <c r="HK7" s="77" t="s">
        <v>6424</v>
      </c>
      <c r="HL7" s="77" t="s">
        <v>6425</v>
      </c>
      <c r="HM7" s="77"/>
      <c r="HN7" s="64" t="s">
        <v>6426</v>
      </c>
      <c r="HO7" s="77" t="s">
        <v>6427</v>
      </c>
      <c r="HP7" s="77"/>
      <c r="HQ7" s="344" t="s">
        <v>6428</v>
      </c>
      <c r="HR7" s="87" t="s">
        <v>6429</v>
      </c>
      <c r="HS7" s="329"/>
      <c r="HT7" s="260"/>
      <c r="HU7" s="260"/>
      <c r="HV7" s="260"/>
      <c r="HW7" s="260"/>
      <c r="HX7" s="260"/>
      <c r="HY7" s="260"/>
      <c r="HZ7" s="260" t="s">
        <v>6430</v>
      </c>
      <c r="IA7" s="260" t="s">
        <v>6431</v>
      </c>
      <c r="IB7" s="274"/>
      <c r="IC7" s="409" t="s">
        <v>6384</v>
      </c>
      <c r="ID7" s="198" t="s">
        <v>6430</v>
      </c>
      <c r="IE7" s="268"/>
      <c r="IF7" s="411" t="s">
        <v>6432</v>
      </c>
      <c r="IG7" s="198" t="s">
        <v>6433</v>
      </c>
      <c r="IH7" s="431"/>
      <c r="II7" s="197" t="s">
        <v>6434</v>
      </c>
      <c r="IJ7" s="199" t="s">
        <v>6435</v>
      </c>
      <c r="IK7" s="431"/>
      <c r="IL7" s="201" t="s">
        <v>6436</v>
      </c>
      <c r="IM7" s="434" t="s">
        <v>6437</v>
      </c>
      <c r="IN7" s="268"/>
      <c r="IO7" s="288"/>
      <c r="IP7" s="260"/>
      <c r="IQ7" s="296"/>
      <c r="IR7" s="288"/>
      <c r="IS7" s="260"/>
      <c r="IT7" s="296"/>
      <c r="IU7" s="201" t="s">
        <v>6438</v>
      </c>
      <c r="IV7" s="198" t="s">
        <v>6438</v>
      </c>
      <c r="IW7" s="470"/>
      <c r="IX7" s="201" t="s">
        <v>6439</v>
      </c>
      <c r="IY7" s="198" t="s">
        <v>6440</v>
      </c>
      <c r="IZ7" s="268"/>
      <c r="JA7" s="201" t="s">
        <v>6441</v>
      </c>
      <c r="JB7" s="198" t="s">
        <v>6442</v>
      </c>
      <c r="JC7" s="431"/>
      <c r="JD7" s="234" t="s">
        <v>6443</v>
      </c>
      <c r="JE7" s="199" t="s">
        <v>6444</v>
      </c>
      <c r="JF7" s="431"/>
      <c r="JG7" s="234" t="s">
        <v>6445</v>
      </c>
      <c r="JH7" s="65"/>
      <c r="JI7" s="268"/>
      <c r="JJ7" s="288"/>
      <c r="JK7" s="260"/>
      <c r="JL7" s="296"/>
      <c r="JM7" s="288"/>
      <c r="JN7" s="260"/>
      <c r="JO7" s="296"/>
      <c r="JP7" s="492" t="s">
        <v>6446</v>
      </c>
      <c r="JQ7" s="388" t="s">
        <v>6447</v>
      </c>
      <c r="JR7" s="489"/>
      <c r="JS7" s="493" t="s">
        <v>6448</v>
      </c>
      <c r="JT7" s="491" t="s">
        <v>6449</v>
      </c>
      <c r="JU7" s="80"/>
      <c r="JV7" s="529" t="s">
        <v>6432</v>
      </c>
      <c r="JW7" s="65" t="s">
        <v>6450</v>
      </c>
      <c r="JX7" s="529"/>
      <c r="JY7" s="492" t="s">
        <v>6451</v>
      </c>
      <c r="JZ7" s="65"/>
      <c r="KA7" s="77"/>
      <c r="KB7" s="494" t="s">
        <v>6452</v>
      </c>
      <c r="KC7" s="65" t="s">
        <v>6453</v>
      </c>
      <c r="KD7" s="68"/>
      <c r="KE7" s="109"/>
      <c r="KF7" s="111"/>
      <c r="KG7" s="111"/>
      <c r="KH7" s="111"/>
      <c r="KI7" s="111"/>
      <c r="KJ7" s="111"/>
      <c r="KK7" s="64" t="s">
        <v>6454</v>
      </c>
      <c r="KL7" s="65" t="s">
        <v>6454</v>
      </c>
      <c r="KM7" s="503"/>
      <c r="KN7" s="152" t="s">
        <v>6455</v>
      </c>
      <c r="KO7" s="65"/>
      <c r="KP7" s="68"/>
      <c r="KQ7" s="148" t="s">
        <v>6456</v>
      </c>
      <c r="KR7" s="68" t="s">
        <v>6457</v>
      </c>
      <c r="KS7" s="529"/>
      <c r="KT7" s="492" t="s">
        <v>6458</v>
      </c>
      <c r="KU7" s="546" t="s">
        <v>6459</v>
      </c>
      <c r="KV7" s="77"/>
      <c r="KW7" s="529" t="s">
        <v>6460</v>
      </c>
      <c r="KX7" s="547" t="s">
        <v>6461</v>
      </c>
      <c r="KY7" s="68"/>
      <c r="KZ7" s="109"/>
      <c r="LA7" s="111"/>
      <c r="LB7" s="111"/>
      <c r="LC7" s="111"/>
      <c r="LD7" s="111"/>
      <c r="LE7" s="111"/>
      <c r="LF7" s="529" t="s">
        <v>6462</v>
      </c>
      <c r="LG7" s="546" t="s">
        <v>6463</v>
      </c>
      <c r="LH7" s="503"/>
      <c r="LI7" s="94" t="s">
        <v>6443</v>
      </c>
      <c r="LJ7" s="546" t="s">
        <v>6443</v>
      </c>
      <c r="LK7" s="68"/>
      <c r="LL7" s="152" t="s">
        <v>6464</v>
      </c>
      <c r="LM7" s="546" t="s">
        <v>6465</v>
      </c>
      <c r="LN7" s="529"/>
      <c r="LO7" s="148" t="s">
        <v>6466</v>
      </c>
      <c r="LP7" s="77"/>
      <c r="LQ7" s="77"/>
      <c r="LR7" s="148"/>
      <c r="LS7" s="87"/>
      <c r="LT7" s="68"/>
      <c r="LU7" s="109"/>
      <c r="LV7" s="111"/>
      <c r="LW7" s="111"/>
      <c r="LX7" s="111"/>
      <c r="LY7" s="111"/>
      <c r="LZ7" s="111"/>
      <c r="MA7" s="148" t="s">
        <v>6467</v>
      </c>
      <c r="MB7" s="513"/>
      <c r="MC7" s="503"/>
      <c r="ME7" s="64"/>
      <c r="MF7" s="70" t="s">
        <v>6468</v>
      </c>
      <c r="MG7" s="513"/>
      <c r="MH7" s="70" t="s">
        <v>6469</v>
      </c>
      <c r="MI7" s="65" t="s">
        <v>6470</v>
      </c>
      <c r="MJ7" s="70"/>
      <c r="MK7" s="70" t="s">
        <v>6471</v>
      </c>
      <c r="ML7" s="65"/>
      <c r="MM7" s="70"/>
      <c r="MN7" s="68" t="s">
        <v>6472</v>
      </c>
      <c r="MO7" s="65"/>
      <c r="MP7" s="87"/>
      <c r="MQ7" s="143" t="s">
        <v>6473</v>
      </c>
      <c r="MR7" s="70" t="s">
        <v>6474</v>
      </c>
      <c r="MS7" s="68"/>
      <c r="MT7" s="111"/>
      <c r="MU7" s="111"/>
      <c r="MV7" s="111"/>
      <c r="MW7" s="112"/>
      <c r="MX7" s="112"/>
      <c r="MY7" s="200"/>
      <c r="MZ7" s="234" t="s">
        <v>6475</v>
      </c>
      <c r="NA7" s="454" t="s">
        <v>6476</v>
      </c>
      <c r="NB7" s="470"/>
      <c r="NC7" s="76" t="s">
        <v>6477</v>
      </c>
      <c r="ND7" s="70" t="s">
        <v>6478</v>
      </c>
      <c r="NE7" s="70"/>
      <c r="NF7" s="76" t="s">
        <v>6479</v>
      </c>
      <c r="NG7" s="70"/>
      <c r="NH7" s="70"/>
      <c r="NI7" s="586" t="s">
        <v>6479</v>
      </c>
      <c r="NJ7" s="87"/>
      <c r="NK7" s="87"/>
      <c r="NL7" s="70" t="s">
        <v>6480</v>
      </c>
      <c r="NM7" s="65"/>
      <c r="NN7" s="68"/>
      <c r="NO7" s="111"/>
      <c r="NP7" s="111"/>
      <c r="NQ7" s="111"/>
      <c r="NR7" s="112"/>
      <c r="NS7" s="112"/>
      <c r="NT7" s="111"/>
      <c r="NU7" s="147" t="s">
        <v>6481</v>
      </c>
      <c r="NV7" s="546" t="s">
        <v>6482</v>
      </c>
      <c r="NW7" s="513"/>
    </row>
    <row r="8" spans="1:392" ht="28.8">
      <c r="A8" s="1638"/>
      <c r="B8" s="1643"/>
      <c r="C8" s="1656"/>
      <c r="D8" s="69"/>
      <c r="E8" s="70"/>
      <c r="F8" s="70"/>
      <c r="G8" s="65"/>
      <c r="H8" s="66" t="s">
        <v>6320</v>
      </c>
      <c r="I8" s="65"/>
      <c r="J8" s="112"/>
      <c r="K8" s="112"/>
      <c r="L8" s="110"/>
      <c r="M8" s="110"/>
      <c r="N8" s="110"/>
      <c r="O8" s="110"/>
      <c r="P8" s="113" t="s">
        <v>6347</v>
      </c>
      <c r="Q8" s="66" t="s">
        <v>6483</v>
      </c>
      <c r="R8" s="70"/>
      <c r="S8" s="64"/>
      <c r="T8" s="66" t="s">
        <v>6484</v>
      </c>
      <c r="U8" s="70"/>
      <c r="V8" s="64"/>
      <c r="W8" s="70"/>
      <c r="X8" s="70"/>
      <c r="Y8" s="64"/>
      <c r="Z8" s="70"/>
      <c r="AA8" s="70"/>
      <c r="AB8" s="64"/>
      <c r="AC8" s="70"/>
      <c r="AD8" s="70"/>
      <c r="AE8" s="110"/>
      <c r="AF8" s="110"/>
      <c r="AG8" s="110"/>
      <c r="AH8" s="110"/>
      <c r="AI8" s="110"/>
      <c r="AJ8" s="110"/>
      <c r="AK8" s="70"/>
      <c r="AL8" s="70"/>
      <c r="AM8" s="70"/>
      <c r="AN8" s="64"/>
      <c r="AO8" s="154"/>
      <c r="AP8" s="70"/>
      <c r="AQ8" s="64"/>
      <c r="AR8" s="70"/>
      <c r="AS8" s="70"/>
      <c r="AT8" s="64"/>
      <c r="AU8" s="70"/>
      <c r="AV8" s="70"/>
      <c r="AW8" s="148" t="s">
        <v>6317</v>
      </c>
      <c r="AX8" s="70"/>
      <c r="AY8" s="70"/>
      <c r="AZ8" s="110"/>
      <c r="BA8" s="110"/>
      <c r="BB8" s="110"/>
      <c r="BC8" s="110"/>
      <c r="BD8" s="110"/>
      <c r="BE8" s="110"/>
      <c r="BF8" s="70" t="s">
        <v>6312</v>
      </c>
      <c r="BG8" s="70"/>
      <c r="BH8" s="70"/>
      <c r="BI8" s="174"/>
      <c r="BJ8" s="177"/>
      <c r="BK8" s="177"/>
      <c r="BL8" s="64"/>
      <c r="BM8" s="70"/>
      <c r="BN8" s="70"/>
      <c r="BO8" s="70"/>
      <c r="BP8" s="64"/>
      <c r="BQ8" s="70"/>
      <c r="BR8" s="70"/>
      <c r="BS8" s="70"/>
      <c r="BT8" s="148"/>
      <c r="BU8" s="70"/>
      <c r="BV8" s="70"/>
      <c r="BW8" s="70"/>
      <c r="BX8" s="110"/>
      <c r="BY8" s="110"/>
      <c r="BZ8" s="110"/>
      <c r="CA8" s="110"/>
      <c r="CB8" s="110"/>
      <c r="CC8" s="128"/>
      <c r="CD8" s="201" t="s">
        <v>6485</v>
      </c>
      <c r="CE8" s="166" t="s">
        <v>6485</v>
      </c>
      <c r="CF8" s="198"/>
      <c r="CG8" s="198"/>
      <c r="CH8" s="198"/>
      <c r="CI8" s="198"/>
      <c r="CJ8" s="198"/>
      <c r="CK8" s="198"/>
      <c r="CL8" s="198"/>
      <c r="CM8" s="198"/>
      <c r="CN8" s="198"/>
      <c r="CO8" s="241" t="s">
        <v>6380</v>
      </c>
      <c r="CP8" s="198"/>
      <c r="CQ8" s="89"/>
      <c r="CR8" s="198"/>
      <c r="CS8" s="198"/>
      <c r="CT8" s="198"/>
      <c r="CU8" s="198"/>
      <c r="CV8" s="220"/>
      <c r="CW8" s="260"/>
      <c r="CX8" s="260"/>
      <c r="CY8" s="260"/>
      <c r="CZ8" s="260"/>
      <c r="DA8" s="260"/>
      <c r="DB8" s="260"/>
      <c r="DC8" s="293" t="s">
        <v>6318</v>
      </c>
      <c r="DD8" s="75" t="s">
        <v>6318</v>
      </c>
      <c r="DE8" s="64"/>
      <c r="DF8" s="152" t="s">
        <v>6318</v>
      </c>
      <c r="DG8" s="64"/>
      <c r="DH8" s="75" t="s">
        <v>6312</v>
      </c>
      <c r="DI8" s="64"/>
      <c r="DJ8" s="152" t="s">
        <v>6318</v>
      </c>
      <c r="DK8" s="66" t="s">
        <v>6318</v>
      </c>
      <c r="DL8" s="70"/>
      <c r="DM8" s="165"/>
      <c r="DN8" s="198"/>
      <c r="DO8" s="69"/>
      <c r="DP8" s="76"/>
      <c r="DQ8" s="70"/>
      <c r="DR8" s="70"/>
      <c r="DS8" s="110"/>
      <c r="DT8" s="110"/>
      <c r="DU8" s="110"/>
      <c r="DV8" s="110"/>
      <c r="DW8" s="110"/>
      <c r="DX8" s="110"/>
      <c r="DY8" s="76" t="s">
        <v>6486</v>
      </c>
      <c r="DZ8" s="70"/>
      <c r="EA8" s="70"/>
      <c r="EB8" s="110"/>
      <c r="EC8" s="110"/>
      <c r="ED8" s="110"/>
      <c r="EE8" s="70" t="s">
        <v>6487</v>
      </c>
      <c r="EF8" s="78" t="s">
        <v>6487</v>
      </c>
      <c r="EG8" s="70"/>
      <c r="EH8" s="77"/>
      <c r="EI8" s="70"/>
      <c r="EJ8" s="70"/>
      <c r="EK8" s="64" t="s">
        <v>6312</v>
      </c>
      <c r="EL8" s="66" t="s">
        <v>6394</v>
      </c>
      <c r="EM8" s="70"/>
      <c r="EN8" s="110"/>
      <c r="EO8" s="110"/>
      <c r="EP8" s="110"/>
      <c r="EQ8" s="110"/>
      <c r="ER8" s="110"/>
      <c r="ES8" s="110"/>
      <c r="ET8" s="76"/>
      <c r="EU8" s="70"/>
      <c r="EV8" s="70"/>
      <c r="EW8" s="110"/>
      <c r="EX8" s="110"/>
      <c r="EY8" s="110"/>
      <c r="EZ8" s="152"/>
      <c r="FA8" s="78" t="s">
        <v>6488</v>
      </c>
      <c r="FB8" s="87"/>
      <c r="FC8" s="77"/>
      <c r="FD8" s="87"/>
      <c r="FE8" s="87"/>
      <c r="FF8" s="147" t="s">
        <v>6489</v>
      </c>
      <c r="FG8" s="78" t="s">
        <v>6489</v>
      </c>
      <c r="FH8" s="70"/>
      <c r="FI8" s="110"/>
      <c r="FJ8" s="110"/>
      <c r="FK8" s="110"/>
      <c r="FL8" s="110"/>
      <c r="FM8" s="110"/>
      <c r="FN8" s="110"/>
      <c r="FO8" s="152" t="s">
        <v>6312</v>
      </c>
      <c r="FP8" s="70"/>
      <c r="FQ8" s="70"/>
      <c r="FR8" s="70"/>
      <c r="FS8" s="70"/>
      <c r="FT8" s="70"/>
      <c r="FU8" s="152" t="s">
        <v>6312</v>
      </c>
      <c r="FV8" s="87"/>
      <c r="FW8" s="87"/>
      <c r="FX8" s="148" t="s">
        <v>6490</v>
      </c>
      <c r="FY8" s="87"/>
      <c r="FZ8" s="87"/>
      <c r="GA8" s="87"/>
      <c r="GB8" s="87"/>
      <c r="GC8" s="70"/>
      <c r="GD8" s="110"/>
      <c r="GE8" s="110"/>
      <c r="GF8" s="110"/>
      <c r="GG8" s="110"/>
      <c r="GH8" s="110"/>
      <c r="GI8" s="110"/>
      <c r="GJ8" s="152"/>
      <c r="GK8" s="70"/>
      <c r="GL8" s="70"/>
      <c r="GM8" s="64"/>
      <c r="GN8" s="64"/>
      <c r="GO8" s="70"/>
      <c r="GP8" s="64" t="s">
        <v>6329</v>
      </c>
      <c r="GQ8" s="70" t="s">
        <v>6491</v>
      </c>
      <c r="GR8" s="87"/>
      <c r="GS8" s="64"/>
      <c r="GT8" s="87"/>
      <c r="GU8" s="77"/>
      <c r="GV8" s="77"/>
      <c r="GW8" s="87"/>
      <c r="GX8" s="70"/>
      <c r="GY8" s="87" t="s">
        <v>6314</v>
      </c>
      <c r="GZ8" s="87"/>
      <c r="HA8" s="87"/>
      <c r="HB8" s="110"/>
      <c r="HC8" s="110"/>
      <c r="HD8" s="110"/>
      <c r="HE8" s="344"/>
      <c r="HF8" s="70"/>
      <c r="HG8" s="70"/>
      <c r="HH8" s="64"/>
      <c r="HI8" s="64"/>
      <c r="HJ8" s="70"/>
      <c r="HK8" s="64" t="s">
        <v>6492</v>
      </c>
      <c r="HL8" s="70"/>
      <c r="HM8" s="87" t="s">
        <v>6493</v>
      </c>
      <c r="HN8" s="64"/>
      <c r="HO8" s="87"/>
      <c r="HP8" s="87"/>
      <c r="HQ8" s="77" t="s">
        <v>6317</v>
      </c>
      <c r="HR8" s="87"/>
      <c r="HS8" s="218"/>
      <c r="HT8" s="260"/>
      <c r="HU8" s="260"/>
      <c r="HV8" s="260"/>
      <c r="HW8" s="260"/>
      <c r="HX8" s="260"/>
      <c r="HY8" s="260"/>
      <c r="HZ8" s="404"/>
      <c r="IA8" s="260"/>
      <c r="IB8" s="274"/>
      <c r="IC8" s="197"/>
      <c r="ID8" s="198"/>
      <c r="IE8" s="268"/>
      <c r="IF8" s="410" t="s">
        <v>6494</v>
      </c>
      <c r="IG8" s="198" t="s">
        <v>6314</v>
      </c>
      <c r="IH8" s="431"/>
      <c r="II8" s="234" t="s">
        <v>6424</v>
      </c>
      <c r="IJ8" s="199" t="s">
        <v>6318</v>
      </c>
      <c r="IK8" s="435" t="s">
        <v>6495</v>
      </c>
      <c r="IL8" s="197"/>
      <c r="IM8" s="433" t="s">
        <v>6496</v>
      </c>
      <c r="IN8" s="268"/>
      <c r="IO8" s="288"/>
      <c r="IP8" s="260"/>
      <c r="IQ8" s="296"/>
      <c r="IR8" s="288"/>
      <c r="IS8" s="260"/>
      <c r="IT8" s="296"/>
      <c r="IU8" s="432" t="s">
        <v>6317</v>
      </c>
      <c r="IV8" s="198"/>
      <c r="IW8" s="470"/>
      <c r="IX8" s="197"/>
      <c r="IY8" s="198" t="s">
        <v>6332</v>
      </c>
      <c r="IZ8" s="268"/>
      <c r="JA8" s="201"/>
      <c r="JB8" s="198" t="s">
        <v>6317</v>
      </c>
      <c r="JC8" s="431"/>
      <c r="JD8" s="234"/>
      <c r="JE8" s="199" t="s">
        <v>6317</v>
      </c>
      <c r="JF8" s="431"/>
      <c r="JG8" s="197"/>
      <c r="JH8" s="70"/>
      <c r="JI8" s="268"/>
      <c r="JJ8" s="288"/>
      <c r="JK8" s="260"/>
      <c r="JL8" s="296"/>
      <c r="JM8" s="288"/>
      <c r="JN8" s="260"/>
      <c r="JO8" s="296"/>
      <c r="JP8" s="494" t="s">
        <v>6497</v>
      </c>
      <c r="JQ8" s="388"/>
      <c r="JR8" s="489"/>
      <c r="JS8" s="495"/>
      <c r="JT8" s="491"/>
      <c r="JU8" s="69"/>
      <c r="JV8" s="152" t="s">
        <v>6498</v>
      </c>
      <c r="JW8" s="70" t="s">
        <v>6499</v>
      </c>
      <c r="JX8" s="152"/>
      <c r="JY8" s="510"/>
      <c r="JZ8" s="87"/>
      <c r="KA8" s="87"/>
      <c r="KB8" s="77"/>
      <c r="KC8" s="87"/>
      <c r="KD8" s="70"/>
      <c r="KE8" s="110"/>
      <c r="KF8" s="110"/>
      <c r="KG8" s="110"/>
      <c r="KH8" s="110"/>
      <c r="KI8" s="110"/>
      <c r="KJ8" s="110"/>
      <c r="KK8" s="494"/>
      <c r="KL8" s="70"/>
      <c r="KM8" s="513"/>
      <c r="KN8" s="496" t="s">
        <v>6500</v>
      </c>
      <c r="KO8" s="70"/>
      <c r="KP8" s="70"/>
      <c r="KQ8" s="494"/>
      <c r="KR8" s="513"/>
      <c r="KS8" s="152"/>
      <c r="KT8" s="545"/>
      <c r="KU8" s="513"/>
      <c r="KV8" s="87"/>
      <c r="KW8" s="147"/>
      <c r="KX8" s="87"/>
      <c r="KY8" s="70"/>
      <c r="KZ8" s="110"/>
      <c r="LA8" s="110"/>
      <c r="LB8" s="110"/>
      <c r="LC8" s="110"/>
      <c r="LD8" s="110"/>
      <c r="LE8" s="110"/>
      <c r="LF8" s="494"/>
      <c r="LG8" s="513"/>
      <c r="LH8" s="513"/>
      <c r="LI8" s="313" t="s">
        <v>6501</v>
      </c>
      <c r="LJ8" s="513"/>
      <c r="LK8" s="70"/>
      <c r="LL8" s="494"/>
      <c r="LM8" s="513"/>
      <c r="LN8" s="152"/>
      <c r="LO8" s="147"/>
      <c r="LP8" s="513"/>
      <c r="LQ8" s="87"/>
      <c r="LR8" s="77"/>
      <c r="LS8" s="87"/>
      <c r="LT8" s="70"/>
      <c r="LU8" s="110"/>
      <c r="LV8" s="110"/>
      <c r="LW8" s="110"/>
      <c r="LX8" s="110"/>
      <c r="LY8" s="110"/>
      <c r="LZ8" s="110"/>
      <c r="MA8" s="77"/>
      <c r="MB8" s="513"/>
      <c r="MC8" s="513"/>
      <c r="ME8" s="77" t="s">
        <v>1622</v>
      </c>
      <c r="MF8" s="70"/>
      <c r="MG8" s="513"/>
      <c r="MH8" s="70"/>
      <c r="MI8" s="70"/>
      <c r="MJ8" s="70"/>
      <c r="MK8" s="70"/>
      <c r="ML8" s="70"/>
      <c r="MM8" s="70"/>
      <c r="MN8" s="143" t="s">
        <v>6502</v>
      </c>
      <c r="MO8" s="87"/>
      <c r="MP8" s="70"/>
      <c r="MQ8" s="70" t="s">
        <v>6317</v>
      </c>
      <c r="MR8" s="70"/>
      <c r="MS8" s="70"/>
      <c r="MT8" s="110"/>
      <c r="MU8" s="110"/>
      <c r="MV8" s="110"/>
      <c r="MW8" s="325"/>
      <c r="MX8" s="110"/>
      <c r="MY8" s="128"/>
      <c r="MZ8" s="432"/>
      <c r="NA8" s="454"/>
      <c r="NB8" s="470"/>
      <c r="NC8" s="70"/>
      <c r="ND8" s="70" t="s">
        <v>6312</v>
      </c>
      <c r="NE8" s="70"/>
      <c r="NF8" s="70"/>
      <c r="NG8" s="70"/>
      <c r="NH8" s="70"/>
      <c r="NI8" s="87"/>
      <c r="NJ8" s="87"/>
      <c r="NK8" s="70"/>
      <c r="NL8" s="586" t="s">
        <v>6503</v>
      </c>
      <c r="NM8" s="70"/>
      <c r="NN8" s="70"/>
      <c r="NO8" s="110"/>
      <c r="NP8" s="110"/>
      <c r="NQ8" s="110"/>
      <c r="NR8" s="325"/>
      <c r="NS8" s="110"/>
      <c r="NT8" s="110"/>
      <c r="NU8" s="523"/>
      <c r="NV8" s="513"/>
      <c r="NW8" s="513"/>
    </row>
    <row r="9" spans="1:392" ht="14.4">
      <c r="A9" s="1638"/>
      <c r="B9" s="1643"/>
      <c r="C9" s="1656"/>
      <c r="D9" s="69"/>
      <c r="E9" s="70"/>
      <c r="F9" s="70"/>
      <c r="G9" s="65"/>
      <c r="H9" s="66" t="s">
        <v>6504</v>
      </c>
      <c r="I9" s="68"/>
      <c r="J9" s="111"/>
      <c r="K9" s="111"/>
      <c r="L9" s="110"/>
      <c r="M9" s="110"/>
      <c r="N9" s="110"/>
      <c r="O9" s="110"/>
      <c r="P9" s="113" t="s">
        <v>6505</v>
      </c>
      <c r="Q9" s="66" t="s">
        <v>6506</v>
      </c>
      <c r="R9" s="70"/>
      <c r="S9" s="77"/>
      <c r="T9" s="70"/>
      <c r="U9" s="70"/>
      <c r="V9" s="77"/>
      <c r="W9" s="70"/>
      <c r="X9" s="70"/>
      <c r="Y9" s="77"/>
      <c r="Z9" s="70"/>
      <c r="AA9" s="70"/>
      <c r="AB9" s="77"/>
      <c r="AC9" s="70"/>
      <c r="AD9" s="70"/>
      <c r="AE9" s="110"/>
      <c r="AF9" s="110"/>
      <c r="AG9" s="110"/>
      <c r="AH9" s="110"/>
      <c r="AI9" s="110"/>
      <c r="AJ9" s="110"/>
      <c r="AK9" s="70"/>
      <c r="AL9" s="70"/>
      <c r="AM9" s="70"/>
      <c r="AN9" s="77"/>
      <c r="AO9" s="154"/>
      <c r="AP9" s="70"/>
      <c r="AQ9" s="77"/>
      <c r="AR9" s="70"/>
      <c r="AS9" s="70"/>
      <c r="AT9" s="77"/>
      <c r="AU9" s="70"/>
      <c r="AV9" s="70"/>
      <c r="AW9" s="143" t="s">
        <v>6507</v>
      </c>
      <c r="AX9" s="70"/>
      <c r="AY9" s="70"/>
      <c r="AZ9" s="110"/>
      <c r="BA9" s="110"/>
      <c r="BB9" s="110"/>
      <c r="BC9" s="110"/>
      <c r="BD9" s="110"/>
      <c r="BE9" s="110"/>
      <c r="BF9" s="70" t="s">
        <v>6508</v>
      </c>
      <c r="BG9" s="70"/>
      <c r="BH9" s="70"/>
      <c r="BI9" s="178"/>
      <c r="BJ9" s="177"/>
      <c r="BK9" s="177"/>
      <c r="BL9" s="77"/>
      <c r="BM9" s="70"/>
      <c r="BN9" s="70"/>
      <c r="BO9" s="70"/>
      <c r="BP9" s="77"/>
      <c r="BQ9" s="70"/>
      <c r="BR9" s="70"/>
      <c r="BS9" s="70"/>
      <c r="BT9" s="143"/>
      <c r="BU9" s="70"/>
      <c r="BV9" s="70"/>
      <c r="BW9" s="70"/>
      <c r="BX9" s="110"/>
      <c r="BY9" s="110"/>
      <c r="BZ9" s="110"/>
      <c r="CA9" s="110"/>
      <c r="CB9" s="110"/>
      <c r="CC9" s="128"/>
      <c r="CD9" s="201"/>
      <c r="CE9" s="198"/>
      <c r="CF9" s="198"/>
      <c r="CG9" s="199"/>
      <c r="CH9" s="198"/>
      <c r="CI9" s="198"/>
      <c r="CJ9" s="198"/>
      <c r="CK9" s="199"/>
      <c r="CL9" s="198"/>
      <c r="CM9" s="198"/>
      <c r="CN9" s="198"/>
      <c r="CO9" s="199"/>
      <c r="CP9" s="198"/>
      <c r="CQ9" s="166" t="s">
        <v>6509</v>
      </c>
      <c r="CR9" s="198"/>
      <c r="CS9" s="198"/>
      <c r="CT9" s="198"/>
      <c r="CU9" s="198"/>
      <c r="CV9" s="220"/>
      <c r="CW9" s="260"/>
      <c r="CX9" s="260"/>
      <c r="CY9" s="260"/>
      <c r="CZ9" s="260"/>
      <c r="DA9" s="260"/>
      <c r="DB9" s="260"/>
      <c r="DC9" s="293" t="s">
        <v>6510</v>
      </c>
      <c r="DD9" s="67" t="s">
        <v>6511</v>
      </c>
      <c r="DE9" s="68"/>
      <c r="DF9" s="76" t="s">
        <v>6512</v>
      </c>
      <c r="DG9" s="68"/>
      <c r="DH9" s="67" t="s">
        <v>6513</v>
      </c>
      <c r="DI9" s="68"/>
      <c r="DJ9" s="152"/>
      <c r="DK9" s="66" t="s">
        <v>6514</v>
      </c>
      <c r="DL9" s="70"/>
      <c r="DM9" s="165"/>
      <c r="DN9" s="198"/>
      <c r="DO9" s="69"/>
      <c r="DP9" s="76"/>
      <c r="DQ9" s="70"/>
      <c r="DR9" s="70"/>
      <c r="DS9" s="110"/>
      <c r="DT9" s="110"/>
      <c r="DU9" s="110"/>
      <c r="DV9" s="110"/>
      <c r="DW9" s="110"/>
      <c r="DX9" s="110"/>
      <c r="DY9" s="76"/>
      <c r="DZ9" s="70"/>
      <c r="EA9" s="70"/>
      <c r="EB9" s="110"/>
      <c r="EC9" s="110"/>
      <c r="ED9" s="110"/>
      <c r="EE9" s="70"/>
      <c r="EF9" s="316" t="s">
        <v>6515</v>
      </c>
      <c r="EG9" s="70"/>
      <c r="EH9" s="77"/>
      <c r="EI9" s="70"/>
      <c r="EJ9" s="70"/>
      <c r="EK9" s="64" t="s">
        <v>6516</v>
      </c>
      <c r="EL9" s="70"/>
      <c r="EM9" s="70"/>
      <c r="EN9" s="110"/>
      <c r="EO9" s="110"/>
      <c r="EP9" s="110"/>
      <c r="EQ9" s="110"/>
      <c r="ER9" s="110"/>
      <c r="ES9" s="110"/>
      <c r="ET9" s="70"/>
      <c r="EU9" s="70"/>
      <c r="EV9" s="70"/>
      <c r="EW9" s="110"/>
      <c r="EX9" s="110"/>
      <c r="EY9" s="110"/>
      <c r="EZ9" s="147"/>
      <c r="FA9" s="87"/>
      <c r="FB9" s="87"/>
      <c r="FC9" s="77"/>
      <c r="FD9" s="87"/>
      <c r="FE9" s="87"/>
      <c r="FF9" s="152"/>
      <c r="FG9" s="87"/>
      <c r="FH9" s="70"/>
      <c r="FI9" s="110"/>
      <c r="FJ9" s="110"/>
      <c r="FK9" s="110"/>
      <c r="FL9" s="110"/>
      <c r="FM9" s="110"/>
      <c r="FN9" s="110"/>
      <c r="FO9" s="152" t="s">
        <v>6517</v>
      </c>
      <c r="FP9" s="70"/>
      <c r="FQ9" s="70"/>
      <c r="FR9" s="70"/>
      <c r="FS9" s="70"/>
      <c r="FT9" s="70"/>
      <c r="FU9" s="147" t="s">
        <v>6518</v>
      </c>
      <c r="FV9" s="87"/>
      <c r="FW9" s="87"/>
      <c r="FX9" s="77"/>
      <c r="FY9" s="87"/>
      <c r="FZ9" s="87"/>
      <c r="GA9" s="87"/>
      <c r="GB9" s="87"/>
      <c r="GC9" s="70"/>
      <c r="GD9" s="110"/>
      <c r="GE9" s="110"/>
      <c r="GF9" s="110"/>
      <c r="GG9" s="110"/>
      <c r="GH9" s="110"/>
      <c r="GI9" s="110"/>
      <c r="GJ9" s="349"/>
      <c r="GK9" s="70"/>
      <c r="GL9" s="70"/>
      <c r="GM9" s="64"/>
      <c r="GN9" s="64"/>
      <c r="GO9" s="70"/>
      <c r="GP9" s="64"/>
      <c r="GQ9" s="70"/>
      <c r="GR9" s="87"/>
      <c r="GS9" s="77"/>
      <c r="GT9" s="87"/>
      <c r="GU9" s="87"/>
      <c r="GV9" s="77"/>
      <c r="GW9" s="87"/>
      <c r="GX9" s="70"/>
      <c r="GY9" s="87"/>
      <c r="GZ9" s="87"/>
      <c r="HA9" s="87"/>
      <c r="HB9" s="110"/>
      <c r="HC9" s="110"/>
      <c r="HD9" s="110"/>
      <c r="HE9" s="76"/>
      <c r="HF9" s="70"/>
      <c r="HG9" s="70"/>
      <c r="HH9" s="64"/>
      <c r="HI9" s="64"/>
      <c r="HJ9" s="70"/>
      <c r="HK9" s="64"/>
      <c r="HL9" s="70"/>
      <c r="HM9" s="87" t="s">
        <v>6519</v>
      </c>
      <c r="HN9" s="64"/>
      <c r="HO9" s="87"/>
      <c r="HP9" s="87"/>
      <c r="HQ9" s="152"/>
      <c r="HR9" s="87"/>
      <c r="HS9" s="218"/>
      <c r="HT9" s="260"/>
      <c r="HU9" s="260"/>
      <c r="HV9" s="260"/>
      <c r="HW9" s="260"/>
      <c r="HX9" s="260"/>
      <c r="HY9" s="260"/>
      <c r="HZ9" s="404"/>
      <c r="IA9" s="260"/>
      <c r="IB9" s="274"/>
      <c r="IC9" s="197"/>
      <c r="ID9" s="198"/>
      <c r="IE9" s="268"/>
      <c r="IF9" s="410" t="s">
        <v>6520</v>
      </c>
      <c r="IG9" s="199" t="s">
        <v>6521</v>
      </c>
      <c r="IH9" s="431"/>
      <c r="II9" s="197"/>
      <c r="IJ9" s="199" t="s">
        <v>6435</v>
      </c>
      <c r="IK9" s="431"/>
      <c r="IL9" s="201"/>
      <c r="IM9" s="199"/>
      <c r="IN9" s="268"/>
      <c r="IO9" s="288"/>
      <c r="IP9" s="260"/>
      <c r="IQ9" s="296"/>
      <c r="IR9" s="288"/>
      <c r="IS9" s="260"/>
      <c r="IT9" s="296"/>
      <c r="IU9" s="201" t="s">
        <v>6438</v>
      </c>
      <c r="IV9" s="198"/>
      <c r="IW9" s="470"/>
      <c r="IX9" s="197"/>
      <c r="IY9" s="198" t="s">
        <v>6440</v>
      </c>
      <c r="IZ9" s="268"/>
      <c r="JA9" s="197"/>
      <c r="JB9" s="199" t="s">
        <v>6522</v>
      </c>
      <c r="JC9" s="431"/>
      <c r="JD9" s="197"/>
      <c r="JE9" s="199" t="s">
        <v>6442</v>
      </c>
      <c r="JF9" s="431"/>
      <c r="JG9" s="201"/>
      <c r="JH9" s="70"/>
      <c r="JI9" s="268"/>
      <c r="JJ9" s="288"/>
      <c r="JK9" s="260"/>
      <c r="JL9" s="296"/>
      <c r="JM9" s="288"/>
      <c r="JN9" s="260"/>
      <c r="JO9" s="296"/>
      <c r="JP9" s="496"/>
      <c r="JQ9" s="388"/>
      <c r="JR9" s="489"/>
      <c r="JS9" s="495"/>
      <c r="JT9" s="491"/>
      <c r="JU9" s="69"/>
      <c r="JV9" s="152"/>
      <c r="JW9" s="70" t="s">
        <v>6520</v>
      </c>
      <c r="JX9" s="152"/>
      <c r="JY9" s="510"/>
      <c r="JZ9" s="87"/>
      <c r="KA9" s="87"/>
      <c r="KB9" s="64"/>
      <c r="KC9" s="87"/>
      <c r="KD9" s="70"/>
      <c r="KE9" s="110"/>
      <c r="KF9" s="110"/>
      <c r="KG9" s="110"/>
      <c r="KH9" s="110"/>
      <c r="KI9" s="110"/>
      <c r="KJ9" s="110"/>
      <c r="KK9" s="496"/>
      <c r="KL9" s="70"/>
      <c r="KM9" s="513"/>
      <c r="KN9" s="496"/>
      <c r="KO9" s="70"/>
      <c r="KP9" s="70"/>
      <c r="KQ9" s="496"/>
      <c r="KR9" s="513"/>
      <c r="KS9" s="152"/>
      <c r="KT9" s="512"/>
      <c r="KU9" s="513"/>
      <c r="KV9" s="87"/>
      <c r="KW9" s="64"/>
      <c r="KX9" s="87"/>
      <c r="KY9" s="70"/>
      <c r="KZ9" s="110"/>
      <c r="LA9" s="110"/>
      <c r="LB9" s="110"/>
      <c r="LC9" s="110"/>
      <c r="LD9" s="110"/>
      <c r="LE9" s="110"/>
      <c r="LF9" s="496"/>
      <c r="LG9" s="513"/>
      <c r="LH9" s="513"/>
      <c r="LI9" s="512"/>
      <c r="LJ9" s="513"/>
      <c r="LK9" s="70"/>
      <c r="LL9" s="496"/>
      <c r="LM9" s="513"/>
      <c r="LN9" s="77"/>
      <c r="LO9" s="64"/>
      <c r="LP9" s="513"/>
      <c r="LQ9" s="87"/>
      <c r="LR9" s="148"/>
      <c r="LS9" s="87"/>
      <c r="LT9" s="70"/>
      <c r="LU9" s="110"/>
      <c r="LV9" s="110"/>
      <c r="LW9" s="110"/>
      <c r="LX9" s="110"/>
      <c r="LY9" s="110"/>
      <c r="LZ9" s="110"/>
      <c r="MA9" s="64"/>
      <c r="MB9" s="513"/>
      <c r="MC9" s="513"/>
      <c r="ME9" s="64"/>
      <c r="MF9" s="70"/>
      <c r="MG9" s="513"/>
      <c r="MH9" s="70"/>
      <c r="MI9" s="70"/>
      <c r="MJ9" s="70"/>
      <c r="MK9" s="70"/>
      <c r="ML9" s="70"/>
      <c r="MM9" s="70"/>
      <c r="MN9" s="87"/>
      <c r="MO9" s="70"/>
      <c r="MP9" s="70"/>
      <c r="MQ9" s="70" t="s">
        <v>6473</v>
      </c>
      <c r="MR9" s="65"/>
      <c r="MS9" s="70"/>
      <c r="MT9" s="110"/>
      <c r="MU9" s="110"/>
      <c r="MV9" s="110"/>
      <c r="MW9" s="109"/>
      <c r="MX9" s="110"/>
      <c r="MY9" s="128"/>
      <c r="MZ9" s="204"/>
      <c r="NA9" s="456"/>
      <c r="NB9" s="471"/>
      <c r="NC9" s="70"/>
      <c r="ND9" s="70" t="s">
        <v>6480</v>
      </c>
      <c r="NE9" s="70"/>
      <c r="NF9" s="70"/>
      <c r="NG9" s="70"/>
      <c r="NH9" s="70"/>
      <c r="NI9" s="87"/>
      <c r="NJ9" s="70"/>
      <c r="NK9" s="70"/>
      <c r="NL9" s="70"/>
      <c r="NM9" s="70"/>
      <c r="NN9" s="70"/>
      <c r="NO9" s="110"/>
      <c r="NP9" s="110"/>
      <c r="NQ9" s="110"/>
      <c r="NR9" s="109"/>
      <c r="NS9" s="110"/>
      <c r="NT9" s="110"/>
      <c r="NU9" s="64"/>
      <c r="NV9" s="513"/>
      <c r="NW9" s="513"/>
    </row>
    <row r="10" spans="1:392" ht="14.4" hidden="1">
      <c r="A10" s="1638"/>
      <c r="B10" s="1643"/>
      <c r="C10" s="1657"/>
      <c r="D10" s="69"/>
      <c r="E10" s="70"/>
      <c r="F10" s="70"/>
      <c r="G10" s="71"/>
      <c r="H10" s="66"/>
      <c r="I10" s="70"/>
      <c r="J10" s="110"/>
      <c r="K10" s="110"/>
      <c r="L10" s="110"/>
      <c r="M10" s="110"/>
      <c r="N10" s="110"/>
      <c r="O10" s="110"/>
      <c r="P10" s="113"/>
      <c r="Q10" s="75" t="s">
        <v>6322</v>
      </c>
      <c r="R10" s="70"/>
      <c r="S10" s="77"/>
      <c r="T10" s="70"/>
      <c r="U10" s="70"/>
      <c r="V10" s="77"/>
      <c r="W10" s="70"/>
      <c r="X10" s="70"/>
      <c r="Y10" s="77"/>
      <c r="Z10" s="70"/>
      <c r="AA10" s="70"/>
      <c r="AB10" s="77"/>
      <c r="AC10" s="70"/>
      <c r="AD10" s="70"/>
      <c r="AE10" s="110"/>
      <c r="AF10" s="110"/>
      <c r="AG10" s="110"/>
      <c r="AH10" s="110"/>
      <c r="AI10" s="110"/>
      <c r="AJ10" s="110"/>
      <c r="AK10" s="70"/>
      <c r="AL10" s="70"/>
      <c r="AM10" s="70"/>
      <c r="AN10" s="77"/>
      <c r="AO10" s="154"/>
      <c r="AP10" s="70"/>
      <c r="AQ10" s="77"/>
      <c r="AR10" s="70"/>
      <c r="AS10" s="70"/>
      <c r="AT10" s="77"/>
      <c r="AU10" s="70"/>
      <c r="AV10" s="70"/>
      <c r="AW10" s="143"/>
      <c r="AX10" s="70"/>
      <c r="AY10" s="70"/>
      <c r="AZ10" s="110"/>
      <c r="BA10" s="110"/>
      <c r="BB10" s="110"/>
      <c r="BC10" s="110"/>
      <c r="BD10" s="110"/>
      <c r="BE10" s="110"/>
      <c r="BF10" s="70"/>
      <c r="BG10" s="70"/>
      <c r="BH10" s="70"/>
      <c r="BI10" s="178"/>
      <c r="BJ10" s="177"/>
      <c r="BK10" s="177"/>
      <c r="BL10" s="77"/>
      <c r="BM10" s="70"/>
      <c r="BN10" s="70"/>
      <c r="BO10" s="70"/>
      <c r="BP10" s="77"/>
      <c r="BQ10" s="70"/>
      <c r="BR10" s="70"/>
      <c r="BS10" s="70"/>
      <c r="BT10" s="143"/>
      <c r="BU10" s="70"/>
      <c r="BV10" s="70"/>
      <c r="BW10" s="70"/>
      <c r="BX10" s="110"/>
      <c r="BY10" s="110"/>
      <c r="BZ10" s="110"/>
      <c r="CA10" s="110"/>
      <c r="CB10" s="110"/>
      <c r="CC10" s="128"/>
      <c r="CD10" s="201"/>
      <c r="CE10" s="198"/>
      <c r="CF10" s="198"/>
      <c r="CG10" s="199"/>
      <c r="CH10" s="198"/>
      <c r="CI10" s="198"/>
      <c r="CJ10" s="198"/>
      <c r="CK10" s="199"/>
      <c r="CL10" s="198"/>
      <c r="CM10" s="198"/>
      <c r="CN10" s="198"/>
      <c r="CO10" s="199"/>
      <c r="CP10" s="198"/>
      <c r="CQ10" s="166" t="s">
        <v>6523</v>
      </c>
      <c r="CR10" s="198"/>
      <c r="CS10" s="198"/>
      <c r="CT10" s="198"/>
      <c r="CU10" s="198"/>
      <c r="CV10" s="220"/>
      <c r="CW10" s="260"/>
      <c r="CX10" s="260"/>
      <c r="CY10" s="260"/>
      <c r="CZ10" s="260"/>
      <c r="DA10" s="260"/>
      <c r="DB10" s="260"/>
      <c r="DC10" s="294" t="s">
        <v>6524</v>
      </c>
      <c r="DD10" s="70"/>
      <c r="DE10" s="70"/>
      <c r="DF10" s="76"/>
      <c r="DG10" s="70"/>
      <c r="DH10" s="70"/>
      <c r="DI10" s="70"/>
      <c r="DJ10" s="64" t="s">
        <v>6525</v>
      </c>
      <c r="DK10" s="70"/>
      <c r="DL10" s="70"/>
      <c r="DM10" s="77"/>
      <c r="DN10" s="83"/>
      <c r="DO10" s="70"/>
      <c r="DP10" s="70"/>
      <c r="DQ10" s="70"/>
      <c r="DR10" s="70"/>
      <c r="DS10" s="110"/>
      <c r="DT10" s="110"/>
      <c r="DU10" s="110"/>
      <c r="DV10" s="110"/>
      <c r="DW10" s="110"/>
      <c r="DX10" s="110"/>
      <c r="DY10" s="70"/>
      <c r="DZ10" s="70"/>
      <c r="EA10" s="70"/>
      <c r="EB10" s="110"/>
      <c r="EC10" s="110"/>
      <c r="ED10" s="110"/>
      <c r="EE10" s="70"/>
      <c r="EF10" s="78" t="s">
        <v>6526</v>
      </c>
      <c r="EG10" s="70"/>
      <c r="EH10" s="77"/>
      <c r="EI10" s="70"/>
      <c r="EJ10" s="70"/>
      <c r="EK10" s="83"/>
      <c r="EL10" s="70"/>
      <c r="EM10" s="70"/>
      <c r="EN10" s="110"/>
      <c r="EO10" s="110"/>
      <c r="EP10" s="110"/>
      <c r="EQ10" s="110"/>
      <c r="ER10" s="110"/>
      <c r="ES10" s="110"/>
      <c r="ET10" s="70"/>
      <c r="EU10" s="70"/>
      <c r="EV10" s="70"/>
      <c r="EW10" s="110"/>
      <c r="EX10" s="110"/>
      <c r="EY10" s="110"/>
      <c r="EZ10" s="87"/>
      <c r="FA10" s="87"/>
      <c r="FB10" s="87"/>
      <c r="FC10" s="77"/>
      <c r="FD10" s="87"/>
      <c r="FE10" s="87"/>
      <c r="FF10" s="349"/>
      <c r="FG10" s="87"/>
      <c r="FH10" s="70"/>
      <c r="FI10" s="110"/>
      <c r="FJ10" s="110"/>
      <c r="FK10" s="110"/>
      <c r="FL10" s="110"/>
      <c r="FM10" s="110"/>
      <c r="FN10" s="110"/>
      <c r="FO10" s="349"/>
      <c r="FP10" s="70"/>
      <c r="FQ10" s="70"/>
      <c r="FR10" s="70"/>
      <c r="FS10" s="70"/>
      <c r="FT10" s="70"/>
      <c r="FU10" s="87"/>
      <c r="FV10" s="87"/>
      <c r="FW10" s="87"/>
      <c r="FX10" s="77"/>
      <c r="FY10" s="87"/>
      <c r="FZ10" s="87"/>
      <c r="GA10" s="87"/>
      <c r="GB10" s="87"/>
      <c r="GC10" s="70"/>
      <c r="GD10" s="110"/>
      <c r="GE10" s="110"/>
      <c r="GF10" s="110"/>
      <c r="GG10" s="110"/>
      <c r="GH10" s="110"/>
      <c r="GI10" s="110"/>
      <c r="GJ10" s="349"/>
      <c r="GK10" s="70"/>
      <c r="GL10" s="70"/>
      <c r="GM10" s="64"/>
      <c r="GN10" s="64"/>
      <c r="GO10" s="70"/>
      <c r="GP10" s="64"/>
      <c r="GQ10" s="70"/>
      <c r="GR10" s="87"/>
      <c r="GS10" s="77"/>
      <c r="GT10" s="87"/>
      <c r="GU10" s="87"/>
      <c r="GV10" s="77"/>
      <c r="GW10" s="87"/>
      <c r="GX10" s="70"/>
      <c r="GY10" s="87"/>
      <c r="GZ10" s="87"/>
      <c r="HA10" s="87"/>
      <c r="HB10" s="110"/>
      <c r="HC10" s="110"/>
      <c r="HD10" s="110"/>
      <c r="HE10" s="76"/>
      <c r="HF10" s="70"/>
      <c r="HG10" s="70"/>
      <c r="HH10" s="64"/>
      <c r="HI10" s="64"/>
      <c r="HJ10" s="70"/>
      <c r="HK10" s="64"/>
      <c r="HL10" s="70"/>
      <c r="HM10" s="87"/>
      <c r="HN10" s="64"/>
      <c r="HO10" s="87"/>
      <c r="HP10" s="87"/>
      <c r="HQ10" s="152"/>
      <c r="HR10" s="87"/>
      <c r="HS10" s="218"/>
      <c r="HT10" s="260"/>
      <c r="HU10" s="260"/>
      <c r="HV10" s="260"/>
      <c r="HW10" s="260"/>
      <c r="HX10" s="260"/>
      <c r="HY10" s="260"/>
      <c r="HZ10" s="404"/>
      <c r="IA10" s="260"/>
      <c r="IB10" s="274"/>
      <c r="IC10" s="197"/>
      <c r="ID10" s="198"/>
      <c r="IE10" s="268"/>
      <c r="IF10" s="410"/>
      <c r="IG10" s="199"/>
      <c r="IH10" s="431"/>
      <c r="II10" s="197"/>
      <c r="IJ10" s="199"/>
      <c r="IK10" s="431"/>
      <c r="IL10" s="201"/>
      <c r="IM10" s="199"/>
      <c r="IN10" s="268"/>
      <c r="IO10" s="288"/>
      <c r="IP10" s="260"/>
      <c r="IQ10" s="296"/>
      <c r="IR10" s="288"/>
      <c r="IS10" s="260"/>
      <c r="IT10" s="296"/>
      <c r="IU10" s="201"/>
      <c r="IV10" s="198"/>
      <c r="IW10" s="470"/>
      <c r="IX10" s="197"/>
      <c r="IY10" s="198"/>
      <c r="IZ10" s="268"/>
      <c r="JA10" s="197"/>
      <c r="JB10" s="199"/>
      <c r="JC10" s="431"/>
      <c r="JD10" s="197"/>
      <c r="JE10" s="199" t="s">
        <v>6527</v>
      </c>
      <c r="JF10" s="431"/>
      <c r="JG10" s="201"/>
      <c r="JH10" s="70"/>
      <c r="JI10" s="268"/>
      <c r="JJ10" s="288"/>
      <c r="JK10" s="260"/>
      <c r="JL10" s="296"/>
      <c r="JM10" s="288"/>
      <c r="JN10" s="260"/>
      <c r="JO10" s="296"/>
      <c r="JP10" s="496"/>
      <c r="JQ10" s="388"/>
      <c r="JR10" s="489"/>
      <c r="JS10" s="495"/>
      <c r="JT10" s="491"/>
      <c r="JU10" s="69"/>
      <c r="JV10" s="152"/>
      <c r="JW10" s="70"/>
      <c r="JX10" s="152"/>
      <c r="JY10" s="510"/>
      <c r="JZ10" s="87"/>
      <c r="KA10" s="87"/>
      <c r="KB10" s="64"/>
      <c r="KC10" s="87"/>
      <c r="KD10" s="70"/>
      <c r="KE10" s="110"/>
      <c r="KF10" s="110"/>
      <c r="KG10" s="110"/>
      <c r="KH10" s="110"/>
      <c r="KI10" s="110"/>
      <c r="KJ10" s="110"/>
      <c r="KK10" s="496"/>
      <c r="KL10" s="70"/>
      <c r="KM10" s="513"/>
      <c r="KN10" s="512"/>
      <c r="KO10" s="70"/>
      <c r="KP10" s="70"/>
      <c r="KQ10" s="496"/>
      <c r="KR10" s="513"/>
      <c r="KS10" s="77"/>
      <c r="KT10" s="513"/>
      <c r="KU10" s="513"/>
      <c r="KV10" s="367"/>
      <c r="KW10" s="77"/>
      <c r="KX10" s="367"/>
      <c r="KY10" s="229"/>
      <c r="KZ10" s="338"/>
      <c r="LA10" s="338"/>
      <c r="LB10" s="338"/>
      <c r="LC10" s="338"/>
      <c r="LD10" s="338"/>
      <c r="LE10" s="338"/>
      <c r="LF10" s="497"/>
      <c r="LG10" s="497"/>
      <c r="LH10" s="497"/>
      <c r="LI10" s="513"/>
      <c r="LJ10" s="513"/>
      <c r="LK10" s="229"/>
      <c r="LL10" s="497"/>
      <c r="LM10" s="497"/>
      <c r="LN10" s="367"/>
      <c r="LO10" s="77"/>
      <c r="LP10" s="513"/>
      <c r="LQ10" s="367"/>
      <c r="LR10" s="77"/>
      <c r="LS10" s="367"/>
      <c r="LT10" s="229"/>
      <c r="LU10" s="338"/>
      <c r="LV10" s="338"/>
      <c r="LW10" s="338"/>
      <c r="LX10" s="338"/>
      <c r="LY10" s="338"/>
      <c r="LZ10" s="338"/>
      <c r="MA10" s="77"/>
      <c r="MB10" s="497"/>
      <c r="MC10" s="497"/>
      <c r="ME10" s="77"/>
      <c r="MF10" s="229"/>
      <c r="MG10" s="497"/>
      <c r="MH10" s="70"/>
      <c r="MI10" s="70"/>
      <c r="MJ10" s="367"/>
      <c r="MK10" s="77"/>
      <c r="ML10" s="70"/>
      <c r="MM10" s="367"/>
      <c r="MN10" s="367"/>
      <c r="MO10" s="367"/>
      <c r="MP10" s="513"/>
      <c r="MQ10" s="229"/>
      <c r="MR10" s="229"/>
      <c r="MS10" s="229"/>
      <c r="MT10" s="338"/>
      <c r="MU10" s="338"/>
      <c r="MV10" s="338"/>
      <c r="MW10" s="325"/>
      <c r="MX10" s="338"/>
      <c r="MY10" s="578"/>
      <c r="MZ10" s="579"/>
      <c r="NA10" s="460"/>
      <c r="NB10" s="472"/>
      <c r="NC10" s="70"/>
      <c r="ND10" s="70"/>
      <c r="NE10" s="367"/>
      <c r="NF10" s="77"/>
      <c r="NG10" s="513"/>
      <c r="NH10" s="367"/>
      <c r="NI10" s="367"/>
      <c r="NJ10" s="367"/>
      <c r="NK10" s="513"/>
      <c r="NL10" s="229"/>
      <c r="NM10" s="229"/>
      <c r="NN10" s="229"/>
      <c r="NO10" s="338"/>
      <c r="NP10" s="338"/>
      <c r="NQ10" s="338"/>
      <c r="NR10" s="325"/>
      <c r="NS10" s="338"/>
      <c r="NT10" s="338"/>
      <c r="NU10" s="77"/>
      <c r="NV10" s="497"/>
      <c r="NW10" s="497"/>
    </row>
    <row r="11" spans="1:392" ht="14.4" hidden="1">
      <c r="A11" s="1638"/>
      <c r="B11" s="1643"/>
      <c r="C11" s="1657"/>
      <c r="D11" s="69"/>
      <c r="E11" s="70"/>
      <c r="F11" s="70"/>
      <c r="G11" s="71"/>
      <c r="H11" s="66"/>
      <c r="I11" s="70"/>
      <c r="J11" s="110"/>
      <c r="K11" s="110"/>
      <c r="L11" s="110"/>
      <c r="M11" s="110"/>
      <c r="N11" s="110"/>
      <c r="O11" s="110"/>
      <c r="P11" s="113"/>
      <c r="Q11" s="67" t="s">
        <v>6357</v>
      </c>
      <c r="R11" s="70"/>
      <c r="S11" s="77"/>
      <c r="T11" s="70"/>
      <c r="U11" s="70"/>
      <c r="V11" s="77"/>
      <c r="W11" s="70"/>
      <c r="X11" s="70"/>
      <c r="Y11" s="77"/>
      <c r="Z11" s="70"/>
      <c r="AA11" s="70"/>
      <c r="AB11" s="77"/>
      <c r="AC11" s="70"/>
      <c r="AD11" s="70"/>
      <c r="AE11" s="110"/>
      <c r="AF11" s="110"/>
      <c r="AG11" s="110"/>
      <c r="AH11" s="110"/>
      <c r="AI11" s="110"/>
      <c r="AJ11" s="110"/>
      <c r="AK11" s="70"/>
      <c r="AL11" s="70"/>
      <c r="AM11" s="70"/>
      <c r="AN11" s="77"/>
      <c r="AO11" s="154"/>
      <c r="AP11" s="70"/>
      <c r="AQ11" s="77"/>
      <c r="AR11" s="70"/>
      <c r="AS11" s="70"/>
      <c r="AT11" s="77"/>
      <c r="AU11" s="70"/>
      <c r="AV11" s="70"/>
      <c r="AW11" s="143"/>
      <c r="AX11" s="70"/>
      <c r="AY11" s="70"/>
      <c r="AZ11" s="110"/>
      <c r="BA11" s="110"/>
      <c r="BB11" s="110"/>
      <c r="BC11" s="110"/>
      <c r="BD11" s="110"/>
      <c r="BE11" s="110"/>
      <c r="BF11" s="70"/>
      <c r="BG11" s="70"/>
      <c r="BH11" s="70"/>
      <c r="BI11" s="178"/>
      <c r="BJ11" s="177"/>
      <c r="BK11" s="177"/>
      <c r="BL11" s="77"/>
      <c r="BM11" s="70"/>
      <c r="BN11" s="70"/>
      <c r="BO11" s="70"/>
      <c r="BP11" s="77"/>
      <c r="BQ11" s="70"/>
      <c r="BR11" s="70"/>
      <c r="BS11" s="70"/>
      <c r="BT11" s="143"/>
      <c r="BU11" s="70"/>
      <c r="BV11" s="70"/>
      <c r="BW11" s="70"/>
      <c r="BX11" s="110"/>
      <c r="BY11" s="110"/>
      <c r="BZ11" s="110"/>
      <c r="CA11" s="110"/>
      <c r="CB11" s="110"/>
      <c r="CC11" s="128"/>
      <c r="CD11" s="201"/>
      <c r="CE11" s="198"/>
      <c r="CF11" s="198"/>
      <c r="CG11" s="198"/>
      <c r="CH11" s="198"/>
      <c r="CI11" s="198"/>
      <c r="CJ11" s="198"/>
      <c r="CK11" s="198"/>
      <c r="CL11" s="198"/>
      <c r="CM11" s="198"/>
      <c r="CN11" s="198"/>
      <c r="CO11" s="198"/>
      <c r="CP11" s="198"/>
      <c r="CQ11" s="198"/>
      <c r="CR11" s="198"/>
      <c r="CS11" s="198"/>
      <c r="CT11" s="198"/>
      <c r="CU11" s="198"/>
      <c r="CV11" s="220"/>
      <c r="CW11" s="260"/>
      <c r="CX11" s="260"/>
      <c r="CY11" s="260"/>
      <c r="CZ11" s="260"/>
      <c r="DA11" s="260"/>
      <c r="DB11" s="260"/>
      <c r="DC11" s="69"/>
      <c r="DD11" s="70"/>
      <c r="DE11" s="70"/>
      <c r="DF11" s="70"/>
      <c r="DG11" s="70"/>
      <c r="DH11" s="70"/>
      <c r="DI11" s="70"/>
      <c r="DJ11" s="83"/>
      <c r="DK11" s="70"/>
      <c r="DL11" s="70"/>
      <c r="DM11" s="77"/>
      <c r="DN11" s="70"/>
      <c r="DO11" s="70"/>
      <c r="DP11" s="70"/>
      <c r="DQ11" s="70"/>
      <c r="DR11" s="70"/>
      <c r="DS11" s="110"/>
      <c r="DT11" s="110"/>
      <c r="DU11" s="110"/>
      <c r="DV11" s="110"/>
      <c r="DW11" s="110"/>
      <c r="DX11" s="110"/>
      <c r="DY11" s="70"/>
      <c r="DZ11" s="70"/>
      <c r="EA11" s="70"/>
      <c r="EB11" s="110"/>
      <c r="EC11" s="110"/>
      <c r="ED11" s="110"/>
      <c r="EE11" s="70"/>
      <c r="EF11" s="70"/>
      <c r="EG11" s="70"/>
      <c r="EH11" s="77"/>
      <c r="EI11" s="70"/>
      <c r="EJ11" s="218"/>
      <c r="EK11" s="198"/>
      <c r="EL11" s="69"/>
      <c r="EM11" s="70"/>
      <c r="EN11" s="110"/>
      <c r="EO11" s="110"/>
      <c r="EP11" s="110"/>
      <c r="EQ11" s="110"/>
      <c r="ER11" s="110"/>
      <c r="ES11" s="110"/>
      <c r="ET11" s="70"/>
      <c r="EU11" s="70"/>
      <c r="EV11" s="70"/>
      <c r="EW11" s="110"/>
      <c r="EX11" s="110"/>
      <c r="EY11" s="110"/>
      <c r="EZ11" s="87"/>
      <c r="FA11" s="87"/>
      <c r="FB11" s="87"/>
      <c r="FC11" s="77"/>
      <c r="FD11" s="87"/>
      <c r="FE11" s="87"/>
      <c r="FF11" s="349"/>
      <c r="FG11" s="87"/>
      <c r="FH11" s="70"/>
      <c r="FI11" s="110"/>
      <c r="FJ11" s="110"/>
      <c r="FK11" s="110"/>
      <c r="FL11" s="110"/>
      <c r="FM11" s="110"/>
      <c r="FN11" s="110"/>
      <c r="FO11" s="349"/>
      <c r="FP11" s="70"/>
      <c r="FQ11" s="70"/>
      <c r="FR11" s="70"/>
      <c r="FS11" s="70"/>
      <c r="FT11" s="70"/>
      <c r="FU11" s="87"/>
      <c r="FV11" s="87"/>
      <c r="FW11" s="87"/>
      <c r="FX11" s="77"/>
      <c r="FY11" s="87"/>
      <c r="FZ11" s="87"/>
      <c r="GA11" s="87"/>
      <c r="GB11" s="87"/>
      <c r="GC11" s="70"/>
      <c r="GD11" s="110"/>
      <c r="GE11" s="110"/>
      <c r="GF11" s="110"/>
      <c r="GG11" s="110"/>
      <c r="GH11" s="110"/>
      <c r="GI11" s="110"/>
      <c r="GJ11" s="76"/>
      <c r="GK11" s="70"/>
      <c r="GL11" s="70"/>
      <c r="GM11" s="68"/>
      <c r="GN11" s="68"/>
      <c r="GO11" s="70"/>
      <c r="GP11" s="68" t="s">
        <v>6337</v>
      </c>
      <c r="GQ11" s="147"/>
      <c r="GR11" s="87"/>
      <c r="GS11" s="77"/>
      <c r="GT11" s="87"/>
      <c r="GU11" s="87"/>
      <c r="GV11" s="77"/>
      <c r="GW11" s="87"/>
      <c r="GX11" s="70"/>
      <c r="GY11" s="344" t="s">
        <v>6528</v>
      </c>
      <c r="GZ11" s="87"/>
      <c r="HA11" s="87"/>
      <c r="HB11" s="110"/>
      <c r="HC11" s="110"/>
      <c r="HD11" s="110"/>
      <c r="HE11" s="87"/>
      <c r="HF11" s="70"/>
      <c r="HG11" s="70"/>
      <c r="HH11" s="68"/>
      <c r="HI11" s="68"/>
      <c r="HJ11" s="70"/>
      <c r="HK11" s="68"/>
      <c r="HL11" s="147"/>
      <c r="HM11" s="87"/>
      <c r="HN11" s="77"/>
      <c r="HO11" s="87"/>
      <c r="HP11" s="87"/>
      <c r="HQ11" s="64" t="s">
        <v>6437</v>
      </c>
      <c r="HR11" s="87"/>
      <c r="HS11" s="218"/>
      <c r="HT11" s="260"/>
      <c r="HU11" s="260"/>
      <c r="HV11" s="260"/>
      <c r="HW11" s="260"/>
      <c r="HX11" s="260"/>
      <c r="HY11" s="260"/>
      <c r="HZ11" s="260"/>
      <c r="IA11" s="260"/>
      <c r="IB11" s="274"/>
      <c r="IC11" s="201"/>
      <c r="ID11" s="198"/>
      <c r="IE11" s="268"/>
      <c r="IF11" s="201"/>
      <c r="IG11" s="199"/>
      <c r="IH11" s="431"/>
      <c r="II11" s="197"/>
      <c r="IJ11" s="199"/>
      <c r="IK11" s="431"/>
      <c r="IL11" s="197"/>
      <c r="IM11" s="199"/>
      <c r="IN11" s="268"/>
      <c r="IO11" s="288"/>
      <c r="IP11" s="260"/>
      <c r="IQ11" s="296"/>
      <c r="IR11" s="288"/>
      <c r="IS11" s="260"/>
      <c r="IT11" s="296"/>
      <c r="IU11" s="432"/>
      <c r="IV11" s="198"/>
      <c r="IW11" s="470"/>
      <c r="IX11" s="201"/>
      <c r="IY11" s="198"/>
      <c r="IZ11" s="268"/>
      <c r="JA11" s="201"/>
      <c r="JB11" s="199"/>
      <c r="JC11" s="431"/>
      <c r="JD11" s="197"/>
      <c r="JE11" s="199"/>
      <c r="JF11" s="431"/>
      <c r="JG11" s="197"/>
      <c r="JH11" s="70"/>
      <c r="JI11" s="268"/>
      <c r="JJ11" s="288"/>
      <c r="JK11" s="260"/>
      <c r="JL11" s="296"/>
      <c r="JM11" s="288"/>
      <c r="JN11" s="260"/>
      <c r="JO11" s="296"/>
      <c r="JP11" s="496"/>
      <c r="JQ11" s="388"/>
      <c r="JR11" s="489"/>
      <c r="JS11" s="495"/>
      <c r="JT11" s="491"/>
      <c r="JU11" s="69"/>
      <c r="JV11" s="77" t="s">
        <v>6520</v>
      </c>
      <c r="JW11" s="147"/>
      <c r="JX11" s="77"/>
      <c r="JY11" s="530"/>
      <c r="JZ11" s="367"/>
      <c r="KA11" s="367"/>
      <c r="KB11" s="77"/>
      <c r="KC11" s="367"/>
      <c r="KD11" s="229"/>
      <c r="KE11" s="338"/>
      <c r="KF11" s="338"/>
      <c r="KG11" s="338"/>
      <c r="KH11" s="338"/>
      <c r="KI11" s="338"/>
      <c r="KJ11" s="338"/>
      <c r="KK11" s="497"/>
      <c r="KL11" s="229"/>
      <c r="KM11" s="497"/>
      <c r="KN11" s="513"/>
      <c r="KO11" s="70"/>
      <c r="KP11" s="229"/>
      <c r="KQ11" s="497"/>
      <c r="KR11" s="497"/>
      <c r="KS11" s="367"/>
      <c r="KT11" s="513"/>
      <c r="KU11" s="513"/>
      <c r="KV11" s="367"/>
      <c r="KW11" s="77"/>
      <c r="KX11" s="367"/>
      <c r="KY11" s="229"/>
      <c r="KZ11" s="338"/>
      <c r="LA11" s="338"/>
      <c r="LB11" s="338"/>
      <c r="LC11" s="338"/>
      <c r="LD11" s="338"/>
      <c r="LE11" s="338"/>
      <c r="LF11" s="497"/>
      <c r="LG11" s="497"/>
      <c r="LH11" s="497"/>
      <c r="MZ11" s="52"/>
      <c r="NB11" s="53"/>
    </row>
    <row r="12" spans="1:392" ht="14.4" hidden="1">
      <c r="A12" s="1639"/>
      <c r="B12" s="1644"/>
      <c r="C12" s="1657"/>
      <c r="D12" s="72"/>
      <c r="E12" s="73"/>
      <c r="F12" s="73"/>
      <c r="G12" s="74"/>
      <c r="H12" s="73"/>
      <c r="I12" s="73"/>
      <c r="J12" s="114"/>
      <c r="K12" s="114"/>
      <c r="L12" s="114"/>
      <c r="M12" s="114"/>
      <c r="N12" s="114"/>
      <c r="O12" s="114"/>
      <c r="P12" s="92"/>
      <c r="Q12" s="73"/>
      <c r="R12" s="73"/>
      <c r="S12" s="92"/>
      <c r="T12" s="73"/>
      <c r="U12" s="73"/>
      <c r="V12" s="92"/>
      <c r="W12" s="73"/>
      <c r="X12" s="73"/>
      <c r="Y12" s="92"/>
      <c r="Z12" s="73"/>
      <c r="AA12" s="73"/>
      <c r="AB12" s="92"/>
      <c r="AC12" s="73"/>
      <c r="AD12" s="73"/>
      <c r="AE12" s="114"/>
      <c r="AF12" s="114"/>
      <c r="AG12" s="114"/>
      <c r="AH12" s="114"/>
      <c r="AI12" s="114"/>
      <c r="AJ12" s="114"/>
      <c r="AK12" s="73"/>
      <c r="AL12" s="73"/>
      <c r="AM12" s="73"/>
      <c r="AN12" s="92"/>
      <c r="AO12" s="155"/>
      <c r="AP12" s="73"/>
      <c r="AQ12" s="92"/>
      <c r="AR12" s="73"/>
      <c r="AS12" s="73"/>
      <c r="AT12" s="92"/>
      <c r="AU12" s="73"/>
      <c r="AV12" s="73"/>
      <c r="AW12" s="92"/>
      <c r="AX12" s="73"/>
      <c r="AY12" s="73"/>
      <c r="AZ12" s="114"/>
      <c r="BA12" s="114"/>
      <c r="BB12" s="114"/>
      <c r="BC12" s="114"/>
      <c r="BD12" s="114"/>
      <c r="BE12" s="114"/>
      <c r="BF12" s="73"/>
      <c r="BG12" s="73"/>
      <c r="BH12" s="73"/>
      <c r="BI12" s="179"/>
      <c r="BJ12" s="180"/>
      <c r="BK12" s="180"/>
      <c r="BL12" s="92"/>
      <c r="BM12" s="73"/>
      <c r="BN12" s="73"/>
      <c r="BO12" s="73"/>
      <c r="BP12" s="92"/>
      <c r="BQ12" s="73"/>
      <c r="BR12" s="73"/>
      <c r="BS12" s="73"/>
      <c r="BT12" s="92"/>
      <c r="BU12" s="73"/>
      <c r="BV12" s="73"/>
      <c r="BW12" s="73"/>
      <c r="BX12" s="114"/>
      <c r="BY12" s="114"/>
      <c r="BZ12" s="114"/>
      <c r="CA12" s="114"/>
      <c r="CB12" s="114"/>
      <c r="CC12" s="130"/>
      <c r="CD12" s="202"/>
      <c r="CE12" s="203"/>
      <c r="CF12" s="203"/>
      <c r="CG12" s="203"/>
      <c r="CH12" s="203"/>
      <c r="CI12" s="203"/>
      <c r="CJ12" s="203"/>
      <c r="CK12" s="203"/>
      <c r="CL12" s="203"/>
      <c r="CM12" s="203"/>
      <c r="CN12" s="203"/>
      <c r="CO12" s="203"/>
      <c r="CP12" s="203"/>
      <c r="CQ12" s="203"/>
      <c r="CR12" s="205"/>
      <c r="CS12" s="203"/>
      <c r="CT12" s="203"/>
      <c r="CU12" s="203"/>
      <c r="CV12" s="261"/>
      <c r="CW12" s="262"/>
      <c r="CX12" s="262"/>
      <c r="CY12" s="262"/>
      <c r="CZ12" s="262"/>
      <c r="DA12" s="262"/>
      <c r="DB12" s="262"/>
      <c r="DC12" s="72"/>
      <c r="DD12" s="73"/>
      <c r="DE12" s="73"/>
      <c r="DF12" s="73"/>
      <c r="DG12" s="73"/>
      <c r="DH12" s="73"/>
      <c r="DI12" s="73"/>
      <c r="DJ12" s="73"/>
      <c r="DK12" s="73"/>
      <c r="DL12" s="73"/>
      <c r="DM12" s="92"/>
      <c r="DN12" s="73"/>
      <c r="DO12" s="73"/>
      <c r="DP12" s="73"/>
      <c r="DQ12" s="73"/>
      <c r="DR12" s="73"/>
      <c r="DS12" s="114"/>
      <c r="DT12" s="114"/>
      <c r="DU12" s="114"/>
      <c r="DV12" s="114"/>
      <c r="DW12" s="114"/>
      <c r="DX12" s="114"/>
      <c r="DY12" s="73"/>
      <c r="DZ12" s="73"/>
      <c r="EA12" s="73"/>
      <c r="EB12" s="114"/>
      <c r="EC12" s="114"/>
      <c r="ED12" s="114"/>
      <c r="EE12" s="73"/>
      <c r="EF12" s="73"/>
      <c r="EG12" s="73"/>
      <c r="EH12" s="92"/>
      <c r="EI12" s="73"/>
      <c r="EJ12" s="73"/>
      <c r="EK12" s="97"/>
      <c r="EL12" s="73"/>
      <c r="EM12" s="73"/>
      <c r="EN12" s="114"/>
      <c r="EO12" s="114"/>
      <c r="EP12" s="114"/>
      <c r="EQ12" s="114"/>
      <c r="ER12" s="114"/>
      <c r="ES12" s="114"/>
      <c r="ET12" s="73"/>
      <c r="EU12" s="73"/>
      <c r="EV12" s="73"/>
      <c r="EW12" s="114"/>
      <c r="EX12" s="114"/>
      <c r="EY12" s="114"/>
      <c r="EZ12" s="92"/>
      <c r="FA12" s="92"/>
      <c r="FB12" s="92"/>
      <c r="FC12" s="92"/>
      <c r="FD12" s="92"/>
      <c r="FE12" s="92"/>
      <c r="FF12" s="92"/>
      <c r="FG12" s="92"/>
      <c r="FH12" s="73"/>
      <c r="FI12" s="114"/>
      <c r="FJ12" s="114"/>
      <c r="FK12" s="114"/>
      <c r="FL12" s="114"/>
      <c r="FM12" s="114"/>
      <c r="FN12" s="114"/>
      <c r="FO12" s="73"/>
      <c r="FP12" s="73"/>
      <c r="FQ12" s="73"/>
      <c r="FR12" s="73"/>
      <c r="FS12" s="73"/>
      <c r="FT12" s="73"/>
      <c r="FU12" s="92"/>
      <c r="FV12" s="92"/>
      <c r="FW12" s="92"/>
      <c r="FX12" s="92"/>
      <c r="FY12" s="92"/>
      <c r="FZ12" s="92"/>
      <c r="GA12" s="92"/>
      <c r="GB12" s="92"/>
      <c r="GC12" s="73"/>
      <c r="GD12" s="114"/>
      <c r="GE12" s="114"/>
      <c r="GF12" s="114"/>
      <c r="GG12" s="114"/>
      <c r="GH12" s="114"/>
      <c r="GI12" s="114"/>
      <c r="GJ12" s="73"/>
      <c r="GK12" s="73"/>
      <c r="GL12" s="73"/>
      <c r="GM12" s="97"/>
      <c r="GN12" s="97"/>
      <c r="GO12" s="73"/>
      <c r="GP12" s="97" t="s">
        <v>6415</v>
      </c>
      <c r="GQ12" s="92"/>
      <c r="GR12" s="92"/>
      <c r="GS12" s="92"/>
      <c r="GT12" s="92"/>
      <c r="GU12" s="92"/>
      <c r="GV12" s="92"/>
      <c r="GW12" s="92"/>
      <c r="GX12" s="73"/>
      <c r="GY12" s="92"/>
      <c r="GZ12" s="92"/>
      <c r="HA12" s="92"/>
      <c r="HB12" s="114"/>
      <c r="HC12" s="114"/>
      <c r="HD12" s="114"/>
      <c r="HE12" s="73"/>
      <c r="HF12" s="73"/>
      <c r="HG12" s="73"/>
      <c r="HH12" s="97"/>
      <c r="HI12" s="97"/>
      <c r="HJ12" s="73"/>
      <c r="HK12" s="97"/>
      <c r="HL12" s="92"/>
      <c r="HM12" s="92"/>
      <c r="HN12" s="92"/>
      <c r="HO12" s="92"/>
      <c r="HP12" s="92"/>
      <c r="HQ12" s="92"/>
      <c r="HR12" s="92"/>
      <c r="HS12" s="254"/>
      <c r="HT12" s="271"/>
      <c r="HU12" s="271"/>
      <c r="HV12" s="271"/>
      <c r="HW12" s="271"/>
      <c r="HX12" s="271"/>
      <c r="HY12" s="271"/>
      <c r="HZ12" s="271"/>
      <c r="IA12" s="271"/>
      <c r="IB12" s="262"/>
      <c r="IC12" s="204"/>
      <c r="ID12" s="205"/>
      <c r="IE12" s="269"/>
      <c r="IF12" s="412"/>
      <c r="IG12" s="436"/>
      <c r="IH12" s="437"/>
      <c r="II12" s="412"/>
      <c r="IJ12" s="436"/>
      <c r="IK12" s="437"/>
      <c r="IL12" s="412"/>
      <c r="IM12" s="436"/>
      <c r="IN12" s="269"/>
      <c r="IO12" s="289"/>
      <c r="IP12" s="271"/>
      <c r="IQ12" s="298"/>
      <c r="IR12" s="289"/>
      <c r="IS12" s="271"/>
      <c r="IT12" s="298"/>
      <c r="IU12" s="455"/>
      <c r="IV12" s="205"/>
      <c r="IW12" s="471"/>
      <c r="IX12" s="204"/>
      <c r="IY12" s="205"/>
      <c r="IZ12" s="269"/>
      <c r="JA12" s="412"/>
      <c r="JB12" s="436"/>
      <c r="JC12" s="437"/>
      <c r="JD12" s="412"/>
      <c r="JE12" s="436"/>
      <c r="JF12" s="437"/>
      <c r="JG12" s="412"/>
      <c r="JH12" s="229"/>
      <c r="JI12" s="269"/>
      <c r="JJ12" s="289"/>
      <c r="JK12" s="271"/>
      <c r="JL12" s="298"/>
      <c r="JM12" s="289"/>
      <c r="JN12" s="271"/>
      <c r="JO12" s="298"/>
      <c r="JP12" s="497"/>
      <c r="JQ12" s="498"/>
      <c r="JR12" s="499"/>
      <c r="JS12" s="500"/>
      <c r="JT12" s="501"/>
      <c r="JU12" s="531"/>
      <c r="JV12" s="64"/>
      <c r="JW12" s="367"/>
      <c r="JX12" s="367"/>
      <c r="JY12" s="77"/>
      <c r="JZ12" s="367"/>
      <c r="KA12" s="367"/>
      <c r="KB12" s="77"/>
      <c r="KC12" s="367"/>
      <c r="KD12" s="229"/>
      <c r="KE12" s="338"/>
      <c r="KF12" s="338"/>
      <c r="KG12" s="338"/>
      <c r="KH12" s="338"/>
      <c r="KI12" s="338"/>
      <c r="KJ12" s="338"/>
      <c r="KK12" s="543"/>
      <c r="KL12" s="543"/>
      <c r="KM12" s="543"/>
      <c r="KN12" s="543"/>
      <c r="KO12" s="543"/>
      <c r="KP12" s="543"/>
      <c r="KQ12" s="543"/>
      <c r="KR12" s="543"/>
      <c r="KS12" s="543"/>
      <c r="KT12" s="543"/>
      <c r="KU12" s="543"/>
      <c r="KV12" s="543"/>
      <c r="KW12" s="543"/>
      <c r="KX12" s="543"/>
      <c r="KY12" s="543"/>
      <c r="KZ12" s="543"/>
      <c r="LA12" s="543"/>
      <c r="LB12" s="543"/>
      <c r="LC12" s="543"/>
      <c r="LD12" s="543"/>
      <c r="LE12" s="543"/>
      <c r="LF12" s="543"/>
      <c r="LG12" s="543"/>
      <c r="LH12" s="543"/>
      <c r="LI12" s="543"/>
      <c r="LJ12" s="543"/>
      <c r="LK12" s="543"/>
      <c r="LL12" s="543"/>
      <c r="LM12" s="543"/>
      <c r="LN12" s="543"/>
      <c r="LO12" s="543"/>
      <c r="LP12" s="543"/>
      <c r="LQ12" s="543"/>
      <c r="LR12" s="543"/>
      <c r="LS12" s="543"/>
      <c r="LT12" s="543"/>
      <c r="LU12" s="543"/>
      <c r="LV12" s="543"/>
      <c r="LW12" s="543"/>
      <c r="LX12" s="543"/>
      <c r="LY12" s="543"/>
      <c r="LZ12" s="543"/>
      <c r="MA12" s="543"/>
      <c r="MB12" s="543"/>
      <c r="MC12" s="543"/>
      <c r="MD12" s="543"/>
      <c r="MZ12" s="52"/>
      <c r="NB12" s="53"/>
    </row>
    <row r="13" spans="1:392" ht="14.4">
      <c r="A13" s="1637"/>
      <c r="B13" s="1642"/>
      <c r="C13" s="1655" t="s">
        <v>6529</v>
      </c>
      <c r="D13" s="61"/>
      <c r="E13" s="61"/>
      <c r="F13" s="61"/>
      <c r="G13" s="61"/>
      <c r="H13" s="61"/>
      <c r="I13" s="61"/>
      <c r="J13" s="108"/>
      <c r="K13" s="108"/>
      <c r="L13" s="108"/>
      <c r="M13" s="108"/>
      <c r="N13" s="108"/>
      <c r="O13" s="108"/>
      <c r="P13" s="61"/>
      <c r="Q13" s="86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108"/>
      <c r="AF13" s="108"/>
      <c r="AG13" s="108"/>
      <c r="AH13" s="108"/>
      <c r="AI13" s="108"/>
      <c r="AJ13" s="108"/>
      <c r="AK13" s="61"/>
      <c r="AL13" s="61"/>
      <c r="AM13" s="61"/>
      <c r="AN13" s="61"/>
      <c r="AO13" s="150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108"/>
      <c r="BA13" s="108"/>
      <c r="BB13" s="108"/>
      <c r="BC13" s="108"/>
      <c r="BD13" s="108"/>
      <c r="BE13" s="108"/>
      <c r="BF13" s="61"/>
      <c r="BG13" s="61"/>
      <c r="BH13" s="61"/>
      <c r="BI13" s="173"/>
      <c r="BJ13" s="173"/>
      <c r="BK13" s="173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108"/>
      <c r="BY13" s="108"/>
      <c r="BZ13" s="108"/>
      <c r="CA13" s="108"/>
      <c r="CB13" s="108"/>
      <c r="CC13" s="126"/>
      <c r="CD13" s="194" t="s">
        <v>6331</v>
      </c>
      <c r="CE13" s="185"/>
      <c r="CF13" s="185"/>
      <c r="CG13" s="185" t="s">
        <v>6331</v>
      </c>
      <c r="CH13" s="185"/>
      <c r="CI13" s="185"/>
      <c r="CJ13" s="185"/>
      <c r="CK13" s="185" t="s">
        <v>6331</v>
      </c>
      <c r="CL13" s="185"/>
      <c r="CM13" s="185"/>
      <c r="CN13" s="185"/>
      <c r="CO13" s="185" t="s">
        <v>6331</v>
      </c>
      <c r="CP13" s="185"/>
      <c r="CQ13" s="215" t="s">
        <v>6318</v>
      </c>
      <c r="CR13" s="185"/>
      <c r="CS13" s="195"/>
      <c r="CT13" s="195"/>
      <c r="CU13" s="263"/>
      <c r="CV13" s="264"/>
      <c r="CW13" s="265"/>
      <c r="CX13" s="265"/>
      <c r="CY13" s="265"/>
      <c r="CZ13" s="265"/>
      <c r="DA13" s="265"/>
      <c r="DB13" s="295"/>
      <c r="DC13" s="60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222"/>
      <c r="DO13" s="61"/>
      <c r="DP13" s="61"/>
      <c r="DQ13" s="61"/>
      <c r="DR13" s="61"/>
      <c r="DS13" s="108"/>
      <c r="DT13" s="108"/>
      <c r="DU13" s="108"/>
      <c r="DV13" s="108"/>
      <c r="DW13" s="108"/>
      <c r="DX13" s="108"/>
      <c r="DY13" s="61"/>
      <c r="DZ13" s="61"/>
      <c r="EA13" s="61"/>
      <c r="EB13" s="108"/>
      <c r="EC13" s="108"/>
      <c r="ED13" s="108"/>
      <c r="EE13" s="61"/>
      <c r="EF13" s="61"/>
      <c r="EG13" s="61"/>
      <c r="EH13" s="61"/>
      <c r="EI13" s="61"/>
      <c r="EJ13" s="61"/>
      <c r="EK13" s="61"/>
      <c r="EL13" s="61"/>
      <c r="EM13" s="61"/>
      <c r="EN13" s="108"/>
      <c r="EO13" s="108"/>
      <c r="EP13" s="108"/>
      <c r="EQ13" s="108"/>
      <c r="ER13" s="108"/>
      <c r="ES13" s="108"/>
      <c r="ET13" s="61"/>
      <c r="EU13" s="61"/>
      <c r="EV13" s="61"/>
      <c r="EW13" s="108"/>
      <c r="EX13" s="108"/>
      <c r="EY13" s="108"/>
      <c r="EZ13" s="211"/>
      <c r="FA13" s="211"/>
      <c r="FB13" s="211"/>
      <c r="FC13" s="211"/>
      <c r="FD13" s="211"/>
      <c r="FE13" s="211"/>
      <c r="FF13" s="211"/>
      <c r="FG13" s="211"/>
      <c r="FH13" s="61"/>
      <c r="FI13" s="108"/>
      <c r="FJ13" s="108"/>
      <c r="FK13" s="108"/>
      <c r="FL13" s="108"/>
      <c r="FM13" s="108"/>
      <c r="FN13" s="108"/>
      <c r="FO13" s="61"/>
      <c r="FP13" s="61"/>
      <c r="FQ13" s="61"/>
      <c r="FR13" s="61"/>
      <c r="FS13" s="61"/>
      <c r="FT13" s="61"/>
      <c r="FU13" s="211"/>
      <c r="FV13" s="211"/>
      <c r="FW13" s="211"/>
      <c r="FX13" s="211"/>
      <c r="FY13" s="211"/>
      <c r="FZ13" s="211"/>
      <c r="GA13" s="211"/>
      <c r="GB13" s="211"/>
      <c r="GC13" s="61"/>
      <c r="GD13" s="108"/>
      <c r="GE13" s="108"/>
      <c r="GF13" s="108"/>
      <c r="GG13" s="108"/>
      <c r="GH13" s="108"/>
      <c r="GI13" s="108"/>
      <c r="GJ13" s="61"/>
      <c r="GK13" s="61"/>
      <c r="GL13" s="251"/>
      <c r="GM13" s="93" t="s">
        <v>6313</v>
      </c>
      <c r="GN13" s="86" t="s">
        <v>6313</v>
      </c>
      <c r="GO13" s="61"/>
      <c r="GP13" s="246"/>
      <c r="GQ13" s="363"/>
      <c r="GR13" s="364"/>
      <c r="GS13" s="211"/>
      <c r="GT13" s="222"/>
      <c r="GU13" s="211"/>
      <c r="GV13" s="211"/>
      <c r="GW13" s="211"/>
      <c r="GX13" s="61"/>
      <c r="GY13" s="211"/>
      <c r="GZ13" s="211"/>
      <c r="HA13" s="211"/>
      <c r="HB13" s="108"/>
      <c r="HC13" s="108"/>
      <c r="HD13" s="108"/>
      <c r="HE13" s="61"/>
      <c r="HF13" s="61"/>
      <c r="HG13" s="61"/>
      <c r="HH13" s="93"/>
      <c r="HI13" s="60"/>
      <c r="HJ13" s="61"/>
      <c r="HK13" s="211"/>
      <c r="HL13" s="211"/>
      <c r="HM13" s="211"/>
      <c r="HN13" s="211"/>
      <c r="HO13" s="211"/>
      <c r="HP13" s="211"/>
      <c r="HQ13" s="211"/>
      <c r="HR13" s="211"/>
      <c r="HS13" s="251"/>
      <c r="HT13" s="265"/>
      <c r="HU13" s="265"/>
      <c r="HV13" s="265"/>
      <c r="HW13" s="265"/>
      <c r="HX13" s="265"/>
      <c r="HY13" s="265"/>
      <c r="HZ13" s="413" t="s">
        <v>874</v>
      </c>
      <c r="IA13" s="265"/>
      <c r="IB13" s="273"/>
      <c r="IC13" s="414" t="s">
        <v>6320</v>
      </c>
      <c r="ID13" s="185" t="s">
        <v>6347</v>
      </c>
      <c r="IE13" s="257"/>
      <c r="IF13" s="415" t="s">
        <v>6318</v>
      </c>
      <c r="IG13" s="206" t="s">
        <v>6314</v>
      </c>
      <c r="IH13" s="430"/>
      <c r="II13" s="415" t="s">
        <v>6318</v>
      </c>
      <c r="IJ13" s="206" t="s">
        <v>6318</v>
      </c>
      <c r="IK13" s="430"/>
      <c r="IL13" s="415" t="s">
        <v>6317</v>
      </c>
      <c r="IM13" s="438" t="s">
        <v>6343</v>
      </c>
      <c r="IN13" s="257" t="s">
        <v>6530</v>
      </c>
      <c r="IO13" s="287"/>
      <c r="IP13" s="265"/>
      <c r="IQ13" s="295"/>
      <c r="IR13" s="287"/>
      <c r="IS13" s="265"/>
      <c r="IT13" s="295"/>
      <c r="IU13" s="415" t="s">
        <v>6317</v>
      </c>
      <c r="IV13" s="185" t="s">
        <v>6317</v>
      </c>
      <c r="IW13" s="469"/>
      <c r="IX13" s="414" t="s">
        <v>6332</v>
      </c>
      <c r="IY13" s="185" t="s">
        <v>6332</v>
      </c>
      <c r="IZ13" s="257"/>
      <c r="JA13" s="415" t="s">
        <v>6317</v>
      </c>
      <c r="JB13" s="206" t="s">
        <v>6317</v>
      </c>
      <c r="JC13" s="430"/>
      <c r="JD13" s="415" t="s">
        <v>6317</v>
      </c>
      <c r="JE13" s="185" t="s">
        <v>6317</v>
      </c>
      <c r="JF13" s="430" t="s">
        <v>6531</v>
      </c>
      <c r="JG13" s="415" t="s">
        <v>6312</v>
      </c>
      <c r="JH13" s="230"/>
      <c r="JI13" s="257"/>
      <c r="JJ13" s="287"/>
      <c r="JK13" s="265"/>
      <c r="JL13" s="295"/>
      <c r="JM13" s="287"/>
      <c r="JN13" s="265"/>
      <c r="JO13" s="295"/>
      <c r="JP13" s="484"/>
      <c r="JQ13" s="387"/>
      <c r="JR13" s="486"/>
      <c r="JS13" s="487"/>
      <c r="JT13" s="488"/>
      <c r="JU13" s="527"/>
      <c r="JV13" s="377"/>
      <c r="JW13" s="377"/>
      <c r="JX13" s="377"/>
      <c r="JY13" s="528"/>
      <c r="JZ13" s="377"/>
      <c r="KA13" s="377"/>
      <c r="KB13" s="377"/>
      <c r="KC13" s="377"/>
      <c r="KD13" s="230"/>
      <c r="KE13" s="339"/>
      <c r="KF13" s="339"/>
      <c r="KG13" s="339"/>
      <c r="KH13" s="339"/>
      <c r="KI13" s="339"/>
      <c r="KJ13" s="339"/>
      <c r="KK13" s="484"/>
      <c r="KL13" s="230"/>
      <c r="KM13" s="484"/>
      <c r="KN13" s="484"/>
      <c r="KO13" s="230"/>
      <c r="KP13" s="230"/>
      <c r="KQ13" s="484"/>
      <c r="KR13" s="484"/>
      <c r="KS13" s="377"/>
      <c r="KT13" s="484"/>
      <c r="KU13" s="484"/>
      <c r="KV13" s="377"/>
      <c r="KW13" s="377"/>
      <c r="KX13" s="377"/>
      <c r="KY13" s="230"/>
      <c r="KZ13" s="339"/>
      <c r="LA13" s="339"/>
      <c r="LB13" s="339"/>
      <c r="LC13" s="339"/>
      <c r="LD13" s="339"/>
      <c r="LE13" s="339"/>
      <c r="LF13" s="484"/>
      <c r="LG13" s="484"/>
      <c r="LH13" s="484"/>
      <c r="LI13" s="484"/>
      <c r="LJ13" s="484"/>
      <c r="LK13" s="230"/>
      <c r="LL13" s="484"/>
      <c r="LM13" s="484"/>
      <c r="LN13" s="377"/>
      <c r="LO13" s="377"/>
      <c r="LP13" s="484"/>
      <c r="LQ13" s="377"/>
      <c r="LR13" s="377"/>
      <c r="LS13" s="377"/>
      <c r="LT13" s="230"/>
      <c r="LU13" s="339"/>
      <c r="LV13" s="339"/>
      <c r="LW13" s="339"/>
      <c r="LX13" s="339"/>
      <c r="LY13" s="339"/>
      <c r="LZ13" s="339"/>
      <c r="MA13" s="377"/>
      <c r="MB13" s="484"/>
      <c r="MC13" s="484"/>
      <c r="MD13" s="222"/>
      <c r="ME13" s="377"/>
      <c r="MF13" s="230"/>
      <c r="MG13" s="484"/>
      <c r="MH13" s="61"/>
      <c r="MI13" s="314"/>
      <c r="MJ13" s="551"/>
      <c r="MK13" s="377"/>
      <c r="ML13" s="230"/>
      <c r="MM13" s="377"/>
      <c r="MN13" s="377"/>
      <c r="MO13" s="377"/>
      <c r="MP13" s="484"/>
      <c r="MQ13" s="230"/>
      <c r="MR13" s="230"/>
      <c r="MS13" s="230"/>
      <c r="MT13" s="339"/>
      <c r="MU13" s="339"/>
      <c r="MV13" s="339"/>
      <c r="MW13" s="580"/>
      <c r="MX13" s="339"/>
      <c r="MY13" s="577"/>
      <c r="MZ13" s="414"/>
      <c r="NA13" s="453"/>
      <c r="NB13" s="469"/>
      <c r="NC13" s="61"/>
      <c r="ND13" s="314"/>
      <c r="NE13" s="551"/>
      <c r="NF13" s="377"/>
      <c r="NG13" s="484"/>
      <c r="NH13" s="377"/>
      <c r="NI13" s="377"/>
      <c r="NJ13" s="377"/>
      <c r="NK13" s="484"/>
      <c r="NL13" s="230"/>
      <c r="NM13" s="230"/>
      <c r="NN13" s="230"/>
      <c r="NO13" s="339"/>
      <c r="NP13" s="339"/>
      <c r="NQ13" s="339"/>
      <c r="NR13" s="580"/>
      <c r="NS13" s="339"/>
      <c r="NT13" s="339"/>
      <c r="NU13" s="377"/>
      <c r="NV13" s="484"/>
      <c r="NW13" s="484"/>
    </row>
    <row r="14" spans="1:392" ht="14.4">
      <c r="A14" s="1638"/>
      <c r="B14" s="1643"/>
      <c r="C14" s="1656"/>
      <c r="D14" s="64" t="s">
        <v>6318</v>
      </c>
      <c r="E14" s="65"/>
      <c r="F14" s="68"/>
      <c r="G14" s="64" t="s">
        <v>6320</v>
      </c>
      <c r="H14" s="75" t="s">
        <v>6320</v>
      </c>
      <c r="I14" s="68"/>
      <c r="J14" s="109"/>
      <c r="K14" s="110"/>
      <c r="L14" s="111"/>
      <c r="M14" s="109"/>
      <c r="N14" s="109"/>
      <c r="O14" s="109"/>
      <c r="P14" s="115" t="s">
        <v>6347</v>
      </c>
      <c r="Q14" s="142" t="s">
        <v>6320</v>
      </c>
      <c r="R14" s="80"/>
      <c r="S14" s="64" t="s">
        <v>6317</v>
      </c>
      <c r="U14" s="68"/>
      <c r="V14" s="64" t="s">
        <v>6317</v>
      </c>
      <c r="W14" s="75" t="s">
        <v>6322</v>
      </c>
      <c r="X14" s="68"/>
      <c r="Y14" s="64" t="s">
        <v>6312</v>
      </c>
      <c r="Z14" s="75" t="s">
        <v>6322</v>
      </c>
      <c r="AA14" s="68"/>
      <c r="AB14" s="148" t="s">
        <v>6315</v>
      </c>
      <c r="AC14" s="75" t="s">
        <v>6317</v>
      </c>
      <c r="AD14" s="68"/>
      <c r="AE14" s="109"/>
      <c r="AF14" s="109"/>
      <c r="AG14" s="109"/>
      <c r="AH14" s="109"/>
      <c r="AI14" s="109"/>
      <c r="AJ14" s="109"/>
      <c r="AK14" s="64" t="s">
        <v>6329</v>
      </c>
      <c r="AL14" s="75" t="s">
        <v>6312</v>
      </c>
      <c r="AM14" s="64"/>
      <c r="AN14" s="64" t="s">
        <v>6312</v>
      </c>
      <c r="AO14" s="151" t="s">
        <v>6312</v>
      </c>
      <c r="AP14" s="68"/>
      <c r="AQ14" s="152" t="s">
        <v>6312</v>
      </c>
      <c r="AR14" s="75" t="s">
        <v>6312</v>
      </c>
      <c r="AS14" s="68"/>
      <c r="AT14" s="152" t="s">
        <v>6312</v>
      </c>
      <c r="AU14" s="75" t="s">
        <v>6312</v>
      </c>
      <c r="AV14" s="68"/>
      <c r="AW14" s="148" t="s">
        <v>6317</v>
      </c>
      <c r="AX14" s="75" t="s">
        <v>6312</v>
      </c>
      <c r="AY14" s="68"/>
      <c r="AZ14" s="109"/>
      <c r="BA14" s="109"/>
      <c r="BB14" s="109"/>
      <c r="BC14" s="109"/>
      <c r="BD14" s="109"/>
      <c r="BE14" s="109"/>
      <c r="BF14" s="64" t="s">
        <v>6312</v>
      </c>
      <c r="BG14" s="75" t="s">
        <v>6322</v>
      </c>
      <c r="BH14" s="64"/>
      <c r="BI14" s="174"/>
      <c r="BJ14" s="174"/>
      <c r="BK14" s="176"/>
      <c r="BL14" s="152" t="s">
        <v>6314</v>
      </c>
      <c r="BM14" s="64" t="s">
        <v>6314</v>
      </c>
      <c r="BN14" s="64"/>
      <c r="BO14" s="68"/>
      <c r="BP14" s="152" t="s">
        <v>6332</v>
      </c>
      <c r="BQ14" s="64"/>
      <c r="BR14" s="75" t="s">
        <v>6326</v>
      </c>
      <c r="BS14" s="68"/>
      <c r="BT14" s="148" t="s">
        <v>6332</v>
      </c>
      <c r="BU14" s="64"/>
      <c r="BV14" s="64"/>
      <c r="BW14" s="68"/>
      <c r="BX14" s="109"/>
      <c r="BY14" s="109"/>
      <c r="BZ14" s="109"/>
      <c r="CA14" s="109"/>
      <c r="CB14" s="109"/>
      <c r="CC14" s="196"/>
      <c r="CD14" s="201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66" t="s">
        <v>6510</v>
      </c>
      <c r="CR14" s="198"/>
      <c r="CS14" s="198" t="s">
        <v>6312</v>
      </c>
      <c r="CT14" s="198"/>
      <c r="CU14" s="266" t="s">
        <v>6322</v>
      </c>
      <c r="CV14" s="267"/>
      <c r="CW14" s="260"/>
      <c r="CX14" s="260"/>
      <c r="CY14" s="260"/>
      <c r="CZ14" s="260"/>
      <c r="DA14" s="260"/>
      <c r="DB14" s="296"/>
      <c r="DC14" s="79" t="s">
        <v>6331</v>
      </c>
      <c r="DD14" s="75" t="s">
        <v>6532</v>
      </c>
      <c r="DE14" s="64"/>
      <c r="DF14" s="64" t="s">
        <v>6331</v>
      </c>
      <c r="DG14" s="64"/>
      <c r="DH14" s="75" t="s">
        <v>6312</v>
      </c>
      <c r="DI14" s="68"/>
      <c r="DJ14" s="152" t="s">
        <v>6318</v>
      </c>
      <c r="DK14" s="75" t="s">
        <v>6318</v>
      </c>
      <c r="DL14" s="68"/>
      <c r="DM14" s="152" t="s">
        <v>6320</v>
      </c>
      <c r="DN14" s="66" t="s">
        <v>6533</v>
      </c>
      <c r="DO14" s="68"/>
      <c r="DP14" s="152" t="s">
        <v>6318</v>
      </c>
      <c r="DQ14" s="75" t="s">
        <v>6347</v>
      </c>
      <c r="DR14" s="68"/>
      <c r="DS14" s="109"/>
      <c r="DT14" s="109"/>
      <c r="DU14" s="109"/>
      <c r="DV14" s="109"/>
      <c r="DW14" s="109"/>
      <c r="DX14" s="109"/>
      <c r="DY14" s="64" t="s">
        <v>6329</v>
      </c>
      <c r="DZ14" s="75" t="s">
        <v>6534</v>
      </c>
      <c r="EA14" s="64"/>
      <c r="EB14" s="109"/>
      <c r="EC14" s="109"/>
      <c r="ED14" s="111"/>
      <c r="EE14" s="152" t="s">
        <v>6318</v>
      </c>
      <c r="EF14" s="316" t="s">
        <v>6515</v>
      </c>
      <c r="EG14" s="68"/>
      <c r="EH14" s="152" t="s">
        <v>6318</v>
      </c>
      <c r="EI14" s="66" t="s">
        <v>6318</v>
      </c>
      <c r="EJ14" s="68"/>
      <c r="EK14" s="64" t="s">
        <v>6312</v>
      </c>
      <c r="EL14" s="64"/>
      <c r="EM14" s="68"/>
      <c r="EN14" s="109"/>
      <c r="EO14" s="109"/>
      <c r="EP14" s="109"/>
      <c r="EQ14" s="109"/>
      <c r="ER14" s="109"/>
      <c r="ES14" s="109"/>
      <c r="ET14" s="64" t="s">
        <v>6331</v>
      </c>
      <c r="EU14" s="75" t="s">
        <v>6332</v>
      </c>
      <c r="EV14" s="64"/>
      <c r="EW14" s="109"/>
      <c r="EX14" s="109"/>
      <c r="EY14" s="111"/>
      <c r="EZ14" s="64" t="s">
        <v>6317</v>
      </c>
      <c r="FA14" s="316" t="s">
        <v>6332</v>
      </c>
      <c r="FB14" s="77"/>
      <c r="FC14" s="77" t="s">
        <v>6317</v>
      </c>
      <c r="FD14" s="78" t="s">
        <v>6317</v>
      </c>
      <c r="FE14" s="77"/>
      <c r="FF14" s="152" t="s">
        <v>6312</v>
      </c>
      <c r="FG14" s="316" t="s">
        <v>6312</v>
      </c>
      <c r="FH14" s="68"/>
      <c r="FI14" s="109"/>
      <c r="FJ14" s="109"/>
      <c r="FK14" s="109"/>
      <c r="FL14" s="109"/>
      <c r="FM14" s="109"/>
      <c r="FN14" s="109"/>
      <c r="FO14" s="152" t="s">
        <v>6312</v>
      </c>
      <c r="FP14" s="64" t="s">
        <v>6317</v>
      </c>
      <c r="FQ14" s="64"/>
      <c r="FR14" s="152" t="s">
        <v>6312</v>
      </c>
      <c r="FS14" s="64" t="s">
        <v>6312</v>
      </c>
      <c r="FT14" s="68"/>
      <c r="FU14" s="152" t="s">
        <v>6312</v>
      </c>
      <c r="FV14" s="152" t="s">
        <v>6318</v>
      </c>
      <c r="FW14" s="77"/>
      <c r="FX14" s="77" t="s">
        <v>6312</v>
      </c>
      <c r="FY14" s="77" t="s">
        <v>6318</v>
      </c>
      <c r="GA14" s="169" t="s">
        <v>6328</v>
      </c>
      <c r="GB14" s="87" t="s">
        <v>6322</v>
      </c>
      <c r="GC14" s="68"/>
      <c r="GD14" s="109"/>
      <c r="GE14" s="109"/>
      <c r="GF14" s="109"/>
      <c r="GG14" s="109"/>
      <c r="GH14" s="109"/>
      <c r="GI14" s="109"/>
      <c r="GJ14" s="64" t="s">
        <v>6318</v>
      </c>
      <c r="GK14" s="64" t="s">
        <v>6326</v>
      </c>
      <c r="GL14" s="328"/>
      <c r="GM14" s="146" t="s">
        <v>6535</v>
      </c>
      <c r="GN14" s="64" t="s">
        <v>6535</v>
      </c>
      <c r="GO14" s="68"/>
      <c r="GP14" s="328" t="s">
        <v>6329</v>
      </c>
      <c r="GQ14" s="365" t="s">
        <v>6318</v>
      </c>
      <c r="GR14" s="366"/>
      <c r="GS14" s="77" t="s">
        <v>6332</v>
      </c>
      <c r="GT14" s="49" t="s">
        <v>6332</v>
      </c>
      <c r="GU14" s="77"/>
      <c r="GV14" s="77" t="s">
        <v>6332</v>
      </c>
      <c r="GW14" s="68" t="s">
        <v>6343</v>
      </c>
      <c r="GX14" s="68"/>
      <c r="GY14" s="87" t="s">
        <v>6314</v>
      </c>
      <c r="GZ14" s="152" t="s">
        <v>6332</v>
      </c>
      <c r="HA14" s="152"/>
      <c r="HB14" s="109"/>
      <c r="HC14" s="109"/>
      <c r="HD14" s="109"/>
      <c r="HE14" s="77" t="s">
        <v>6317</v>
      </c>
      <c r="HF14" s="64" t="s">
        <v>6312</v>
      </c>
      <c r="HH14" s="70" t="s">
        <v>6318</v>
      </c>
      <c r="HI14" s="79" t="s">
        <v>6312</v>
      </c>
      <c r="HJ14" s="68"/>
      <c r="HK14" s="77" t="s">
        <v>6332</v>
      </c>
      <c r="HL14" s="65" t="s">
        <v>6322</v>
      </c>
      <c r="HM14" s="77"/>
      <c r="HN14" s="70" t="s">
        <v>6318</v>
      </c>
      <c r="HO14" s="70" t="s">
        <v>6339</v>
      </c>
      <c r="HP14" s="77"/>
      <c r="HQ14" s="70" t="s">
        <v>6312</v>
      </c>
      <c r="HR14" s="68" t="s">
        <v>6318</v>
      </c>
      <c r="HS14" s="329"/>
      <c r="HT14" s="260"/>
      <c r="HU14" s="260"/>
      <c r="HV14" s="260"/>
      <c r="HW14" s="260"/>
      <c r="HX14" s="260"/>
      <c r="HY14" s="260"/>
      <c r="HZ14" s="404" t="s">
        <v>6384</v>
      </c>
      <c r="IA14" s="260"/>
      <c r="IB14" s="274"/>
      <c r="IC14" s="197" t="s">
        <v>6536</v>
      </c>
      <c r="ID14" s="198" t="s">
        <v>6537</v>
      </c>
      <c r="IE14" s="268"/>
      <c r="IF14" s="197" t="s">
        <v>6538</v>
      </c>
      <c r="IG14" s="198" t="s">
        <v>6539</v>
      </c>
      <c r="IH14" s="431"/>
      <c r="II14" s="234" t="s">
        <v>6540</v>
      </c>
      <c r="IJ14" s="199" t="s">
        <v>6541</v>
      </c>
      <c r="IK14" s="431"/>
      <c r="IL14" s="201" t="s">
        <v>6542</v>
      </c>
      <c r="IM14" s="434" t="s">
        <v>6436</v>
      </c>
      <c r="IN14" s="268"/>
      <c r="IO14" s="288"/>
      <c r="IP14" s="260"/>
      <c r="IQ14" s="296"/>
      <c r="IR14" s="288"/>
      <c r="IS14" s="260"/>
      <c r="IT14" s="296"/>
      <c r="IU14" s="201" t="s">
        <v>6543</v>
      </c>
      <c r="IV14" s="198" t="s">
        <v>6544</v>
      </c>
      <c r="IW14" s="470"/>
      <c r="IX14" s="201" t="s">
        <v>6522</v>
      </c>
      <c r="IY14" s="198" t="s">
        <v>6441</v>
      </c>
      <c r="IZ14" s="268"/>
      <c r="JA14" s="197" t="s">
        <v>6442</v>
      </c>
      <c r="JB14" s="198" t="s">
        <v>6522</v>
      </c>
      <c r="JC14" s="431"/>
      <c r="JD14" s="234" t="s">
        <v>6545</v>
      </c>
      <c r="JE14" s="198" t="s">
        <v>6442</v>
      </c>
      <c r="JF14" s="431"/>
      <c r="JG14" s="201" t="s">
        <v>6344</v>
      </c>
      <c r="JH14" s="64" t="s">
        <v>6314</v>
      </c>
      <c r="JI14" s="268"/>
      <c r="JJ14" s="288"/>
      <c r="JK14" s="260"/>
      <c r="JL14" s="296"/>
      <c r="JM14" s="288"/>
      <c r="JN14" s="260"/>
      <c r="JO14" s="296"/>
      <c r="JP14" s="77" t="s">
        <v>6312</v>
      </c>
      <c r="JQ14" s="388" t="s">
        <v>6322</v>
      </c>
      <c r="JR14" s="489" t="s">
        <v>6530</v>
      </c>
      <c r="JS14" s="490" t="s">
        <v>6318</v>
      </c>
      <c r="JT14" s="491" t="s">
        <v>6318</v>
      </c>
      <c r="JU14" s="79"/>
      <c r="JV14" s="77" t="s">
        <v>6312</v>
      </c>
      <c r="JW14" s="70" t="s">
        <v>6312</v>
      </c>
      <c r="JX14" s="77"/>
      <c r="JY14" s="515" t="s">
        <v>6312</v>
      </c>
      <c r="JZ14" s="65" t="s">
        <v>6312</v>
      </c>
      <c r="KA14" s="77"/>
      <c r="KB14" s="77" t="s">
        <v>6312</v>
      </c>
      <c r="KC14" s="68" t="s">
        <v>6312</v>
      </c>
      <c r="KD14" s="68"/>
      <c r="KE14" s="109"/>
      <c r="KF14" s="109"/>
      <c r="KG14" s="109"/>
      <c r="KH14" s="109"/>
      <c r="KI14" s="109"/>
      <c r="KJ14" s="109"/>
      <c r="KK14" s="77" t="s">
        <v>6312</v>
      </c>
      <c r="KL14" s="64" t="s">
        <v>6312</v>
      </c>
      <c r="KM14" s="525"/>
      <c r="KN14" s="77" t="s">
        <v>6317</v>
      </c>
      <c r="KO14" s="64" t="s">
        <v>6317</v>
      </c>
      <c r="KP14" s="64"/>
      <c r="KQ14" s="77" t="s">
        <v>6312</v>
      </c>
      <c r="KR14" s="525" t="s">
        <v>6312</v>
      </c>
      <c r="KS14" s="77"/>
      <c r="KT14" s="77" t="s">
        <v>6317</v>
      </c>
      <c r="KU14" s="525"/>
      <c r="KV14" s="77"/>
      <c r="KW14" s="77" t="s">
        <v>6314</v>
      </c>
      <c r="KX14" s="68"/>
      <c r="KY14" s="68"/>
      <c r="KZ14" s="109"/>
      <c r="LA14" s="109"/>
      <c r="LB14" s="109"/>
      <c r="LC14" s="109"/>
      <c r="LD14" s="109"/>
      <c r="LE14" s="109"/>
      <c r="LF14" s="77" t="s">
        <v>6317</v>
      </c>
      <c r="LG14" s="525"/>
      <c r="LH14" s="525"/>
      <c r="LI14" s="77" t="s">
        <v>6318</v>
      </c>
      <c r="LJ14" s="68"/>
      <c r="LK14" s="64"/>
      <c r="LL14" s="77" t="s">
        <v>6317</v>
      </c>
      <c r="LM14" s="525"/>
      <c r="LN14" s="77"/>
      <c r="LO14" s="77" t="s">
        <v>6317</v>
      </c>
      <c r="LP14" s="525"/>
      <c r="LQ14" s="77"/>
      <c r="LR14" s="77" t="s">
        <v>6312</v>
      </c>
      <c r="LS14" s="68"/>
      <c r="LT14" s="68"/>
      <c r="LU14" s="109"/>
      <c r="LV14" s="109"/>
      <c r="LW14" s="109"/>
      <c r="LX14" s="109"/>
      <c r="LY14" s="109"/>
      <c r="LZ14" s="109"/>
      <c r="MA14" s="77" t="s">
        <v>6312</v>
      </c>
      <c r="MB14" s="525"/>
      <c r="MC14" s="525"/>
      <c r="ME14" s="152" t="s">
        <v>6312</v>
      </c>
      <c r="MF14" s="64" t="s">
        <v>6312</v>
      </c>
      <c r="MG14" s="525"/>
      <c r="MH14" s="513" t="s">
        <v>6318</v>
      </c>
      <c r="MI14" s="70" t="s">
        <v>6318</v>
      </c>
      <c r="MJ14" s="293"/>
      <c r="MK14" s="152" t="s">
        <v>6312</v>
      </c>
      <c r="ML14" s="70" t="s">
        <v>6318</v>
      </c>
      <c r="MM14" s="70"/>
      <c r="MN14" s="77" t="s">
        <v>6312</v>
      </c>
      <c r="MO14" s="64"/>
      <c r="MP14" s="152"/>
      <c r="MQ14" s="77" t="s">
        <v>6317</v>
      </c>
      <c r="MR14" s="70" t="s">
        <v>6318</v>
      </c>
      <c r="MS14" s="70"/>
      <c r="MT14" s="109"/>
      <c r="MU14" s="109"/>
      <c r="MV14" s="109"/>
      <c r="MW14" s="322"/>
      <c r="MX14" s="325"/>
      <c r="MY14" s="196"/>
      <c r="MZ14" s="432" t="s">
        <v>6317</v>
      </c>
      <c r="NA14" s="198" t="s">
        <v>6546</v>
      </c>
      <c r="NB14" s="470"/>
      <c r="NC14" s="64" t="s">
        <v>6331</v>
      </c>
      <c r="ND14" s="70" t="s">
        <v>6331</v>
      </c>
      <c r="NE14" s="293"/>
      <c r="NF14" s="513" t="s">
        <v>6314</v>
      </c>
      <c r="NG14" s="70"/>
      <c r="NH14" s="70"/>
      <c r="NI14" s="513" t="s">
        <v>6314</v>
      </c>
      <c r="NJ14" s="64"/>
      <c r="NK14" s="152"/>
      <c r="NL14" s="77" t="s">
        <v>6317</v>
      </c>
      <c r="NM14" s="70" t="s">
        <v>6314</v>
      </c>
      <c r="NN14" s="169" t="s">
        <v>6547</v>
      </c>
      <c r="NO14" s="109"/>
      <c r="NP14" s="109"/>
      <c r="NQ14" s="109"/>
      <c r="NR14" s="322"/>
      <c r="NS14" s="325"/>
      <c r="NT14" s="109"/>
      <c r="NU14" s="77" t="s">
        <v>6312</v>
      </c>
      <c r="NV14" s="64"/>
      <c r="NW14" s="525"/>
    </row>
    <row r="15" spans="1:392" ht="14.4">
      <c r="A15" s="1638"/>
      <c r="B15" s="1643"/>
      <c r="C15" s="1656"/>
      <c r="D15" s="76" t="s">
        <v>6548</v>
      </c>
      <c r="E15" s="68"/>
      <c r="F15" s="68"/>
      <c r="G15" s="77" t="s">
        <v>6549</v>
      </c>
      <c r="H15" s="67" t="s">
        <v>6550</v>
      </c>
      <c r="I15" s="68"/>
      <c r="J15" s="116"/>
      <c r="K15" s="111"/>
      <c r="L15" s="111"/>
      <c r="M15" s="111"/>
      <c r="N15" s="111"/>
      <c r="O15" s="111"/>
      <c r="P15" s="115" t="s">
        <v>6353</v>
      </c>
      <c r="Q15" s="142" t="s">
        <v>6551</v>
      </c>
      <c r="R15" s="80"/>
      <c r="S15" s="77" t="s">
        <v>6552</v>
      </c>
      <c r="U15" s="68"/>
      <c r="V15" s="143" t="s">
        <v>6553</v>
      </c>
      <c r="W15" s="67" t="s">
        <v>6554</v>
      </c>
      <c r="X15" s="68"/>
      <c r="Y15" s="77" t="s">
        <v>6555</v>
      </c>
      <c r="Z15" s="67" t="s">
        <v>6556</v>
      </c>
      <c r="AA15" s="68"/>
      <c r="AB15" s="143" t="s">
        <v>6557</v>
      </c>
      <c r="AC15" s="67" t="s">
        <v>6558</v>
      </c>
      <c r="AD15" s="68"/>
      <c r="AE15" s="111"/>
      <c r="AF15" s="111"/>
      <c r="AG15" s="111"/>
      <c r="AH15" s="111"/>
      <c r="AI15" s="111"/>
      <c r="AJ15" s="111"/>
      <c r="AK15" s="68" t="s">
        <v>6559</v>
      </c>
      <c r="AL15" s="67" t="s">
        <v>6560</v>
      </c>
      <c r="AM15" s="68"/>
      <c r="AN15" s="64" t="s">
        <v>6561</v>
      </c>
      <c r="AO15" s="156" t="s">
        <v>6562</v>
      </c>
      <c r="AP15" s="68"/>
      <c r="AQ15" s="148" t="s">
        <v>6563</v>
      </c>
      <c r="AR15" s="67" t="s">
        <v>6564</v>
      </c>
      <c r="AS15" s="68"/>
      <c r="AT15" s="148" t="s">
        <v>6565</v>
      </c>
      <c r="AU15" s="67" t="s">
        <v>6566</v>
      </c>
      <c r="AV15" s="68"/>
      <c r="AW15" s="143" t="s">
        <v>6507</v>
      </c>
      <c r="AX15" s="67" t="s">
        <v>6567</v>
      </c>
      <c r="AY15" s="68"/>
      <c r="AZ15" s="111"/>
      <c r="BA15" s="111"/>
      <c r="BB15" s="111"/>
      <c r="BC15" s="111"/>
      <c r="BD15" s="111"/>
      <c r="BE15" s="111"/>
      <c r="BF15" s="68" t="s">
        <v>6568</v>
      </c>
      <c r="BG15" s="67" t="s">
        <v>6369</v>
      </c>
      <c r="BH15" s="68"/>
      <c r="BI15" s="174"/>
      <c r="BJ15" s="176"/>
      <c r="BK15" s="176"/>
      <c r="BL15" s="152" t="s">
        <v>6569</v>
      </c>
      <c r="BM15" s="68" t="s">
        <v>6569</v>
      </c>
      <c r="BN15" s="68"/>
      <c r="BO15" s="68"/>
      <c r="BP15" s="148" t="s">
        <v>6570</v>
      </c>
      <c r="BQ15" s="68"/>
      <c r="BR15" s="67" t="s">
        <v>6571</v>
      </c>
      <c r="BS15" s="68"/>
      <c r="BT15" s="143" t="s">
        <v>6572</v>
      </c>
      <c r="BU15" s="68"/>
      <c r="BV15" s="68"/>
      <c r="BW15" s="68"/>
      <c r="BX15" s="111"/>
      <c r="BY15" s="111"/>
      <c r="BZ15" s="111"/>
      <c r="CA15" s="111"/>
      <c r="CB15" s="111"/>
      <c r="CC15" s="200"/>
      <c r="CD15" s="201"/>
      <c r="CE15" s="198"/>
      <c r="CF15" s="198"/>
      <c r="CG15" s="199"/>
      <c r="CH15" s="198"/>
      <c r="CI15" s="198"/>
      <c r="CJ15" s="198"/>
      <c r="CK15" s="199"/>
      <c r="CL15" s="198"/>
      <c r="CM15" s="198"/>
      <c r="CN15" s="198"/>
      <c r="CO15" s="199"/>
      <c r="CP15" s="198"/>
      <c r="CQ15" s="198"/>
      <c r="CR15" s="198"/>
      <c r="CS15" s="198" t="s">
        <v>6573</v>
      </c>
      <c r="CT15" s="198"/>
      <c r="CU15" s="266" t="s">
        <v>6574</v>
      </c>
      <c r="CV15" s="267"/>
      <c r="CW15" s="260"/>
      <c r="CX15" s="260"/>
      <c r="CY15" s="260"/>
      <c r="CZ15" s="260"/>
      <c r="DA15" s="260"/>
      <c r="DB15" s="296"/>
      <c r="DC15" s="79"/>
      <c r="DD15" s="67" t="s">
        <v>6575</v>
      </c>
      <c r="DE15" s="68"/>
      <c r="DF15" s="64"/>
      <c r="DG15" s="68"/>
      <c r="DH15" s="67" t="s">
        <v>6576</v>
      </c>
      <c r="DI15" s="68"/>
      <c r="DJ15" s="64" t="s">
        <v>6577</v>
      </c>
      <c r="DK15" s="67" t="s">
        <v>6578</v>
      </c>
      <c r="DL15" s="68"/>
      <c r="DM15" s="87" t="s">
        <v>6579</v>
      </c>
      <c r="DN15" s="66" t="s">
        <v>6384</v>
      </c>
      <c r="DO15" s="68"/>
      <c r="DP15" s="64" t="s">
        <v>6580</v>
      </c>
      <c r="DQ15" s="67" t="s">
        <v>6387</v>
      </c>
      <c r="DR15" s="68"/>
      <c r="DS15" s="111"/>
      <c r="DT15" s="111"/>
      <c r="DU15" s="111"/>
      <c r="DV15" s="111"/>
      <c r="DW15" s="111"/>
      <c r="DX15" s="111"/>
      <c r="DY15" s="68" t="s">
        <v>6392</v>
      </c>
      <c r="DZ15" s="67" t="s">
        <v>6581</v>
      </c>
      <c r="EA15" s="68"/>
      <c r="EB15" s="111"/>
      <c r="EC15" s="111"/>
      <c r="ED15" s="111"/>
      <c r="EE15" s="76" t="s">
        <v>6582</v>
      </c>
      <c r="EF15" s="78" t="s">
        <v>6583</v>
      </c>
      <c r="EG15" s="68"/>
      <c r="EH15" s="152" t="s">
        <v>6584</v>
      </c>
      <c r="EI15" s="66" t="s">
        <v>6585</v>
      </c>
      <c r="EJ15" s="68"/>
      <c r="EK15" s="64" t="s">
        <v>6586</v>
      </c>
      <c r="EL15" s="64"/>
      <c r="EM15" s="68"/>
      <c r="EN15" s="111"/>
      <c r="EO15" s="111"/>
      <c r="EP15" s="111"/>
      <c r="EQ15" s="111"/>
      <c r="ER15" s="111"/>
      <c r="ES15" s="111"/>
      <c r="ET15" s="68"/>
      <c r="EU15" s="67" t="s">
        <v>6587</v>
      </c>
      <c r="EV15" s="68"/>
      <c r="EW15" s="111"/>
      <c r="EX15" s="111"/>
      <c r="EY15" s="111"/>
      <c r="EZ15" s="147" t="s">
        <v>6397</v>
      </c>
      <c r="FA15" s="78" t="s">
        <v>6397</v>
      </c>
      <c r="FB15" s="77"/>
      <c r="FC15" s="77" t="s">
        <v>6588</v>
      </c>
      <c r="FD15" s="78" t="s">
        <v>6588</v>
      </c>
      <c r="FE15" s="77"/>
      <c r="FF15" s="147" t="s">
        <v>6540</v>
      </c>
      <c r="FG15" s="316" t="s">
        <v>6540</v>
      </c>
      <c r="FH15" s="68"/>
      <c r="FI15" s="111"/>
      <c r="FJ15" s="111"/>
      <c r="FK15" s="111"/>
      <c r="FL15" s="111"/>
      <c r="FM15" s="111"/>
      <c r="FN15" s="111"/>
      <c r="FO15" s="152" t="s">
        <v>6589</v>
      </c>
      <c r="FP15" s="68" t="s">
        <v>6402</v>
      </c>
      <c r="FQ15" s="68"/>
      <c r="FR15" s="152" t="s">
        <v>6590</v>
      </c>
      <c r="FS15" s="68" t="s">
        <v>6590</v>
      </c>
      <c r="FT15" s="68"/>
      <c r="FU15" s="147" t="s">
        <v>6425</v>
      </c>
      <c r="FV15" s="87" t="s">
        <v>6591</v>
      </c>
      <c r="FW15" s="77"/>
      <c r="FX15" s="148" t="s">
        <v>6592</v>
      </c>
      <c r="FY15" s="77" t="s">
        <v>6406</v>
      </c>
      <c r="GA15" s="321" t="s">
        <v>6593</v>
      </c>
      <c r="GB15" s="87" t="s">
        <v>6594</v>
      </c>
      <c r="GC15" s="68"/>
      <c r="GD15" s="111"/>
      <c r="GE15" s="111"/>
      <c r="GF15" s="111"/>
      <c r="GG15" s="111"/>
      <c r="GH15" s="111"/>
      <c r="GI15" s="111"/>
      <c r="GJ15" s="152" t="s">
        <v>6595</v>
      </c>
      <c r="GK15" s="68" t="s">
        <v>6596</v>
      </c>
      <c r="GL15" s="329"/>
      <c r="GM15" s="146" t="s">
        <v>6597</v>
      </c>
      <c r="GN15" s="68" t="s">
        <v>6597</v>
      </c>
      <c r="GO15" s="68"/>
      <c r="GP15" s="329" t="s">
        <v>6337</v>
      </c>
      <c r="GQ15" s="365" t="s">
        <v>6598</v>
      </c>
      <c r="GR15" s="366"/>
      <c r="GS15" s="77" t="s">
        <v>6428</v>
      </c>
      <c r="GT15" s="49" t="s">
        <v>6428</v>
      </c>
      <c r="GU15" s="77"/>
      <c r="GV15" s="77" t="s">
        <v>6419</v>
      </c>
      <c r="GW15" s="68" t="s">
        <v>6422</v>
      </c>
      <c r="GX15" s="68"/>
      <c r="GY15" s="344" t="s">
        <v>6420</v>
      </c>
      <c r="GZ15" s="77" t="s">
        <v>6418</v>
      </c>
      <c r="HA15" s="77"/>
      <c r="HB15" s="111"/>
      <c r="HC15" s="111"/>
      <c r="HD15" s="111"/>
      <c r="HE15" s="77" t="s">
        <v>6419</v>
      </c>
      <c r="HF15" s="68" t="s">
        <v>6599</v>
      </c>
      <c r="HH15" s="344" t="s">
        <v>6407</v>
      </c>
      <c r="HI15" s="80" t="s">
        <v>6600</v>
      </c>
      <c r="HJ15" s="68"/>
      <c r="HK15" s="64" t="s">
        <v>6492</v>
      </c>
      <c r="HL15" s="64" t="s">
        <v>6601</v>
      </c>
      <c r="HM15" s="77"/>
      <c r="HN15" s="344" t="s">
        <v>6602</v>
      </c>
      <c r="HO15" s="344" t="s">
        <v>6603</v>
      </c>
      <c r="HP15" s="77"/>
      <c r="HQ15" s="147" t="s">
        <v>6604</v>
      </c>
      <c r="HR15" s="68" t="s">
        <v>6605</v>
      </c>
      <c r="HS15" s="329"/>
      <c r="HT15" s="260"/>
      <c r="HU15" s="260"/>
      <c r="HV15" s="260"/>
      <c r="HW15" s="260"/>
      <c r="HX15" s="260"/>
      <c r="HY15" s="260"/>
      <c r="HZ15" s="404"/>
      <c r="IA15" s="260"/>
      <c r="IB15" s="274"/>
      <c r="IC15" s="197"/>
      <c r="ID15" s="198"/>
      <c r="IE15" s="268"/>
      <c r="IF15" s="197"/>
      <c r="IG15" s="198"/>
      <c r="IH15" s="431"/>
      <c r="II15" s="197"/>
      <c r="IJ15" s="199"/>
      <c r="IK15" s="431"/>
      <c r="IL15" s="201"/>
      <c r="IM15" s="199"/>
      <c r="IN15" s="268"/>
      <c r="IO15" s="288"/>
      <c r="IP15" s="260"/>
      <c r="IQ15" s="296"/>
      <c r="IR15" s="288"/>
      <c r="IS15" s="260"/>
      <c r="IT15" s="296"/>
      <c r="IU15" s="409"/>
      <c r="IV15" s="198" t="s">
        <v>6438</v>
      </c>
      <c r="IW15" s="470"/>
      <c r="IX15" s="432" t="s">
        <v>6318</v>
      </c>
      <c r="IY15" s="198"/>
      <c r="IZ15" s="268"/>
      <c r="JA15" s="197" t="s">
        <v>6332</v>
      </c>
      <c r="JB15" s="198" t="s">
        <v>6318</v>
      </c>
      <c r="JC15" s="431"/>
      <c r="JD15" s="197" t="s">
        <v>6332</v>
      </c>
      <c r="JE15" s="198" t="s">
        <v>6312</v>
      </c>
      <c r="JF15" s="431"/>
      <c r="JG15" s="201"/>
      <c r="JH15" s="65" t="s">
        <v>6606</v>
      </c>
      <c r="JI15" s="268"/>
      <c r="JJ15" s="288"/>
      <c r="JK15" s="260"/>
      <c r="JL15" s="296"/>
      <c r="JM15" s="288"/>
      <c r="JN15" s="260"/>
      <c r="JO15" s="296"/>
      <c r="JP15" s="494" t="s">
        <v>6607</v>
      </c>
      <c r="JQ15" s="388" t="s">
        <v>6608</v>
      </c>
      <c r="JR15" s="489"/>
      <c r="JS15" s="502" t="s">
        <v>6609</v>
      </c>
      <c r="JT15" s="491" t="s">
        <v>6609</v>
      </c>
      <c r="JU15" s="80"/>
      <c r="JV15" s="494" t="s">
        <v>6610</v>
      </c>
      <c r="JW15" s="65" t="s">
        <v>6611</v>
      </c>
      <c r="JX15" s="77"/>
      <c r="JY15" s="492" t="s">
        <v>6612</v>
      </c>
      <c r="JZ15" s="65" t="s">
        <v>6613</v>
      </c>
      <c r="KA15" s="77"/>
      <c r="KB15" s="494" t="s">
        <v>6614</v>
      </c>
      <c r="KC15" s="65" t="s">
        <v>6615</v>
      </c>
      <c r="KD15" s="68"/>
      <c r="KE15" s="111"/>
      <c r="KF15" s="111"/>
      <c r="KG15" s="111"/>
      <c r="KH15" s="111"/>
      <c r="KI15" s="111"/>
      <c r="KJ15" s="111"/>
      <c r="KK15" s="152" t="s">
        <v>6616</v>
      </c>
      <c r="KL15" s="65" t="s">
        <v>6616</v>
      </c>
      <c r="KM15" s="503"/>
      <c r="KN15" s="152" t="s">
        <v>6346</v>
      </c>
      <c r="KO15" s="65" t="s">
        <v>6617</v>
      </c>
      <c r="KP15" s="68"/>
      <c r="KQ15" s="148" t="s">
        <v>6618</v>
      </c>
      <c r="KR15" s="68" t="s">
        <v>6619</v>
      </c>
      <c r="KS15" s="77"/>
      <c r="KT15" s="492" t="s">
        <v>6620</v>
      </c>
      <c r="KU15" s="546" t="s">
        <v>6621</v>
      </c>
      <c r="KV15" s="77"/>
      <c r="KW15" s="529" t="s">
        <v>6622</v>
      </c>
      <c r="KX15" s="547" t="s">
        <v>6623</v>
      </c>
      <c r="KY15" s="68"/>
      <c r="KZ15" s="111"/>
      <c r="LA15" s="111"/>
      <c r="LB15" s="111"/>
      <c r="LC15" s="111"/>
      <c r="LD15" s="111"/>
      <c r="LE15" s="111"/>
      <c r="LF15" s="492" t="s">
        <v>6624</v>
      </c>
      <c r="LG15" s="547" t="s">
        <v>6463</v>
      </c>
      <c r="LH15" s="503"/>
      <c r="LI15" s="529" t="s">
        <v>6625</v>
      </c>
      <c r="LJ15" s="546" t="s">
        <v>6626</v>
      </c>
      <c r="LK15" s="68"/>
      <c r="LL15" s="148" t="s">
        <v>6626</v>
      </c>
      <c r="LM15" s="513"/>
      <c r="LN15" s="77"/>
      <c r="LO15" s="148" t="s">
        <v>6456</v>
      </c>
      <c r="LP15" s="64"/>
      <c r="LQ15" s="77"/>
      <c r="LR15" s="148" t="s">
        <v>6627</v>
      </c>
      <c r="LS15" s="87"/>
      <c r="LT15" s="68"/>
      <c r="LU15" s="111"/>
      <c r="LV15" s="111"/>
      <c r="LW15" s="111"/>
      <c r="LX15" s="111"/>
      <c r="LY15" s="111"/>
      <c r="LZ15" s="111"/>
      <c r="MA15" s="148" t="s">
        <v>6628</v>
      </c>
      <c r="MB15" s="503"/>
      <c r="MC15" s="503"/>
      <c r="ME15" s="70" t="s">
        <v>6629</v>
      </c>
      <c r="MF15" s="65" t="s">
        <v>6630</v>
      </c>
      <c r="MG15" s="503"/>
      <c r="MH15" s="68" t="s">
        <v>6631</v>
      </c>
      <c r="MI15" s="65" t="s">
        <v>6631</v>
      </c>
      <c r="MJ15" s="69"/>
      <c r="MK15" s="70" t="s">
        <v>6632</v>
      </c>
      <c r="ML15" s="65" t="s">
        <v>6472</v>
      </c>
      <c r="MM15" s="70"/>
      <c r="MN15" s="143" t="s">
        <v>6477</v>
      </c>
      <c r="MO15" s="70"/>
      <c r="MP15" s="70"/>
      <c r="MQ15" s="70" t="s">
        <v>6633</v>
      </c>
      <c r="MR15" s="65" t="s">
        <v>6634</v>
      </c>
      <c r="MS15" s="68"/>
      <c r="MT15" s="111"/>
      <c r="MU15" s="111"/>
      <c r="MV15" s="111"/>
      <c r="MW15" s="112"/>
      <c r="MX15" s="112"/>
      <c r="MY15" s="200"/>
      <c r="MZ15" s="201" t="s">
        <v>6635</v>
      </c>
      <c r="NA15" s="198" t="s">
        <v>6636</v>
      </c>
      <c r="NB15" s="470"/>
      <c r="NC15" s="503"/>
      <c r="ND15" s="70"/>
      <c r="NE15" s="69"/>
      <c r="NF15" s="586" t="s">
        <v>6633</v>
      </c>
      <c r="NG15" s="70"/>
      <c r="NH15" s="70"/>
      <c r="NI15" s="586" t="s">
        <v>6635</v>
      </c>
      <c r="NJ15" s="70"/>
      <c r="NK15" s="70"/>
      <c r="NL15" s="70" t="s">
        <v>6633</v>
      </c>
      <c r="NM15" s="65" t="s">
        <v>6637</v>
      </c>
      <c r="NN15" s="321" t="s">
        <v>6638</v>
      </c>
      <c r="NO15" s="111"/>
      <c r="NP15" s="111"/>
      <c r="NQ15" s="111"/>
      <c r="NR15" s="112"/>
      <c r="NS15" s="112"/>
      <c r="NT15" s="111"/>
      <c r="NU15" s="586" t="s">
        <v>6639</v>
      </c>
      <c r="NV15" s="87"/>
      <c r="NW15" s="503"/>
    </row>
    <row r="16" spans="1:392" ht="14.4">
      <c r="A16" s="1638"/>
      <c r="B16" s="1643"/>
      <c r="C16" s="1656"/>
      <c r="D16" s="65"/>
      <c r="E16" s="65"/>
      <c r="F16" s="70"/>
      <c r="G16" s="64"/>
      <c r="H16" s="66" t="s">
        <v>6332</v>
      </c>
      <c r="I16" s="70"/>
      <c r="J16" s="112"/>
      <c r="K16" s="110"/>
      <c r="L16" s="110"/>
      <c r="M16" s="110"/>
      <c r="N16" s="110"/>
      <c r="O16" s="110"/>
      <c r="P16" s="64"/>
      <c r="Q16" s="83"/>
      <c r="R16" s="70"/>
      <c r="S16" s="87"/>
      <c r="T16" s="70"/>
      <c r="U16" s="70"/>
      <c r="V16" s="87"/>
      <c r="W16" s="70"/>
      <c r="X16" s="70"/>
      <c r="Y16" s="87"/>
      <c r="Z16" s="70"/>
      <c r="AA16" s="70"/>
      <c r="AB16" s="87"/>
      <c r="AC16" s="70"/>
      <c r="AD16" s="70"/>
      <c r="AE16" s="110"/>
      <c r="AF16" s="110"/>
      <c r="AG16" s="110"/>
      <c r="AH16" s="110"/>
      <c r="AI16" s="110"/>
      <c r="AJ16" s="110"/>
      <c r="AK16" s="70"/>
      <c r="AL16" s="66" t="s">
        <v>6315</v>
      </c>
      <c r="AM16" s="70"/>
      <c r="AN16" s="87"/>
      <c r="AO16" s="157" t="s">
        <v>6640</v>
      </c>
      <c r="AP16" s="70"/>
      <c r="AQ16" s="87"/>
      <c r="AR16" s="66" t="s">
        <v>6312</v>
      </c>
      <c r="AS16" s="70"/>
      <c r="AT16" s="87"/>
      <c r="AU16" s="70"/>
      <c r="AV16" s="70"/>
      <c r="AW16" s="87"/>
      <c r="AX16" s="70"/>
      <c r="AY16" s="70"/>
      <c r="AZ16" s="110"/>
      <c r="BA16" s="110"/>
      <c r="BB16" s="110"/>
      <c r="BC16" s="110"/>
      <c r="BD16" s="110"/>
      <c r="BE16" s="110"/>
      <c r="BF16" s="70"/>
      <c r="BG16" s="70"/>
      <c r="BH16" s="70"/>
      <c r="BI16" s="181"/>
      <c r="BJ16" s="177"/>
      <c r="BK16" s="177"/>
      <c r="BL16" s="87"/>
      <c r="BM16" s="70"/>
      <c r="BN16" s="70"/>
      <c r="BO16" s="70"/>
      <c r="BP16" s="87"/>
      <c r="BQ16" s="70"/>
      <c r="BR16" s="70"/>
      <c r="BS16" s="70"/>
      <c r="BT16" s="87"/>
      <c r="BU16" s="70"/>
      <c r="BV16" s="70"/>
      <c r="BW16" s="70"/>
      <c r="BX16" s="110"/>
      <c r="BY16" s="110"/>
      <c r="BZ16" s="110"/>
      <c r="CA16" s="110"/>
      <c r="CB16" s="110"/>
      <c r="CC16" s="128"/>
      <c r="CD16" s="201"/>
      <c r="CE16" s="198"/>
      <c r="CF16" s="198"/>
      <c r="CG16" s="198"/>
      <c r="CH16" s="198"/>
      <c r="CI16" s="198"/>
      <c r="CJ16" s="198"/>
      <c r="CK16" s="198"/>
      <c r="CL16" s="198"/>
      <c r="CM16" s="198"/>
      <c r="CN16" s="198"/>
      <c r="CO16" s="198"/>
      <c r="CP16" s="198"/>
      <c r="CQ16" s="198"/>
      <c r="CR16" s="198"/>
      <c r="CS16" s="198"/>
      <c r="CT16" s="198"/>
      <c r="CU16" s="268"/>
      <c r="CV16" s="267"/>
      <c r="CW16" s="260"/>
      <c r="CX16" s="260"/>
      <c r="CY16" s="260"/>
      <c r="CZ16" s="260"/>
      <c r="DA16" s="260"/>
      <c r="DB16" s="296"/>
      <c r="DC16" s="297"/>
      <c r="DD16" s="66" t="s">
        <v>6641</v>
      </c>
      <c r="DE16" s="70"/>
      <c r="DF16" s="65"/>
      <c r="DG16" s="70"/>
      <c r="DH16" s="66" t="s">
        <v>6642</v>
      </c>
      <c r="DI16" s="70"/>
      <c r="DJ16" s="312" t="s">
        <v>6643</v>
      </c>
      <c r="DK16" s="70"/>
      <c r="DL16" s="70" t="s">
        <v>6644</v>
      </c>
      <c r="DM16" s="87" t="s">
        <v>6645</v>
      </c>
      <c r="DN16" s="76"/>
      <c r="DO16" s="70"/>
      <c r="DP16" s="87" t="s">
        <v>6646</v>
      </c>
      <c r="DQ16" s="70"/>
      <c r="DR16" s="70"/>
      <c r="DS16" s="110"/>
      <c r="DT16" s="110"/>
      <c r="DU16" s="110"/>
      <c r="DV16" s="110"/>
      <c r="DW16" s="110"/>
      <c r="DX16" s="110"/>
      <c r="DY16" s="65" t="s">
        <v>6647</v>
      </c>
      <c r="DZ16" s="70"/>
      <c r="EA16" s="70"/>
      <c r="EB16" s="110"/>
      <c r="EC16" s="110"/>
      <c r="ED16" s="110"/>
      <c r="EE16" s="70"/>
      <c r="EF16" s="70"/>
      <c r="EG16" s="70"/>
      <c r="EH16" s="313" t="s">
        <v>6648</v>
      </c>
      <c r="EI16" s="66" t="s">
        <v>6313</v>
      </c>
      <c r="EJ16" s="70"/>
      <c r="EK16" s="64"/>
      <c r="EL16" s="70"/>
      <c r="EM16" s="70"/>
      <c r="EN16" s="110"/>
      <c r="EO16" s="110"/>
      <c r="EP16" s="110"/>
      <c r="EQ16" s="110"/>
      <c r="ER16" s="110"/>
      <c r="ES16" s="110"/>
      <c r="ET16" s="152"/>
      <c r="EU16" s="70"/>
      <c r="EV16" s="70"/>
      <c r="EW16" s="110"/>
      <c r="EX16" s="110"/>
      <c r="EY16" s="110"/>
      <c r="EZ16" s="152" t="s">
        <v>6312</v>
      </c>
      <c r="FA16" s="87"/>
      <c r="FB16" s="87"/>
      <c r="FC16" s="64"/>
      <c r="FD16" s="87"/>
      <c r="FE16" s="87"/>
      <c r="FF16" s="152"/>
      <c r="FG16" s="78"/>
      <c r="FH16" s="70"/>
      <c r="FI16" s="110"/>
      <c r="FJ16" s="110"/>
      <c r="FK16" s="110"/>
      <c r="FL16" s="110"/>
      <c r="FM16" s="110"/>
      <c r="FN16" s="110"/>
      <c r="FO16" s="313" t="s">
        <v>6649</v>
      </c>
      <c r="FP16" s="70" t="s">
        <v>6312</v>
      </c>
      <c r="FQ16" s="70"/>
      <c r="FR16" s="70"/>
      <c r="FS16" s="70"/>
      <c r="FT16" s="70"/>
      <c r="FU16" s="313" t="s">
        <v>6649</v>
      </c>
      <c r="FV16" s="87" t="s">
        <v>6312</v>
      </c>
      <c r="FW16" s="87"/>
      <c r="FX16" s="148"/>
      <c r="FY16" s="87" t="s">
        <v>6650</v>
      </c>
      <c r="GA16" s="152"/>
      <c r="GB16" s="87"/>
      <c r="GC16" s="70"/>
      <c r="GD16" s="110"/>
      <c r="GE16" s="110"/>
      <c r="GF16" s="110"/>
      <c r="GG16" s="110"/>
      <c r="GH16" s="110"/>
      <c r="GI16" s="110"/>
      <c r="GJ16" s="169" t="s">
        <v>6328</v>
      </c>
      <c r="GK16" s="70"/>
      <c r="GL16" s="218"/>
      <c r="GM16" s="146" t="s">
        <v>6315</v>
      </c>
      <c r="GN16" s="64" t="s">
        <v>6329</v>
      </c>
      <c r="GO16" s="70"/>
      <c r="GP16" s="328" t="s">
        <v>1784</v>
      </c>
      <c r="GQ16" s="365"/>
      <c r="GR16" s="318"/>
      <c r="GS16" s="77" t="s">
        <v>6317</v>
      </c>
      <c r="GT16" s="64" t="s">
        <v>6317</v>
      </c>
      <c r="GU16" s="87"/>
      <c r="GV16" s="152"/>
      <c r="GW16" s="87"/>
      <c r="GX16" s="70"/>
      <c r="GY16" s="87"/>
      <c r="GZ16" s="87" t="s">
        <v>6312</v>
      </c>
      <c r="HA16" s="87"/>
      <c r="HB16" s="110"/>
      <c r="HC16" s="110"/>
      <c r="HD16" s="110"/>
      <c r="HE16" s="77"/>
      <c r="HF16" s="70"/>
      <c r="HG16" s="70"/>
      <c r="HH16" s="344"/>
      <c r="HI16" s="79" t="s">
        <v>6317</v>
      </c>
      <c r="HJ16" s="1635" t="s">
        <v>6651</v>
      </c>
      <c r="HK16" s="77" t="s">
        <v>6317</v>
      </c>
      <c r="HL16" s="68"/>
      <c r="HM16" s="87"/>
      <c r="HN16" s="77"/>
      <c r="HO16" s="64"/>
      <c r="HP16" s="87"/>
      <c r="HQ16" s="152"/>
      <c r="HR16" s="87"/>
      <c r="HS16" s="218"/>
      <c r="HT16" s="260"/>
      <c r="HU16" s="260"/>
      <c r="HV16" s="260"/>
      <c r="HW16" s="260"/>
      <c r="HX16" s="260"/>
      <c r="HY16" s="260"/>
      <c r="HZ16" s="404"/>
      <c r="IA16" s="260"/>
      <c r="IB16" s="274"/>
      <c r="IC16" s="234"/>
      <c r="ID16" s="198"/>
      <c r="IE16" s="268"/>
      <c r="IF16" s="201"/>
      <c r="IG16" s="198"/>
      <c r="IH16" s="431"/>
      <c r="II16" s="197"/>
      <c r="IJ16" s="199"/>
      <c r="IK16" s="431"/>
      <c r="IL16" s="197"/>
      <c r="IM16" s="199"/>
      <c r="IN16" s="268"/>
      <c r="IO16" s="288"/>
      <c r="IP16" s="260"/>
      <c r="IQ16" s="296"/>
      <c r="IR16" s="288"/>
      <c r="IS16" s="260"/>
      <c r="IT16" s="296"/>
      <c r="IU16" s="409"/>
      <c r="IV16" s="454"/>
      <c r="IW16" s="470"/>
      <c r="IX16" s="197" t="s">
        <v>6652</v>
      </c>
      <c r="IY16" s="198"/>
      <c r="IZ16" s="268"/>
      <c r="JA16" s="197" t="s">
        <v>6442</v>
      </c>
      <c r="JB16" s="198" t="s">
        <v>6653</v>
      </c>
      <c r="JC16" s="431"/>
      <c r="JD16" s="234" t="s">
        <v>6654</v>
      </c>
      <c r="JE16" s="235" t="s">
        <v>6655</v>
      </c>
      <c r="JF16" s="431" t="s">
        <v>6656</v>
      </c>
      <c r="JG16" s="197"/>
      <c r="JH16" s="70"/>
      <c r="JI16" s="268"/>
      <c r="JJ16" s="288"/>
      <c r="JK16" s="260"/>
      <c r="JL16" s="296"/>
      <c r="JM16" s="288"/>
      <c r="JN16" s="260"/>
      <c r="JO16" s="296"/>
      <c r="JP16" s="494"/>
      <c r="JQ16" s="388" t="s">
        <v>6657</v>
      </c>
      <c r="JR16" s="489"/>
      <c r="JS16" s="495"/>
      <c r="JT16" s="491"/>
      <c r="JU16" s="69"/>
      <c r="JV16" s="77"/>
      <c r="JW16" s="68"/>
      <c r="JX16" s="87"/>
      <c r="JY16" s="332" t="s">
        <v>6649</v>
      </c>
      <c r="JZ16" s="64"/>
      <c r="KA16" s="87"/>
      <c r="KB16" s="532" t="s">
        <v>6530</v>
      </c>
      <c r="KC16" s="87"/>
      <c r="KD16" s="70"/>
      <c r="KE16" s="110"/>
      <c r="KF16" s="110"/>
      <c r="KG16" s="110"/>
      <c r="KH16" s="110"/>
      <c r="KI16" s="110"/>
      <c r="KJ16" s="110"/>
      <c r="KK16" s="494"/>
      <c r="KL16" s="70"/>
      <c r="KM16" s="513"/>
      <c r="KN16" s="513"/>
      <c r="KO16" s="70"/>
      <c r="KP16" s="70"/>
      <c r="KQ16" s="77"/>
      <c r="KR16" s="68"/>
      <c r="KS16" s="87"/>
      <c r="KT16" s="64"/>
      <c r="KU16" s="64"/>
      <c r="KV16" s="87"/>
      <c r="KW16" s="532" t="s">
        <v>6530</v>
      </c>
      <c r="KX16" s="87"/>
      <c r="KY16" s="70"/>
      <c r="KZ16" s="110"/>
      <c r="LA16" s="110"/>
      <c r="LB16" s="110"/>
      <c r="LC16" s="110"/>
      <c r="LD16" s="110"/>
      <c r="LE16" s="110"/>
      <c r="LF16" s="494"/>
      <c r="LG16" s="513"/>
      <c r="LH16" s="513"/>
      <c r="LI16" s="513"/>
      <c r="LJ16" s="513"/>
      <c r="LK16" s="70"/>
      <c r="LL16" s="148"/>
      <c r="LM16" s="513"/>
      <c r="LN16" s="87"/>
      <c r="LO16" s="64"/>
      <c r="LP16" s="64"/>
      <c r="LQ16" s="87"/>
      <c r="LR16" s="532" t="s">
        <v>6530</v>
      </c>
      <c r="LS16" s="87"/>
      <c r="LT16" s="70"/>
      <c r="LU16" s="110"/>
      <c r="LV16" s="110"/>
      <c r="LW16" s="110"/>
      <c r="LX16" s="110"/>
      <c r="LY16" s="110"/>
      <c r="LZ16" s="110"/>
      <c r="MA16" s="513"/>
      <c r="MB16" s="513"/>
      <c r="MC16" s="513"/>
      <c r="ME16" s="513"/>
      <c r="MF16" s="70"/>
      <c r="MG16" s="513"/>
      <c r="MH16" s="70"/>
      <c r="MI16" s="70"/>
      <c r="MJ16" s="69"/>
      <c r="MK16" s="76" t="s">
        <v>6658</v>
      </c>
      <c r="ML16" s="70" t="s">
        <v>6312</v>
      </c>
      <c r="MM16" s="70"/>
      <c r="MN16" s="70"/>
      <c r="MO16" s="70"/>
      <c r="MP16" s="70"/>
      <c r="MQ16" s="77"/>
      <c r="MR16" s="70"/>
      <c r="MS16" s="70"/>
      <c r="MT16" s="110"/>
      <c r="MU16" s="110"/>
      <c r="MV16" s="110"/>
      <c r="MW16" s="581"/>
      <c r="MX16" s="110"/>
      <c r="MY16" s="128"/>
      <c r="MZ16" s="582" t="s">
        <v>6659</v>
      </c>
      <c r="NA16" s="198" t="s">
        <v>6660</v>
      </c>
      <c r="NB16" s="470"/>
      <c r="NC16" s="70"/>
      <c r="ND16" s="70"/>
      <c r="NE16" s="69"/>
      <c r="NF16" s="70"/>
      <c r="NG16" s="70"/>
      <c r="NH16" s="70"/>
      <c r="NI16" s="70" t="s">
        <v>6312</v>
      </c>
      <c r="NJ16" s="70"/>
      <c r="NK16" s="70"/>
      <c r="NL16" s="77" t="s">
        <v>1783</v>
      </c>
      <c r="NM16" s="70"/>
      <c r="NN16" s="70"/>
      <c r="NO16" s="110"/>
      <c r="NP16" s="110"/>
      <c r="NQ16" s="110"/>
      <c r="NR16" s="581"/>
      <c r="NS16" s="110"/>
      <c r="NT16" s="110"/>
      <c r="NU16" s="87"/>
      <c r="NV16" s="87"/>
      <c r="NW16" s="513"/>
    </row>
    <row r="17" spans="1:387" ht="14.4">
      <c r="A17" s="1638"/>
      <c r="B17" s="1643"/>
      <c r="C17" s="1656"/>
      <c r="D17" s="77"/>
      <c r="E17" s="70"/>
      <c r="F17" s="70"/>
      <c r="G17" s="76"/>
      <c r="H17" s="78" t="s">
        <v>6661</v>
      </c>
      <c r="I17" s="70"/>
      <c r="J17" s="111"/>
      <c r="K17" s="110"/>
      <c r="L17" s="110"/>
      <c r="M17" s="110"/>
      <c r="N17" s="110"/>
      <c r="O17" s="110"/>
      <c r="P17" s="68"/>
      <c r="Q17" s="70"/>
      <c r="R17" s="70"/>
      <c r="S17" s="87"/>
      <c r="T17" s="70"/>
      <c r="U17" s="70"/>
      <c r="V17" s="87"/>
      <c r="W17" s="70"/>
      <c r="X17" s="70"/>
      <c r="Y17" s="87"/>
      <c r="Z17" s="70"/>
      <c r="AA17" s="70"/>
      <c r="AB17" s="87"/>
      <c r="AC17" s="70"/>
      <c r="AD17" s="70"/>
      <c r="AE17" s="110"/>
      <c r="AF17" s="110"/>
      <c r="AG17" s="110"/>
      <c r="AH17" s="110"/>
      <c r="AI17" s="110"/>
      <c r="AJ17" s="110"/>
      <c r="AK17" s="64"/>
      <c r="AL17" s="66" t="s">
        <v>6662</v>
      </c>
      <c r="AM17" s="70"/>
      <c r="AN17" s="87"/>
      <c r="AO17" s="154"/>
      <c r="AP17" s="70"/>
      <c r="AQ17" s="87"/>
      <c r="AR17" s="66" t="s">
        <v>6663</v>
      </c>
      <c r="AS17" s="70"/>
      <c r="AT17" s="87"/>
      <c r="AU17" s="70"/>
      <c r="AV17" s="70"/>
      <c r="AW17" s="87"/>
      <c r="AX17" s="70"/>
      <c r="AY17" s="70"/>
      <c r="AZ17" s="110"/>
      <c r="BA17" s="110"/>
      <c r="BB17" s="110"/>
      <c r="BC17" s="110"/>
      <c r="BD17" s="110"/>
      <c r="BE17" s="110"/>
      <c r="BF17" s="64"/>
      <c r="BG17" s="70"/>
      <c r="BH17" s="70"/>
      <c r="BI17" s="181"/>
      <c r="BJ17" s="177"/>
      <c r="BK17" s="177"/>
      <c r="BL17" s="87"/>
      <c r="BM17" s="70"/>
      <c r="BN17" s="70"/>
      <c r="BO17" s="70"/>
      <c r="BP17" s="87"/>
      <c r="BQ17" s="70"/>
      <c r="BR17" s="70"/>
      <c r="BS17" s="70"/>
      <c r="BT17" s="87"/>
      <c r="BU17" s="70"/>
      <c r="BV17" s="70"/>
      <c r="BW17" s="70"/>
      <c r="BX17" s="110"/>
      <c r="BY17" s="110"/>
      <c r="BZ17" s="110"/>
      <c r="CA17" s="110"/>
      <c r="CB17" s="110"/>
      <c r="CC17" s="128"/>
      <c r="CD17" s="201"/>
      <c r="CE17" s="198"/>
      <c r="CF17" s="198"/>
      <c r="CG17" s="198"/>
      <c r="CH17" s="198"/>
      <c r="CI17" s="198"/>
      <c r="CJ17" s="198"/>
      <c r="CK17" s="198"/>
      <c r="CL17" s="198"/>
      <c r="CM17" s="198"/>
      <c r="CN17" s="198"/>
      <c r="CO17" s="198"/>
      <c r="CP17" s="198"/>
      <c r="CQ17" s="198"/>
      <c r="CR17" s="198"/>
      <c r="CS17" s="198"/>
      <c r="CT17" s="198"/>
      <c r="CU17" s="268"/>
      <c r="CV17" s="267"/>
      <c r="CW17" s="260"/>
      <c r="CX17" s="260"/>
      <c r="CY17" s="260"/>
      <c r="CZ17" s="260"/>
      <c r="DA17" s="260"/>
      <c r="DB17" s="296"/>
      <c r="DC17" s="79"/>
      <c r="DD17" s="70"/>
      <c r="DE17" s="70"/>
      <c r="DF17" s="64"/>
      <c r="DG17" s="70"/>
      <c r="DH17" s="70"/>
      <c r="DI17" s="70"/>
      <c r="DJ17" s="312" t="s">
        <v>6664</v>
      </c>
      <c r="DK17" s="70"/>
      <c r="DL17" s="70" t="s">
        <v>6665</v>
      </c>
      <c r="DM17" s="87"/>
      <c r="DN17" s="70"/>
      <c r="DO17" s="70"/>
      <c r="DP17" s="87"/>
      <c r="DQ17" s="70"/>
      <c r="DR17" s="70"/>
      <c r="DS17" s="110"/>
      <c r="DT17" s="110"/>
      <c r="DU17" s="110"/>
      <c r="DV17" s="110"/>
      <c r="DW17" s="110"/>
      <c r="DX17" s="110"/>
      <c r="DY17" s="64"/>
      <c r="DZ17" s="70"/>
      <c r="EA17" s="70"/>
      <c r="EB17" s="110"/>
      <c r="EC17" s="110"/>
      <c r="ED17" s="110"/>
      <c r="EE17" s="87"/>
      <c r="EF17" s="70"/>
      <c r="EG17" s="70"/>
      <c r="EH17" s="313" t="s">
        <v>6666</v>
      </c>
      <c r="EI17" s="66" t="s">
        <v>6666</v>
      </c>
      <c r="EJ17" s="70"/>
      <c r="EK17" s="87"/>
      <c r="EL17" s="70"/>
      <c r="EM17" s="70"/>
      <c r="EN17" s="110"/>
      <c r="EO17" s="110"/>
      <c r="EP17" s="110"/>
      <c r="EQ17" s="110"/>
      <c r="ER17" s="110"/>
      <c r="ES17" s="110"/>
      <c r="ET17" s="87"/>
      <c r="EU17" s="70"/>
      <c r="EV17" s="70"/>
      <c r="EW17" s="110"/>
      <c r="EX17" s="110"/>
      <c r="EY17" s="110"/>
      <c r="EZ17" s="147" t="s">
        <v>6667</v>
      </c>
      <c r="FA17" s="87"/>
      <c r="FB17" s="87"/>
      <c r="FC17" s="344"/>
      <c r="FD17" s="87"/>
      <c r="FE17" s="87"/>
      <c r="FF17" s="87"/>
      <c r="FG17" s="87"/>
      <c r="FH17" s="70"/>
      <c r="FI17" s="110"/>
      <c r="FJ17" s="110"/>
      <c r="FK17" s="110"/>
      <c r="FL17" s="110"/>
      <c r="FM17" s="110"/>
      <c r="FN17" s="110"/>
      <c r="FO17" s="76"/>
      <c r="FP17" s="70" t="s">
        <v>6668</v>
      </c>
      <c r="FQ17" s="70"/>
      <c r="FR17" s="70"/>
      <c r="FS17" s="70"/>
      <c r="FT17" s="70"/>
      <c r="FU17" s="147"/>
      <c r="FV17" s="87" t="s">
        <v>6425</v>
      </c>
      <c r="FW17" s="87"/>
      <c r="FX17" s="344"/>
      <c r="FY17" s="87"/>
      <c r="FZ17" s="87"/>
      <c r="GA17" s="87"/>
      <c r="GB17" s="87"/>
      <c r="GC17" s="70"/>
      <c r="GD17" s="110"/>
      <c r="GE17" s="110"/>
      <c r="GF17" s="110"/>
      <c r="GG17" s="110"/>
      <c r="GH17" s="110"/>
      <c r="GI17" s="110"/>
      <c r="GJ17" s="321" t="s">
        <v>6669</v>
      </c>
      <c r="GK17" s="70"/>
      <c r="GL17" s="218"/>
      <c r="GM17" s="146" t="s">
        <v>6337</v>
      </c>
      <c r="GN17" s="367" t="s">
        <v>6670</v>
      </c>
      <c r="GO17" s="70"/>
      <c r="GP17" s="218" t="s">
        <v>6318</v>
      </c>
      <c r="GQ17" s="365"/>
      <c r="GR17" s="318"/>
      <c r="GS17" s="77" t="s">
        <v>6671</v>
      </c>
      <c r="GT17" s="77" t="s">
        <v>6416</v>
      </c>
      <c r="GU17" s="87"/>
      <c r="GV17" s="87"/>
      <c r="GW17" s="87"/>
      <c r="GX17" s="70"/>
      <c r="GY17" s="87"/>
      <c r="GZ17" s="87" t="s">
        <v>6604</v>
      </c>
      <c r="HA17" s="87"/>
      <c r="HB17" s="110"/>
      <c r="HC17" s="110"/>
      <c r="HD17" s="110"/>
      <c r="HE17" s="87"/>
      <c r="HF17" s="70"/>
      <c r="HG17" s="70"/>
      <c r="HH17" s="146"/>
      <c r="HI17" s="79" t="s">
        <v>6672</v>
      </c>
      <c r="HJ17" s="1631"/>
      <c r="HK17" s="64" t="s">
        <v>6492</v>
      </c>
      <c r="HL17" s="64"/>
      <c r="HM17" s="87"/>
      <c r="HN17" s="77"/>
      <c r="HO17" s="143"/>
      <c r="HP17" s="87"/>
      <c r="HQ17" s="87"/>
      <c r="HR17" s="87"/>
      <c r="HS17" s="218"/>
      <c r="HT17" s="260"/>
      <c r="HU17" s="260"/>
      <c r="HV17" s="260"/>
      <c r="HW17" s="260"/>
      <c r="HX17" s="260"/>
      <c r="HY17" s="260"/>
      <c r="HZ17" s="260"/>
      <c r="IA17" s="260"/>
      <c r="IB17" s="274"/>
      <c r="IC17" s="201"/>
      <c r="ID17" s="198"/>
      <c r="IE17" s="268"/>
      <c r="IF17" s="197"/>
      <c r="IG17" s="199"/>
      <c r="IH17" s="431"/>
      <c r="II17" s="197"/>
      <c r="IJ17" s="199"/>
      <c r="IK17" s="431"/>
      <c r="IL17" s="197"/>
      <c r="IM17" s="199"/>
      <c r="IN17" s="268"/>
      <c r="IO17" s="288"/>
      <c r="IP17" s="260"/>
      <c r="IQ17" s="296"/>
      <c r="IR17" s="288"/>
      <c r="IS17" s="260"/>
      <c r="IT17" s="296"/>
      <c r="IU17" s="409"/>
      <c r="IV17" s="454"/>
      <c r="IW17" s="470"/>
      <c r="IX17" s="197"/>
      <c r="IY17" s="198"/>
      <c r="IZ17" s="268"/>
      <c r="JA17" s="197"/>
      <c r="JB17" s="198"/>
      <c r="JC17" s="431"/>
      <c r="JD17" s="234"/>
      <c r="JE17" s="235"/>
      <c r="JF17" s="431"/>
      <c r="JG17" s="197"/>
      <c r="JH17" s="70"/>
      <c r="JI17" s="268"/>
      <c r="JJ17" s="288"/>
      <c r="JK17" s="260"/>
      <c r="JL17" s="296"/>
      <c r="JM17" s="288"/>
      <c r="JN17" s="260"/>
      <c r="JO17" s="296"/>
      <c r="JP17" s="496"/>
      <c r="JQ17" s="388"/>
      <c r="JR17" s="489"/>
      <c r="JS17" s="495"/>
      <c r="JT17" s="491"/>
      <c r="JU17" s="69"/>
      <c r="JV17" s="147"/>
      <c r="JW17" s="68"/>
      <c r="JX17" s="87"/>
      <c r="JY17" s="333" t="s">
        <v>6673</v>
      </c>
      <c r="JZ17" s="143"/>
      <c r="KA17" s="87"/>
      <c r="KB17" s="87"/>
      <c r="KC17" s="87"/>
      <c r="KD17" s="70"/>
      <c r="KE17" s="110"/>
      <c r="KF17" s="110"/>
      <c r="KG17" s="110"/>
      <c r="KH17" s="110"/>
      <c r="KI17" s="110"/>
      <c r="KJ17" s="110"/>
      <c r="KK17" s="496"/>
      <c r="KL17" s="70"/>
      <c r="KM17" s="513"/>
      <c r="KN17" s="513"/>
      <c r="KO17" s="70"/>
      <c r="KP17" s="70"/>
      <c r="KQ17" s="147"/>
      <c r="KR17" s="68"/>
      <c r="KS17" s="87"/>
      <c r="KT17" s="143"/>
      <c r="KU17" s="143"/>
      <c r="KV17" s="87"/>
      <c r="KW17" s="87"/>
      <c r="KX17" s="87"/>
      <c r="KY17" s="70"/>
      <c r="KZ17" s="110"/>
      <c r="LA17" s="110"/>
      <c r="LB17" s="110"/>
      <c r="LC17" s="110"/>
      <c r="LD17" s="110"/>
      <c r="LE17" s="110"/>
      <c r="LF17" s="512"/>
      <c r="LG17" s="513"/>
      <c r="LH17" s="513"/>
      <c r="LI17" s="513"/>
      <c r="LJ17" s="513"/>
      <c r="LK17" s="70"/>
      <c r="LL17" s="147"/>
      <c r="LM17" s="68"/>
      <c r="LN17" s="87"/>
      <c r="LO17" s="143"/>
      <c r="LP17" s="143"/>
      <c r="LQ17" s="87"/>
      <c r="LR17" s="87"/>
      <c r="LS17" s="87"/>
      <c r="LT17" s="70"/>
      <c r="LU17" s="110"/>
      <c r="LV17" s="110"/>
      <c r="LW17" s="110"/>
      <c r="LX17" s="110"/>
      <c r="LY17" s="110"/>
      <c r="LZ17" s="110"/>
      <c r="MA17" s="513"/>
      <c r="MB17" s="513"/>
      <c r="MC17" s="513"/>
      <c r="ME17" s="545"/>
      <c r="MF17" s="70"/>
      <c r="MG17" s="513"/>
      <c r="MH17" s="513"/>
      <c r="MI17" s="70"/>
      <c r="MJ17" s="69"/>
      <c r="MK17" s="70"/>
      <c r="ML17" s="70" t="s">
        <v>6674</v>
      </c>
      <c r="MM17" s="70"/>
      <c r="MN17" s="70"/>
      <c r="MO17" s="70"/>
      <c r="MP17" s="70"/>
      <c r="MQ17" s="143"/>
      <c r="MR17" s="70"/>
      <c r="MS17" s="70"/>
      <c r="MT17" s="110"/>
      <c r="MU17" s="110"/>
      <c r="MV17" s="110"/>
      <c r="MW17" s="583"/>
      <c r="MX17" s="110"/>
      <c r="MY17" s="128"/>
      <c r="MZ17" s="584"/>
      <c r="NA17" s="454"/>
      <c r="NB17" s="470"/>
      <c r="NC17" s="513"/>
      <c r="ND17" s="513"/>
      <c r="NE17" s="69"/>
      <c r="NF17" s="70"/>
      <c r="NG17" s="70"/>
      <c r="NH17" s="70"/>
      <c r="NI17" s="70" t="s">
        <v>6480</v>
      </c>
      <c r="NJ17" s="546" t="s">
        <v>6635</v>
      </c>
      <c r="NK17" s="70"/>
      <c r="NL17" s="143"/>
      <c r="NM17" s="70"/>
      <c r="NN17" s="70"/>
      <c r="NO17" s="110"/>
      <c r="NP17" s="110"/>
      <c r="NQ17" s="110"/>
      <c r="NR17" s="583"/>
      <c r="NS17" s="110"/>
      <c r="NT17" s="110"/>
      <c r="NU17" s="545"/>
      <c r="NV17" s="513"/>
      <c r="NW17" s="513"/>
    </row>
    <row r="18" spans="1:387" ht="14.4">
      <c r="A18" s="1639"/>
      <c r="B18" s="1644"/>
      <c r="C18" s="1657"/>
      <c r="D18" s="73"/>
      <c r="E18" s="73"/>
      <c r="F18" s="73"/>
      <c r="G18" s="73"/>
      <c r="H18" s="73"/>
      <c r="I18" s="73"/>
      <c r="J18" s="114"/>
      <c r="K18" s="114"/>
      <c r="L18" s="114"/>
      <c r="M18" s="114"/>
      <c r="N18" s="114"/>
      <c r="O18" s="114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114"/>
      <c r="AF18" s="114"/>
      <c r="AG18" s="114"/>
      <c r="AH18" s="114"/>
      <c r="AI18" s="114"/>
      <c r="AJ18" s="114"/>
      <c r="AK18" s="73"/>
      <c r="AL18" s="73"/>
      <c r="AM18" s="73"/>
      <c r="AN18" s="73"/>
      <c r="AO18" s="155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114"/>
      <c r="BA18" s="114"/>
      <c r="BB18" s="114"/>
      <c r="BC18" s="114"/>
      <c r="BD18" s="114"/>
      <c r="BE18" s="114"/>
      <c r="BF18" s="73"/>
      <c r="BG18" s="73"/>
      <c r="BH18" s="73"/>
      <c r="BI18" s="180"/>
      <c r="BJ18" s="180"/>
      <c r="BK18" s="180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114"/>
      <c r="BY18" s="114"/>
      <c r="BZ18" s="114"/>
      <c r="CA18" s="114"/>
      <c r="CB18" s="114"/>
      <c r="CC18" s="130"/>
      <c r="CD18" s="204" t="s">
        <v>6331</v>
      </c>
      <c r="CE18" s="205"/>
      <c r="CF18" s="205"/>
      <c r="CG18" s="205" t="s">
        <v>6331</v>
      </c>
      <c r="CH18" s="205"/>
      <c r="CI18" s="205"/>
      <c r="CJ18" s="205"/>
      <c r="CK18" s="205" t="s">
        <v>6331</v>
      </c>
      <c r="CL18" s="205"/>
      <c r="CM18" s="205"/>
      <c r="CN18" s="205"/>
      <c r="CO18" s="205" t="s">
        <v>6331</v>
      </c>
      <c r="CP18" s="205"/>
      <c r="CQ18" s="205"/>
      <c r="CR18" s="205"/>
      <c r="CS18" s="205" t="s">
        <v>6331</v>
      </c>
      <c r="CT18" s="205"/>
      <c r="CU18" s="269"/>
      <c r="CV18" s="270"/>
      <c r="CW18" s="271"/>
      <c r="CX18" s="271"/>
      <c r="CY18" s="271"/>
      <c r="CZ18" s="271"/>
      <c r="DA18" s="271"/>
      <c r="DB18" s="298"/>
      <c r="DC18" s="72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114"/>
      <c r="DT18" s="114"/>
      <c r="DU18" s="114"/>
      <c r="DV18" s="114"/>
      <c r="DW18" s="114"/>
      <c r="DX18" s="114"/>
      <c r="DY18" s="73"/>
      <c r="DZ18" s="73"/>
      <c r="EA18" s="73"/>
      <c r="EB18" s="114"/>
      <c r="EC18" s="114"/>
      <c r="ED18" s="114"/>
      <c r="EE18" s="73"/>
      <c r="EF18" s="73"/>
      <c r="EG18" s="73"/>
      <c r="EH18" s="326" t="s">
        <v>6330</v>
      </c>
      <c r="EI18" s="144" t="s">
        <v>6675</v>
      </c>
      <c r="EJ18" s="73"/>
      <c r="EK18" s="73"/>
      <c r="EL18" s="73"/>
      <c r="EM18" s="73"/>
      <c r="EN18" s="114"/>
      <c r="EO18" s="114"/>
      <c r="EP18" s="114"/>
      <c r="EQ18" s="114"/>
      <c r="ER18" s="114"/>
      <c r="ES18" s="114"/>
      <c r="ET18" s="73"/>
      <c r="EU18" s="73"/>
      <c r="EV18" s="73"/>
      <c r="EW18" s="114"/>
      <c r="EX18" s="114"/>
      <c r="EY18" s="114"/>
      <c r="EZ18" s="92"/>
      <c r="FA18" s="92"/>
      <c r="FB18" s="92"/>
      <c r="FC18" s="345"/>
      <c r="FD18" s="92"/>
      <c r="FE18" s="92"/>
      <c r="FF18" s="92"/>
      <c r="FG18" s="92"/>
      <c r="FH18" s="73"/>
      <c r="FI18" s="114"/>
      <c r="FJ18" s="114"/>
      <c r="FK18" s="114"/>
      <c r="FL18" s="114"/>
      <c r="FM18" s="114"/>
      <c r="FN18" s="114"/>
      <c r="FO18" s="73"/>
      <c r="FP18" s="73"/>
      <c r="FQ18" s="73"/>
      <c r="FR18" s="73"/>
      <c r="FS18" s="73"/>
      <c r="FT18" s="73"/>
      <c r="FU18" s="92"/>
      <c r="FV18" s="92"/>
      <c r="FW18" s="92"/>
      <c r="FX18" s="345"/>
      <c r="FY18" s="92"/>
      <c r="FZ18" s="92"/>
      <c r="GA18" s="92"/>
      <c r="GB18" s="92"/>
      <c r="GC18" s="73"/>
      <c r="GD18" s="114"/>
      <c r="GE18" s="114"/>
      <c r="GF18" s="114"/>
      <c r="GG18" s="114"/>
      <c r="GH18" s="114"/>
      <c r="GI18" s="114"/>
      <c r="GJ18" s="73"/>
      <c r="GK18" s="73"/>
      <c r="GL18" s="254"/>
      <c r="GM18" s="368" t="s">
        <v>1783</v>
      </c>
      <c r="GN18" s="72"/>
      <c r="GO18" s="73"/>
      <c r="GP18" s="360" t="s">
        <v>6491</v>
      </c>
      <c r="GQ18" s="369"/>
      <c r="GR18" s="370"/>
      <c r="GS18" s="345"/>
      <c r="GT18" s="92"/>
      <c r="GU18" s="92"/>
      <c r="GV18" s="92"/>
      <c r="GW18" s="92"/>
      <c r="GX18" s="73"/>
      <c r="GY18" s="92"/>
      <c r="GZ18" s="92"/>
      <c r="HA18" s="92"/>
      <c r="HB18" s="114"/>
      <c r="HC18" s="114"/>
      <c r="HD18" s="114"/>
      <c r="HE18" s="73"/>
      <c r="HF18" s="73"/>
      <c r="HG18" s="73"/>
      <c r="HH18" s="368"/>
      <c r="HI18" s="72"/>
      <c r="HJ18" s="73"/>
      <c r="HK18" s="92"/>
      <c r="HL18" s="92"/>
      <c r="HM18" s="92"/>
      <c r="HN18" s="345"/>
      <c r="HO18" s="92"/>
      <c r="HP18" s="92"/>
      <c r="HQ18" s="92"/>
      <c r="HR18" s="92"/>
      <c r="HS18" s="254"/>
      <c r="HT18" s="271"/>
      <c r="HU18" s="271"/>
      <c r="HV18" s="271"/>
      <c r="HW18" s="271"/>
      <c r="HX18" s="271"/>
      <c r="HY18" s="271"/>
      <c r="HZ18" s="271"/>
      <c r="IA18" s="271"/>
      <c r="IB18" s="262"/>
      <c r="IC18" s="204"/>
      <c r="ID18" s="205"/>
      <c r="IE18" s="269"/>
      <c r="IF18" s="204"/>
      <c r="IG18" s="205"/>
      <c r="IH18" s="269"/>
      <c r="II18" s="204"/>
      <c r="IJ18" s="436"/>
      <c r="IK18" s="269"/>
      <c r="IL18" s="412"/>
      <c r="IM18" s="205"/>
      <c r="IN18" s="269"/>
      <c r="IO18" s="289"/>
      <c r="IP18" s="271"/>
      <c r="IQ18" s="298"/>
      <c r="IR18" s="289"/>
      <c r="IS18" s="271"/>
      <c r="IT18" s="298"/>
      <c r="IU18" s="455"/>
      <c r="IV18" s="456"/>
      <c r="IW18" s="471"/>
      <c r="IX18" s="204"/>
      <c r="IY18" s="205"/>
      <c r="IZ18" s="269"/>
      <c r="JA18" s="412"/>
      <c r="JB18" s="436"/>
      <c r="JC18" s="437"/>
      <c r="JD18" s="412"/>
      <c r="JE18" s="436"/>
      <c r="JF18" s="437"/>
      <c r="JG18" s="412"/>
      <c r="JH18" s="229"/>
      <c r="JI18" s="269"/>
      <c r="JJ18" s="289"/>
      <c r="JK18" s="271"/>
      <c r="JL18" s="298"/>
      <c r="JM18" s="289"/>
      <c r="JN18" s="271"/>
      <c r="JO18" s="298"/>
      <c r="JP18" s="503"/>
      <c r="JQ18" s="498"/>
      <c r="JR18" s="499"/>
      <c r="JS18" s="504"/>
      <c r="JT18" s="501"/>
      <c r="JU18" s="531"/>
      <c r="JV18" s="147"/>
      <c r="JW18" s="367"/>
      <c r="JX18" s="367"/>
      <c r="JY18" s="152" t="s">
        <v>6676</v>
      </c>
      <c r="JZ18" s="65"/>
      <c r="KA18" s="367"/>
      <c r="KB18" s="87"/>
      <c r="KC18" s="367"/>
      <c r="KD18" s="229"/>
      <c r="KE18" s="338"/>
      <c r="KF18" s="338"/>
      <c r="KG18" s="338"/>
      <c r="KH18" s="338"/>
      <c r="KI18" s="338"/>
      <c r="KJ18" s="338"/>
      <c r="KK18" s="503"/>
      <c r="KL18" s="229"/>
      <c r="KM18" s="497"/>
      <c r="KN18" s="68"/>
      <c r="KO18" s="229"/>
      <c r="KP18" s="229"/>
      <c r="KQ18" s="147"/>
      <c r="KR18" s="367"/>
      <c r="KS18" s="367"/>
      <c r="KT18" s="367"/>
      <c r="KU18" s="367"/>
      <c r="KV18" s="367"/>
      <c r="KW18" s="87"/>
      <c r="KX18" s="367"/>
      <c r="KY18" s="229"/>
      <c r="KZ18" s="338"/>
      <c r="LA18" s="338"/>
      <c r="LB18" s="338"/>
      <c r="LC18" s="338"/>
      <c r="LD18" s="338"/>
      <c r="LE18" s="338"/>
      <c r="LF18" s="503"/>
      <c r="LG18" s="497"/>
      <c r="LH18" s="497"/>
      <c r="LI18" s="68"/>
      <c r="LJ18" s="229"/>
      <c r="LK18" s="229"/>
      <c r="LL18" s="147"/>
      <c r="LM18" s="367"/>
      <c r="LN18" s="367"/>
      <c r="LO18" s="367"/>
      <c r="LP18" s="367"/>
      <c r="LQ18" s="367"/>
      <c r="LR18" s="87"/>
      <c r="LS18" s="367"/>
      <c r="LT18" s="229"/>
      <c r="LU18" s="338"/>
      <c r="LV18" s="338"/>
      <c r="LW18" s="338"/>
      <c r="LX18" s="338"/>
      <c r="LY18" s="338"/>
      <c r="LZ18" s="338"/>
      <c r="MA18" s="503"/>
      <c r="MB18" s="497"/>
      <c r="MC18" s="513"/>
      <c r="MD18" s="543"/>
      <c r="ME18" s="497"/>
      <c r="MF18" s="229"/>
      <c r="MG18" s="497"/>
      <c r="MH18" s="497"/>
      <c r="MI18" s="229"/>
      <c r="MJ18" s="571"/>
      <c r="MK18" s="367"/>
      <c r="ML18" s="367"/>
      <c r="MM18" s="367"/>
      <c r="MN18" s="367"/>
      <c r="MO18" s="367"/>
      <c r="MP18" s="229"/>
      <c r="MQ18" s="229"/>
      <c r="MR18" s="229"/>
      <c r="MS18" s="229"/>
      <c r="MT18" s="338"/>
      <c r="MU18" s="338"/>
      <c r="MV18" s="338"/>
      <c r="MW18" s="338"/>
      <c r="MX18" s="338"/>
      <c r="MY18" s="578"/>
      <c r="MZ18" s="455"/>
      <c r="NA18" s="456"/>
      <c r="NB18" s="471"/>
      <c r="NC18" s="497"/>
      <c r="ND18" s="497"/>
      <c r="NE18" s="571"/>
      <c r="NF18" s="367"/>
      <c r="NG18" s="367"/>
      <c r="NH18" s="367"/>
      <c r="NI18" s="367"/>
      <c r="NJ18" s="367"/>
      <c r="NK18" s="229"/>
      <c r="NL18" s="229"/>
      <c r="NM18" s="229"/>
      <c r="NN18" s="229"/>
      <c r="NO18" s="338"/>
      <c r="NP18" s="338"/>
      <c r="NQ18" s="338"/>
      <c r="NR18" s="338"/>
      <c r="NS18" s="338"/>
      <c r="NT18" s="338"/>
      <c r="NU18" s="497"/>
      <c r="NV18" s="497"/>
      <c r="NW18" s="497"/>
    </row>
    <row r="19" spans="1:387" ht="14.4">
      <c r="A19" s="1637"/>
      <c r="B19" s="1642"/>
      <c r="C19" s="1658" t="s">
        <v>6677</v>
      </c>
      <c r="D19" s="61"/>
      <c r="E19" s="61"/>
      <c r="F19" s="61"/>
      <c r="G19" s="61"/>
      <c r="H19" s="60"/>
      <c r="I19" s="61"/>
      <c r="J19" s="108"/>
      <c r="K19" s="108"/>
      <c r="L19" s="108"/>
      <c r="M19" s="108"/>
      <c r="N19" s="108"/>
      <c r="O19" s="108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108"/>
      <c r="AF19" s="108"/>
      <c r="AG19" s="108"/>
      <c r="AH19" s="108"/>
      <c r="AI19" s="108"/>
      <c r="AJ19" s="108"/>
      <c r="AK19" s="61"/>
      <c r="AL19" s="61"/>
      <c r="AM19" s="61"/>
      <c r="AN19" s="61"/>
      <c r="AO19" s="150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108"/>
      <c r="BA19" s="108"/>
      <c r="BB19" s="108"/>
      <c r="BC19" s="108"/>
      <c r="BD19" s="108"/>
      <c r="BE19" s="108"/>
      <c r="BF19" s="61"/>
      <c r="BG19" s="61"/>
      <c r="BH19" s="61"/>
      <c r="BI19" s="173"/>
      <c r="BJ19" s="173"/>
      <c r="BK19" s="173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108"/>
      <c r="BY19" s="108"/>
      <c r="BZ19" s="108"/>
      <c r="CA19" s="108"/>
      <c r="CB19" s="108"/>
      <c r="CC19" s="126"/>
      <c r="CD19" s="194"/>
      <c r="CE19" s="185"/>
      <c r="CF19" s="185"/>
      <c r="CG19" s="185"/>
      <c r="CH19" s="185"/>
      <c r="CI19" s="185"/>
      <c r="CJ19" s="206"/>
      <c r="CK19" s="185"/>
      <c r="CL19" s="185"/>
      <c r="CM19" s="185"/>
      <c r="CN19" s="185"/>
      <c r="CO19" s="185"/>
      <c r="CP19" s="185"/>
      <c r="CQ19" s="185"/>
      <c r="CR19" s="185"/>
      <c r="CS19" s="185"/>
      <c r="CT19" s="185"/>
      <c r="CU19" s="185"/>
      <c r="CV19" s="272"/>
      <c r="CW19" s="273"/>
      <c r="CX19" s="273"/>
      <c r="CY19" s="273"/>
      <c r="CZ19" s="273"/>
      <c r="DA19" s="273"/>
      <c r="DB19" s="273"/>
      <c r="DC19" s="60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108"/>
      <c r="DT19" s="108"/>
      <c r="DU19" s="108"/>
      <c r="DV19" s="108"/>
      <c r="DW19" s="108"/>
      <c r="DX19" s="108"/>
      <c r="DY19" s="61"/>
      <c r="DZ19" s="61"/>
      <c r="EA19" s="61"/>
      <c r="EB19" s="108"/>
      <c r="EC19" s="108"/>
      <c r="ED19" s="108"/>
      <c r="EE19" s="61"/>
      <c r="EF19" s="61"/>
      <c r="EG19" s="61"/>
      <c r="EH19" s="61"/>
      <c r="EI19" s="61"/>
      <c r="EJ19" s="251"/>
      <c r="EK19" s="327"/>
      <c r="EL19" s="60"/>
      <c r="EM19" s="61"/>
      <c r="EN19" s="108"/>
      <c r="EO19" s="108"/>
      <c r="EP19" s="108"/>
      <c r="EQ19" s="108"/>
      <c r="ER19" s="108"/>
      <c r="ES19" s="108"/>
      <c r="ET19" s="61"/>
      <c r="EU19" s="61"/>
      <c r="EV19" s="61"/>
      <c r="EW19" s="108"/>
      <c r="EX19" s="108"/>
      <c r="EY19" s="108"/>
      <c r="EZ19" s="61"/>
      <c r="FA19" s="61"/>
      <c r="FB19" s="61"/>
      <c r="FC19" s="61"/>
      <c r="FD19" s="61"/>
      <c r="FE19" s="251"/>
      <c r="FF19" s="327"/>
      <c r="FG19" s="60"/>
      <c r="FH19" s="61"/>
      <c r="FI19" s="108"/>
      <c r="FJ19" s="108"/>
      <c r="FK19" s="108"/>
      <c r="FL19" s="108"/>
      <c r="FM19" s="108"/>
      <c r="FN19" s="108"/>
      <c r="FO19" s="61"/>
      <c r="FP19" s="61"/>
      <c r="FQ19" s="61"/>
      <c r="FR19" s="61"/>
      <c r="FS19" s="61"/>
      <c r="FT19" s="61"/>
      <c r="FU19" s="61"/>
      <c r="FV19" s="61"/>
      <c r="FW19" s="61"/>
      <c r="FX19" s="61"/>
      <c r="FY19" s="61"/>
      <c r="FZ19" s="251"/>
      <c r="GA19" s="327"/>
      <c r="GB19" s="60"/>
      <c r="GC19" s="61"/>
      <c r="GD19" s="108"/>
      <c r="GE19" s="108"/>
      <c r="GF19" s="108"/>
      <c r="GG19" s="108"/>
      <c r="GH19" s="108"/>
      <c r="GI19" s="108"/>
      <c r="GJ19" s="61"/>
      <c r="GK19" s="61"/>
      <c r="GL19" s="61"/>
      <c r="GM19" s="61"/>
      <c r="GN19" s="61"/>
      <c r="GO19" s="61"/>
      <c r="GP19" s="61"/>
      <c r="GQ19" s="61"/>
      <c r="GR19" s="61"/>
      <c r="GS19" s="61"/>
      <c r="GT19" s="61"/>
      <c r="GU19" s="251"/>
      <c r="GV19" s="327"/>
      <c r="GW19" s="60"/>
      <c r="GX19" s="61"/>
      <c r="GY19" s="211"/>
      <c r="GZ19" s="211"/>
      <c r="HA19" s="211"/>
      <c r="HB19" s="108"/>
      <c r="HC19" s="108"/>
      <c r="HD19" s="108"/>
      <c r="HE19" s="61"/>
      <c r="HF19" s="61"/>
      <c r="HG19" s="61"/>
      <c r="HH19" s="61"/>
      <c r="HI19" s="61"/>
      <c r="HJ19" s="61"/>
      <c r="HK19" s="61"/>
      <c r="HL19" s="61"/>
      <c r="HM19" s="61"/>
      <c r="HN19" s="61"/>
      <c r="HO19" s="61"/>
      <c r="HP19" s="251"/>
      <c r="HQ19" s="327"/>
      <c r="HR19" s="60"/>
      <c r="HS19" s="251"/>
      <c r="HT19" s="265"/>
      <c r="HU19" s="265"/>
      <c r="HV19" s="265"/>
      <c r="HW19" s="265"/>
      <c r="HX19" s="265"/>
      <c r="HY19" s="265"/>
      <c r="HZ19" s="265" t="s">
        <v>6331</v>
      </c>
      <c r="IA19" s="265"/>
      <c r="IB19" s="273"/>
      <c r="IC19" s="194" t="s">
        <v>6331</v>
      </c>
      <c r="ID19" s="185"/>
      <c r="IE19" s="257"/>
      <c r="IF19" s="194" t="s">
        <v>6331</v>
      </c>
      <c r="IG19" s="185"/>
      <c r="IH19" s="257"/>
      <c r="II19" s="194" t="s">
        <v>6331</v>
      </c>
      <c r="IJ19" s="206"/>
      <c r="IK19" s="257"/>
      <c r="IL19" s="194" t="s">
        <v>6331</v>
      </c>
      <c r="IM19" s="185"/>
      <c r="IN19" s="257"/>
      <c r="IO19" s="287"/>
      <c r="IP19" s="265"/>
      <c r="IQ19" s="295"/>
      <c r="IR19" s="287"/>
      <c r="IS19" s="265"/>
      <c r="IT19" s="295"/>
      <c r="IU19" s="415"/>
      <c r="IV19" s="453"/>
      <c r="IW19" s="469"/>
      <c r="IX19" s="194"/>
      <c r="IY19" s="185"/>
      <c r="IZ19" s="257"/>
      <c r="JA19" s="194"/>
      <c r="JB19" s="185"/>
      <c r="JC19" s="257"/>
      <c r="JD19" s="194"/>
      <c r="JE19" s="185"/>
      <c r="JF19" s="257"/>
      <c r="JG19" s="414"/>
      <c r="JH19" s="230"/>
      <c r="JI19" s="257"/>
      <c r="JJ19" s="287"/>
      <c r="JK19" s="265"/>
      <c r="JL19" s="295"/>
      <c r="JM19" s="287"/>
      <c r="JN19" s="265"/>
      <c r="JO19" s="295"/>
      <c r="JP19" s="484"/>
      <c r="JQ19" s="387"/>
      <c r="JR19" s="486"/>
      <c r="JS19" s="487"/>
      <c r="JT19" s="488"/>
      <c r="JU19" s="527"/>
      <c r="JV19" s="230"/>
      <c r="JW19" s="230"/>
      <c r="JX19" s="230"/>
      <c r="JY19" s="230"/>
      <c r="JZ19" s="230"/>
      <c r="KA19" s="253"/>
      <c r="KB19" s="327"/>
      <c r="KC19" s="527"/>
      <c r="KD19" s="230"/>
      <c r="KE19" s="339"/>
      <c r="KF19" s="339"/>
      <c r="KG19" s="339"/>
      <c r="KH19" s="339"/>
      <c r="KI19" s="339"/>
      <c r="KJ19" s="339"/>
      <c r="KK19" s="484"/>
      <c r="KL19" s="230"/>
      <c r="KM19" s="484"/>
      <c r="KN19" s="230"/>
      <c r="KO19" s="230"/>
      <c r="KP19" s="230"/>
      <c r="KQ19" s="230"/>
      <c r="KR19" s="230"/>
      <c r="KS19" s="230"/>
      <c r="KT19" s="230"/>
      <c r="KU19" s="230"/>
      <c r="KV19" s="253"/>
      <c r="KW19" s="327"/>
      <c r="KX19" s="527"/>
      <c r="KY19" s="230"/>
      <c r="KZ19" s="339"/>
      <c r="LA19" s="339"/>
      <c r="LB19" s="339"/>
      <c r="LC19" s="339"/>
      <c r="LD19" s="339"/>
      <c r="LE19" s="339"/>
      <c r="LF19" s="484"/>
      <c r="LG19" s="484"/>
      <c r="LH19" s="484"/>
      <c r="LI19" s="230"/>
      <c r="LJ19" s="230"/>
      <c r="LK19" s="230"/>
      <c r="LL19" s="230"/>
      <c r="LM19" s="230"/>
      <c r="LN19" s="230"/>
      <c r="LO19" s="230"/>
      <c r="LP19" s="230"/>
      <c r="LQ19" s="253"/>
      <c r="LR19" s="327"/>
      <c r="LS19" s="527"/>
      <c r="LT19" s="230"/>
      <c r="LU19" s="339"/>
      <c r="LV19" s="339"/>
      <c r="LW19" s="339"/>
      <c r="LX19" s="339"/>
      <c r="LY19" s="339"/>
      <c r="LZ19" s="339"/>
      <c r="MA19" s="484"/>
      <c r="MB19" s="485"/>
      <c r="MC19" s="354"/>
      <c r="MD19" s="222"/>
      <c r="ME19" s="525"/>
      <c r="MF19" s="64"/>
      <c r="MG19" s="484"/>
      <c r="MH19" s="330"/>
      <c r="MI19" s="79"/>
      <c r="MJ19" s="64"/>
      <c r="MK19" s="64"/>
      <c r="ML19" s="64"/>
      <c r="MM19" s="328"/>
      <c r="MN19" s="330"/>
      <c r="MO19" s="79"/>
      <c r="MP19" s="64"/>
      <c r="MQ19" s="64"/>
      <c r="MR19" s="64"/>
      <c r="MS19" s="64"/>
      <c r="MT19" s="109"/>
      <c r="MU19" s="109"/>
      <c r="MV19" s="109"/>
      <c r="MW19" s="109"/>
      <c r="MX19" s="109"/>
      <c r="MY19" s="196"/>
      <c r="MZ19" s="459"/>
      <c r="NA19" s="460"/>
      <c r="NB19" s="472"/>
      <c r="NC19" s="330"/>
      <c r="ND19" s="79"/>
      <c r="NE19" s="64"/>
      <c r="NF19" s="64"/>
      <c r="NG19" s="64"/>
      <c r="NH19" s="328"/>
      <c r="NI19" s="330"/>
      <c r="NJ19" s="79"/>
      <c r="NK19" s="64"/>
      <c r="NL19" s="64"/>
      <c r="NM19" s="64"/>
      <c r="NN19" s="64"/>
      <c r="NO19" s="109"/>
      <c r="NP19" s="109"/>
      <c r="NQ19" s="109"/>
      <c r="NR19" s="109"/>
      <c r="NS19" s="109"/>
      <c r="NT19" s="109"/>
      <c r="NU19" s="525"/>
      <c r="NV19" s="525"/>
      <c r="NW19" s="484"/>
    </row>
    <row r="20" spans="1:387" ht="14.4">
      <c r="A20" s="1638"/>
      <c r="B20" s="1643"/>
      <c r="C20" s="1659"/>
      <c r="D20" s="64" t="s">
        <v>6331</v>
      </c>
      <c r="E20" s="64"/>
      <c r="F20" s="64"/>
      <c r="G20" s="64" t="s">
        <v>6331</v>
      </c>
      <c r="H20" s="79"/>
      <c r="I20" s="70"/>
      <c r="J20" s="109"/>
      <c r="K20" s="109"/>
      <c r="L20" s="109"/>
      <c r="M20" s="109"/>
      <c r="N20" s="109"/>
      <c r="O20" s="109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109"/>
      <c r="AF20" s="109"/>
      <c r="AG20" s="109"/>
      <c r="AH20" s="109"/>
      <c r="AI20" s="109"/>
      <c r="AJ20" s="109"/>
      <c r="AK20" s="64"/>
      <c r="AL20" s="64"/>
      <c r="AM20" s="64"/>
      <c r="AN20" s="64"/>
      <c r="AO20" s="158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109"/>
      <c r="BA20" s="109"/>
      <c r="BB20" s="109"/>
      <c r="BC20" s="109"/>
      <c r="BD20" s="109"/>
      <c r="BE20" s="109"/>
      <c r="BF20" s="64"/>
      <c r="BG20" s="64"/>
      <c r="BH20" s="64"/>
      <c r="BI20" s="174"/>
      <c r="BJ20" s="174"/>
      <c r="BK20" s="17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109"/>
      <c r="BY20" s="109"/>
      <c r="BZ20" s="109"/>
      <c r="CA20" s="109"/>
      <c r="CB20" s="109"/>
      <c r="CC20" s="196"/>
      <c r="CD20" s="201"/>
      <c r="CE20" s="198"/>
      <c r="CF20" s="198"/>
      <c r="CG20" s="198"/>
      <c r="CH20" s="198"/>
      <c r="CI20" s="198"/>
      <c r="CJ20" s="198"/>
      <c r="CK20" s="198"/>
      <c r="CL20" s="198"/>
      <c r="CM20" s="198"/>
      <c r="CN20" s="198"/>
      <c r="CO20" s="198"/>
      <c r="CP20" s="198"/>
      <c r="CQ20" s="198"/>
      <c r="CR20" s="198"/>
      <c r="CS20" s="198"/>
      <c r="CT20" s="198"/>
      <c r="CU20" s="198"/>
      <c r="CV20" s="220"/>
      <c r="CW20" s="274"/>
      <c r="CX20" s="274"/>
      <c r="CY20" s="274"/>
      <c r="CZ20" s="274"/>
      <c r="DA20" s="274"/>
      <c r="DB20" s="274"/>
      <c r="DC20" s="79" t="s">
        <v>6331</v>
      </c>
      <c r="DD20" s="64"/>
      <c r="DE20" s="64"/>
      <c r="DF20" s="64" t="s">
        <v>6331</v>
      </c>
      <c r="DG20" s="64"/>
      <c r="DH20" s="64"/>
      <c r="DI20" s="64"/>
      <c r="DJ20" s="64" t="s">
        <v>6331</v>
      </c>
      <c r="DK20" s="64"/>
      <c r="DL20" s="64"/>
      <c r="DM20" s="64" t="s">
        <v>6331</v>
      </c>
      <c r="DN20" s="64"/>
      <c r="DO20" s="64"/>
      <c r="DP20" s="64" t="s">
        <v>6331</v>
      </c>
      <c r="DQ20" s="64"/>
      <c r="DR20" s="64"/>
      <c r="DS20" s="109"/>
      <c r="DT20" s="109"/>
      <c r="DU20" s="109"/>
      <c r="DV20" s="109"/>
      <c r="DW20" s="109"/>
      <c r="DX20" s="109"/>
      <c r="DY20" s="64" t="s">
        <v>6331</v>
      </c>
      <c r="DZ20" s="75" t="s">
        <v>6323</v>
      </c>
      <c r="EA20" s="64"/>
      <c r="EB20" s="109"/>
      <c r="EC20" s="109"/>
      <c r="ED20" s="109"/>
      <c r="EE20" s="64" t="s">
        <v>6331</v>
      </c>
      <c r="EF20" s="64"/>
      <c r="EG20" s="64"/>
      <c r="EH20" s="64" t="s">
        <v>6331</v>
      </c>
      <c r="EI20" s="64"/>
      <c r="EJ20" s="328"/>
      <c r="EK20" s="64" t="s">
        <v>6331</v>
      </c>
      <c r="EL20" s="79"/>
      <c r="EM20" s="64"/>
      <c r="EN20" s="109"/>
      <c r="EO20" s="109"/>
      <c r="EP20" s="109"/>
      <c r="EQ20" s="109"/>
      <c r="ER20" s="109"/>
      <c r="ES20" s="109"/>
      <c r="ET20" s="64" t="s">
        <v>6331</v>
      </c>
      <c r="EU20" s="64"/>
      <c r="EV20" s="64"/>
      <c r="EW20" s="109"/>
      <c r="EX20" s="109"/>
      <c r="EY20" s="109"/>
      <c r="EZ20" s="64" t="s">
        <v>6331</v>
      </c>
      <c r="FA20" s="64"/>
      <c r="FB20" s="64"/>
      <c r="FC20" s="64" t="s">
        <v>6331</v>
      </c>
      <c r="FD20" s="64"/>
      <c r="FE20" s="328"/>
      <c r="FF20" s="64" t="s">
        <v>6331</v>
      </c>
      <c r="FG20" s="79"/>
      <c r="FH20" s="64"/>
      <c r="FI20" s="109"/>
      <c r="FJ20" s="109"/>
      <c r="FK20" s="109"/>
      <c r="FL20" s="109"/>
      <c r="FM20" s="109"/>
      <c r="FN20" s="109"/>
      <c r="FO20" s="64" t="s">
        <v>6331</v>
      </c>
      <c r="FP20" s="64"/>
      <c r="FQ20" s="64"/>
      <c r="FR20" s="64"/>
      <c r="FS20" s="64"/>
      <c r="FT20" s="64"/>
      <c r="FU20" s="64" t="s">
        <v>6331</v>
      </c>
      <c r="FV20" s="64"/>
      <c r="FW20" s="64"/>
      <c r="FX20" s="64" t="s">
        <v>6331</v>
      </c>
      <c r="FY20" s="64"/>
      <c r="FZ20" s="328"/>
      <c r="GA20" s="64" t="s">
        <v>6331</v>
      </c>
      <c r="GB20" s="79"/>
      <c r="GC20" s="64"/>
      <c r="GD20" s="109"/>
      <c r="GE20" s="109"/>
      <c r="GF20" s="109"/>
      <c r="GG20" s="109"/>
      <c r="GH20" s="109"/>
      <c r="GI20" s="109"/>
      <c r="GJ20" s="64" t="s">
        <v>6331</v>
      </c>
      <c r="GK20" s="64"/>
      <c r="GL20" s="64"/>
      <c r="GM20" s="64"/>
      <c r="GN20" s="64"/>
      <c r="GO20" s="64"/>
      <c r="GP20" s="64" t="s">
        <v>6331</v>
      </c>
      <c r="GQ20" s="64"/>
      <c r="GR20" s="64"/>
      <c r="GS20" s="64" t="s">
        <v>6331</v>
      </c>
      <c r="GT20" s="64"/>
      <c r="GU20" s="328"/>
      <c r="GV20" s="64" t="s">
        <v>6331</v>
      </c>
      <c r="GW20" s="79"/>
      <c r="GX20" s="64"/>
      <c r="GY20" s="64" t="s">
        <v>6331</v>
      </c>
      <c r="GZ20" s="152"/>
      <c r="HA20" s="152"/>
      <c r="HB20" s="109"/>
      <c r="HC20" s="109"/>
      <c r="HD20" s="109"/>
      <c r="HE20" s="64" t="s">
        <v>6331</v>
      </c>
      <c r="HF20" s="64"/>
      <c r="HG20" s="64"/>
      <c r="HH20" s="64"/>
      <c r="HI20" s="64"/>
      <c r="HJ20" s="64"/>
      <c r="HK20" s="64" t="s">
        <v>6331</v>
      </c>
      <c r="HL20" s="64"/>
      <c r="HM20" s="64"/>
      <c r="HN20" s="64" t="s">
        <v>6331</v>
      </c>
      <c r="HO20" s="64"/>
      <c r="HP20" s="328"/>
      <c r="HQ20" s="64" t="s">
        <v>6331</v>
      </c>
      <c r="HR20" s="79" t="s">
        <v>6326</v>
      </c>
      <c r="HS20" s="328" t="s">
        <v>6678</v>
      </c>
      <c r="HT20" s="260"/>
      <c r="HU20" s="260"/>
      <c r="HV20" s="260"/>
      <c r="HW20" s="260"/>
      <c r="HX20" s="260"/>
      <c r="HY20" s="260"/>
      <c r="HZ20" s="260"/>
      <c r="IA20" s="260"/>
      <c r="IB20" s="274"/>
      <c r="IC20" s="201"/>
      <c r="ID20" s="198"/>
      <c r="IE20" s="268"/>
      <c r="IF20" s="201"/>
      <c r="IG20" s="198"/>
      <c r="IH20" s="268"/>
      <c r="II20" s="201"/>
      <c r="IJ20" s="199"/>
      <c r="IK20" s="268"/>
      <c r="IL20" s="197"/>
      <c r="IM20" s="198"/>
      <c r="IN20" s="268"/>
      <c r="IO20" s="288"/>
      <c r="IP20" s="260"/>
      <c r="IQ20" s="296"/>
      <c r="IR20" s="288"/>
      <c r="IS20" s="260"/>
      <c r="IT20" s="296"/>
      <c r="IU20" s="201" t="s">
        <v>6331</v>
      </c>
      <c r="IV20" s="454" t="s">
        <v>6331</v>
      </c>
      <c r="IW20" s="470"/>
      <c r="IX20" s="201" t="s">
        <v>6331</v>
      </c>
      <c r="IY20" s="198"/>
      <c r="IZ20" s="268"/>
      <c r="JA20" s="201" t="s">
        <v>6331</v>
      </c>
      <c r="JB20" s="198" t="s">
        <v>6331</v>
      </c>
      <c r="JC20" s="268"/>
      <c r="JD20" s="197" t="s">
        <v>6332</v>
      </c>
      <c r="JE20" s="198"/>
      <c r="JF20" s="477" t="s">
        <v>6679</v>
      </c>
      <c r="JG20" s="201" t="s">
        <v>6331</v>
      </c>
      <c r="JH20" s="64"/>
      <c r="JI20" s="268"/>
      <c r="JJ20" s="288"/>
      <c r="JK20" s="260"/>
      <c r="JL20" s="296"/>
      <c r="JM20" s="288"/>
      <c r="JN20" s="260"/>
      <c r="JO20" s="296"/>
      <c r="JP20" s="64" t="s">
        <v>6331</v>
      </c>
      <c r="JQ20" s="388" t="s">
        <v>6331</v>
      </c>
      <c r="JR20" s="489"/>
      <c r="JS20" s="502" t="s">
        <v>6331</v>
      </c>
      <c r="JT20" s="491" t="s">
        <v>6331</v>
      </c>
      <c r="JU20" s="79"/>
      <c r="JV20" s="64" t="s">
        <v>6331</v>
      </c>
      <c r="JW20" s="64" t="s">
        <v>6331</v>
      </c>
      <c r="JX20" s="64"/>
      <c r="JY20" s="64" t="s">
        <v>6331</v>
      </c>
      <c r="JZ20" s="64"/>
      <c r="KA20" s="64"/>
      <c r="KB20" s="64" t="s">
        <v>6331</v>
      </c>
      <c r="KC20" s="79"/>
      <c r="KD20" s="64"/>
      <c r="KE20" s="109"/>
      <c r="KF20" s="109"/>
      <c r="KG20" s="109"/>
      <c r="KH20" s="109"/>
      <c r="KI20" s="109"/>
      <c r="KJ20" s="109"/>
      <c r="KK20" s="64" t="s">
        <v>6331</v>
      </c>
      <c r="KL20" s="64"/>
      <c r="KM20" s="525"/>
      <c r="KN20" s="64" t="s">
        <v>6331</v>
      </c>
      <c r="KO20" s="64"/>
      <c r="KP20" s="64"/>
      <c r="KQ20" s="64" t="s">
        <v>6331</v>
      </c>
      <c r="KR20" s="64"/>
      <c r="KS20" s="64"/>
      <c r="KT20" s="64" t="s">
        <v>6331</v>
      </c>
      <c r="KU20" s="64"/>
      <c r="KV20" s="64"/>
      <c r="KW20" s="64" t="s">
        <v>6331</v>
      </c>
      <c r="KX20" s="79"/>
      <c r="KY20" s="64"/>
      <c r="KZ20" s="109"/>
      <c r="LA20" s="109"/>
      <c r="LB20" s="109"/>
      <c r="LC20" s="109"/>
      <c r="LD20" s="109"/>
      <c r="LE20" s="109"/>
      <c r="LF20" s="64" t="s">
        <v>6331</v>
      </c>
      <c r="LG20" s="525"/>
      <c r="LH20" s="525"/>
      <c r="LI20" s="64" t="s">
        <v>6331</v>
      </c>
      <c r="LJ20" s="64"/>
      <c r="LK20" s="64"/>
      <c r="LL20" s="64" t="s">
        <v>6331</v>
      </c>
      <c r="LM20" s="64"/>
      <c r="LN20" s="64"/>
      <c r="LO20" s="64" t="s">
        <v>6331</v>
      </c>
      <c r="LP20" s="64"/>
      <c r="LQ20" s="64"/>
      <c r="LR20" s="64" t="s">
        <v>6331</v>
      </c>
      <c r="LS20" s="79"/>
      <c r="LT20" s="64"/>
      <c r="LU20" s="109"/>
      <c r="LV20" s="109"/>
      <c r="LW20" s="109"/>
      <c r="LX20" s="109"/>
      <c r="LY20" s="109"/>
      <c r="LZ20" s="109"/>
      <c r="MA20" s="64" t="s">
        <v>6331</v>
      </c>
      <c r="MB20" s="566"/>
      <c r="MC20" s="356"/>
      <c r="ME20" s="64" t="s">
        <v>6331</v>
      </c>
      <c r="MF20" s="64"/>
      <c r="MG20" s="525"/>
      <c r="MH20" s="64" t="s">
        <v>6331</v>
      </c>
      <c r="MI20" s="64" t="s">
        <v>6331</v>
      </c>
      <c r="MJ20" s="64"/>
      <c r="MK20" s="64" t="s">
        <v>6331</v>
      </c>
      <c r="ML20" s="64" t="s">
        <v>6331</v>
      </c>
      <c r="MM20" s="64"/>
      <c r="MN20" s="64" t="s">
        <v>6331</v>
      </c>
      <c r="MO20" s="64"/>
      <c r="MP20" s="64"/>
      <c r="MQ20" s="64" t="s">
        <v>6331</v>
      </c>
      <c r="MR20" s="64" t="s">
        <v>6331</v>
      </c>
      <c r="MS20" s="64"/>
      <c r="MT20" s="109"/>
      <c r="MU20" s="109"/>
      <c r="MV20" s="109"/>
      <c r="MW20" s="109"/>
      <c r="MX20" s="109"/>
      <c r="MY20" s="196"/>
      <c r="MZ20" s="201" t="s">
        <v>6331</v>
      </c>
      <c r="NA20" s="454" t="s">
        <v>6331</v>
      </c>
      <c r="NB20" s="470"/>
      <c r="NC20" s="64" t="s">
        <v>6331</v>
      </c>
      <c r="ND20" s="64" t="s">
        <v>6331</v>
      </c>
      <c r="NE20" s="64"/>
      <c r="NF20" s="64" t="s">
        <v>6331</v>
      </c>
      <c r="NG20" s="64"/>
      <c r="NH20" s="64"/>
      <c r="NI20" s="64" t="s">
        <v>6331</v>
      </c>
      <c r="NJ20" s="64"/>
      <c r="NK20" s="64"/>
      <c r="NL20" s="64" t="s">
        <v>6331</v>
      </c>
      <c r="NM20" s="64" t="s">
        <v>6331</v>
      </c>
      <c r="NN20" s="64"/>
      <c r="NO20" s="109"/>
      <c r="NP20" s="109"/>
      <c r="NQ20" s="109"/>
      <c r="NR20" s="109"/>
      <c r="NS20" s="109"/>
      <c r="NT20" s="109"/>
      <c r="NU20" s="64" t="s">
        <v>6331</v>
      </c>
      <c r="NV20" s="525"/>
      <c r="NW20" s="525"/>
    </row>
    <row r="21" spans="1:387" ht="14.4">
      <c r="A21" s="1638"/>
      <c r="B21" s="1643"/>
      <c r="C21" s="1659"/>
      <c r="D21" s="68"/>
      <c r="E21" s="68"/>
      <c r="F21" s="68"/>
      <c r="G21" s="68"/>
      <c r="H21" s="80"/>
      <c r="I21" s="68"/>
      <c r="J21" s="109"/>
      <c r="K21" s="111"/>
      <c r="L21" s="111"/>
      <c r="M21" s="111"/>
      <c r="N21" s="111"/>
      <c r="O21" s="111"/>
      <c r="P21" s="68"/>
      <c r="Q21" s="68"/>
      <c r="R21" s="68"/>
      <c r="S21" s="68"/>
      <c r="T21" s="68"/>
      <c r="U21" s="77"/>
      <c r="V21" s="68"/>
      <c r="W21" s="68"/>
      <c r="X21" s="68"/>
      <c r="Y21" s="68"/>
      <c r="Z21" s="68"/>
      <c r="AA21" s="68"/>
      <c r="AB21" s="68"/>
      <c r="AC21" s="68"/>
      <c r="AD21" s="68"/>
      <c r="AE21" s="111"/>
      <c r="AF21" s="111"/>
      <c r="AG21" s="111"/>
      <c r="AH21" s="111"/>
      <c r="AI21" s="111"/>
      <c r="AJ21" s="111"/>
      <c r="AK21" s="68"/>
      <c r="AL21" s="68"/>
      <c r="AM21" s="68"/>
      <c r="AN21" s="68"/>
      <c r="AO21" s="159"/>
      <c r="AP21" s="77"/>
      <c r="AQ21" s="68"/>
      <c r="AR21" s="68"/>
      <c r="AS21" s="68"/>
      <c r="AT21" s="68"/>
      <c r="AU21" s="68"/>
      <c r="AV21" s="68"/>
      <c r="AW21" s="68"/>
      <c r="AX21" s="68"/>
      <c r="AY21" s="68"/>
      <c r="AZ21" s="111"/>
      <c r="BA21" s="111"/>
      <c r="BB21" s="111"/>
      <c r="BC21" s="111"/>
      <c r="BD21" s="111"/>
      <c r="BE21" s="111"/>
      <c r="BF21" s="68"/>
      <c r="BG21" s="68"/>
      <c r="BH21" s="68"/>
      <c r="BI21" s="176"/>
      <c r="BJ21" s="176"/>
      <c r="BK21" s="17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111"/>
      <c r="BY21" s="111"/>
      <c r="BZ21" s="111"/>
      <c r="CA21" s="111"/>
      <c r="CB21" s="111"/>
      <c r="CC21" s="200"/>
      <c r="CD21" s="201"/>
      <c r="CE21" s="198"/>
      <c r="CF21" s="198"/>
      <c r="CG21" s="198"/>
      <c r="CH21" s="198"/>
      <c r="CI21" s="198"/>
      <c r="CJ21" s="198"/>
      <c r="CK21" s="198"/>
      <c r="CL21" s="198"/>
      <c r="CM21" s="198"/>
      <c r="CN21" s="198"/>
      <c r="CO21" s="198"/>
      <c r="CP21" s="198"/>
      <c r="CQ21" s="198"/>
      <c r="CR21" s="198"/>
      <c r="CS21" s="198"/>
      <c r="CT21" s="198"/>
      <c r="CU21" s="198"/>
      <c r="CV21" s="220"/>
      <c r="CW21" s="274"/>
      <c r="CX21" s="274"/>
      <c r="CY21" s="274"/>
      <c r="CZ21" s="274"/>
      <c r="DA21" s="274"/>
      <c r="DB21" s="274"/>
      <c r="DC21" s="80"/>
      <c r="DD21" s="68"/>
      <c r="DE21" s="68"/>
      <c r="DF21" s="68"/>
      <c r="DG21" s="68"/>
      <c r="DH21" s="68"/>
      <c r="DI21" s="77"/>
      <c r="DJ21" s="68"/>
      <c r="DK21" s="68"/>
      <c r="DL21" s="68"/>
      <c r="DM21" s="68"/>
      <c r="DN21" s="68"/>
      <c r="DO21" s="68"/>
      <c r="DP21" s="68"/>
      <c r="DQ21" s="68"/>
      <c r="DR21" s="68"/>
      <c r="DS21" s="111"/>
      <c r="DT21" s="111"/>
      <c r="DU21" s="111"/>
      <c r="DV21" s="111"/>
      <c r="DW21" s="111"/>
      <c r="DX21" s="111"/>
      <c r="DY21" s="68"/>
      <c r="DZ21" s="67" t="s">
        <v>6680</v>
      </c>
      <c r="EA21" s="68"/>
      <c r="EB21" s="111"/>
      <c r="EC21" s="111"/>
      <c r="ED21" s="325"/>
      <c r="EE21" s="68"/>
      <c r="EF21" s="68"/>
      <c r="EG21" s="68"/>
      <c r="EH21" s="68"/>
      <c r="EI21" s="68"/>
      <c r="EJ21" s="329"/>
      <c r="EK21" s="330"/>
      <c r="EL21" s="80"/>
      <c r="EM21" s="68"/>
      <c r="EN21" s="111"/>
      <c r="EO21" s="111"/>
      <c r="EP21" s="111"/>
      <c r="EQ21" s="111"/>
      <c r="ER21" s="111"/>
      <c r="ES21" s="111"/>
      <c r="ET21" s="68"/>
      <c r="EU21" s="68"/>
      <c r="EV21" s="68"/>
      <c r="EW21" s="111"/>
      <c r="EX21" s="111"/>
      <c r="EY21" s="325"/>
      <c r="EZ21" s="68"/>
      <c r="FA21" s="68"/>
      <c r="FB21" s="68"/>
      <c r="FC21" s="68"/>
      <c r="FD21" s="68"/>
      <c r="FE21" s="329"/>
      <c r="FF21" s="330"/>
      <c r="FG21" s="80"/>
      <c r="FH21" s="68"/>
      <c r="FI21" s="111"/>
      <c r="FJ21" s="111"/>
      <c r="FK21" s="111"/>
      <c r="FL21" s="111"/>
      <c r="FM21" s="111"/>
      <c r="FN21" s="111"/>
      <c r="FO21" s="68"/>
      <c r="FP21" s="68"/>
      <c r="FQ21" s="68"/>
      <c r="FR21" s="68"/>
      <c r="FS21" s="68"/>
      <c r="FT21" s="77"/>
      <c r="FU21" s="68"/>
      <c r="FV21" s="68"/>
      <c r="FW21" s="68"/>
      <c r="FX21" s="68"/>
      <c r="FY21" s="68"/>
      <c r="FZ21" s="329"/>
      <c r="GA21" s="330"/>
      <c r="GB21" s="80"/>
      <c r="GC21" s="68"/>
      <c r="GD21" s="111"/>
      <c r="GE21" s="111"/>
      <c r="GF21" s="111"/>
      <c r="GG21" s="111"/>
      <c r="GH21" s="111"/>
      <c r="GI21" s="111"/>
      <c r="GJ21" s="68"/>
      <c r="GK21" s="68"/>
      <c r="GL21" s="68"/>
      <c r="GM21" s="68"/>
      <c r="GN21" s="68"/>
      <c r="GO21" s="77"/>
      <c r="GP21" s="68"/>
      <c r="GQ21" s="68"/>
      <c r="GR21" s="68"/>
      <c r="GS21" s="68"/>
      <c r="GT21" s="68"/>
      <c r="GU21" s="329"/>
      <c r="GV21" s="330"/>
      <c r="GW21" s="80"/>
      <c r="GX21" s="68"/>
      <c r="GY21" s="77"/>
      <c r="GZ21" s="77"/>
      <c r="HA21" s="77"/>
      <c r="HB21" s="111"/>
      <c r="HC21" s="111"/>
      <c r="HD21" s="111"/>
      <c r="HE21" s="68"/>
      <c r="HF21" s="68"/>
      <c r="HG21" s="68"/>
      <c r="HH21" s="68"/>
      <c r="HI21" s="68"/>
      <c r="HJ21" s="77"/>
      <c r="HK21" s="68"/>
      <c r="HL21" s="68"/>
      <c r="HM21" s="68"/>
      <c r="HN21" s="68"/>
      <c r="HO21" s="68"/>
      <c r="HP21" s="329"/>
      <c r="HQ21" s="330"/>
      <c r="HR21" s="80" t="s">
        <v>6681</v>
      </c>
      <c r="HS21" s="329"/>
      <c r="HT21" s="260"/>
      <c r="HU21" s="260"/>
      <c r="HV21" s="260"/>
      <c r="HW21" s="260"/>
      <c r="HX21" s="260"/>
      <c r="HY21" s="260"/>
      <c r="HZ21" s="260"/>
      <c r="IA21" s="260"/>
      <c r="IB21" s="274"/>
      <c r="IC21" s="201"/>
      <c r="ID21" s="198"/>
      <c r="IE21" s="268"/>
      <c r="IF21" s="201"/>
      <c r="IG21" s="198"/>
      <c r="IH21" s="268"/>
      <c r="II21" s="201"/>
      <c r="IJ21" s="199"/>
      <c r="IK21" s="268"/>
      <c r="IL21" s="234"/>
      <c r="IM21" s="198"/>
      <c r="IN21" s="268"/>
      <c r="IO21" s="288"/>
      <c r="IP21" s="260"/>
      <c r="IQ21" s="296"/>
      <c r="IR21" s="288"/>
      <c r="IS21" s="260"/>
      <c r="IT21" s="296"/>
      <c r="IU21" s="432"/>
      <c r="IV21" s="454"/>
      <c r="IW21" s="470"/>
      <c r="IX21" s="201"/>
      <c r="IY21" s="198"/>
      <c r="IZ21" s="268"/>
      <c r="JA21" s="201"/>
      <c r="JB21" s="198"/>
      <c r="JC21" s="268"/>
      <c r="JD21" s="234" t="s">
        <v>6682</v>
      </c>
      <c r="JE21" s="198"/>
      <c r="JF21" s="477" t="s">
        <v>6683</v>
      </c>
      <c r="JG21" s="197"/>
      <c r="JH21" s="68"/>
      <c r="JI21" s="268"/>
      <c r="JJ21" s="288"/>
      <c r="JK21" s="260"/>
      <c r="JL21" s="296"/>
      <c r="JM21" s="288"/>
      <c r="JN21" s="260"/>
      <c r="JO21" s="296"/>
      <c r="JP21" s="503"/>
      <c r="JQ21" s="388"/>
      <c r="JR21" s="489"/>
      <c r="JS21" s="504"/>
      <c r="JT21" s="491"/>
      <c r="JU21" s="80"/>
      <c r="JV21" s="68"/>
      <c r="JW21" s="68"/>
      <c r="JX21" s="68"/>
      <c r="JY21" s="68"/>
      <c r="JZ21" s="68"/>
      <c r="KA21" s="68"/>
      <c r="KB21" s="330"/>
      <c r="KC21" s="80"/>
      <c r="KD21" s="68"/>
      <c r="KE21" s="111"/>
      <c r="KF21" s="111"/>
      <c r="KG21" s="111"/>
      <c r="KH21" s="111"/>
      <c r="KI21" s="111"/>
      <c r="KJ21" s="111"/>
      <c r="KK21" s="503"/>
      <c r="KL21" s="68"/>
      <c r="KM21" s="503"/>
      <c r="KN21" s="68"/>
      <c r="KO21" s="68"/>
      <c r="KP21" s="68"/>
      <c r="KQ21" s="68"/>
      <c r="KR21" s="68"/>
      <c r="KS21" s="68"/>
      <c r="KT21" s="68"/>
      <c r="KU21" s="68"/>
      <c r="KV21" s="68"/>
      <c r="KW21" s="330"/>
      <c r="KX21" s="80"/>
      <c r="KY21" s="68"/>
      <c r="KZ21" s="111"/>
      <c r="LA21" s="111"/>
      <c r="LB21" s="111"/>
      <c r="LC21" s="111"/>
      <c r="LD21" s="111"/>
      <c r="LE21" s="111"/>
      <c r="LF21" s="503"/>
      <c r="LG21" s="503"/>
      <c r="LH21" s="503"/>
      <c r="LI21" s="68"/>
      <c r="LJ21" s="68"/>
      <c r="LK21" s="68"/>
      <c r="LL21" s="68"/>
      <c r="LM21" s="68"/>
      <c r="LN21" s="68"/>
      <c r="LO21" s="68"/>
      <c r="LP21" s="68"/>
      <c r="LQ21" s="68"/>
      <c r="LR21" s="330"/>
      <c r="LS21" s="80"/>
      <c r="LT21" s="68"/>
      <c r="LU21" s="111"/>
      <c r="LV21" s="111"/>
      <c r="LW21" s="111"/>
      <c r="LX21" s="111"/>
      <c r="LY21" s="111"/>
      <c r="LZ21" s="111"/>
      <c r="MA21" s="503"/>
      <c r="MB21" s="561"/>
      <c r="MC21" s="356"/>
      <c r="ME21" s="503"/>
      <c r="MF21" s="68"/>
      <c r="MG21" s="503"/>
      <c r="MH21" s="68"/>
      <c r="MI21" s="68"/>
      <c r="MJ21" s="68"/>
      <c r="MK21" s="68"/>
      <c r="ML21" s="68"/>
      <c r="MM21" s="68"/>
      <c r="MN21" s="68"/>
      <c r="MO21" s="68"/>
      <c r="MP21" s="68"/>
      <c r="MQ21" s="68"/>
      <c r="MR21" s="68"/>
      <c r="MS21" s="68"/>
      <c r="MT21" s="111"/>
      <c r="MU21" s="111"/>
      <c r="MV21" s="111"/>
      <c r="MW21" s="111"/>
      <c r="MX21" s="111"/>
      <c r="MY21" s="200"/>
      <c r="MZ21" s="432"/>
      <c r="NA21" s="454"/>
      <c r="NB21" s="470"/>
      <c r="NC21" s="68"/>
      <c r="ND21" s="68"/>
      <c r="NE21" s="68"/>
      <c r="NF21" s="68"/>
      <c r="NG21" s="68"/>
      <c r="NH21" s="68"/>
      <c r="NI21" s="68"/>
      <c r="NJ21" s="68"/>
      <c r="NK21" s="68"/>
      <c r="NL21" s="68"/>
      <c r="NM21" s="68"/>
      <c r="NN21" s="68"/>
      <c r="NO21" s="111"/>
      <c r="NP21" s="111"/>
      <c r="NQ21" s="111"/>
      <c r="NR21" s="111"/>
      <c r="NS21" s="111"/>
      <c r="NT21" s="111"/>
      <c r="NU21" s="503"/>
      <c r="NV21" s="503"/>
      <c r="NW21" s="503"/>
    </row>
    <row r="22" spans="1:387" ht="14.4">
      <c r="A22" s="1639"/>
      <c r="B22" s="1644"/>
      <c r="C22" s="1657"/>
      <c r="D22" s="73"/>
      <c r="E22" s="73"/>
      <c r="F22" s="73"/>
      <c r="G22" s="73"/>
      <c r="H22" s="72"/>
      <c r="I22" s="73"/>
      <c r="J22" s="114"/>
      <c r="K22" s="114"/>
      <c r="L22" s="114"/>
      <c r="M22" s="114"/>
      <c r="N22" s="114"/>
      <c r="O22" s="114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114"/>
      <c r="AF22" s="114"/>
      <c r="AG22" s="114"/>
      <c r="AH22" s="114"/>
      <c r="AI22" s="114"/>
      <c r="AJ22" s="114"/>
      <c r="AK22" s="73"/>
      <c r="AL22" s="73"/>
      <c r="AM22" s="73"/>
      <c r="AN22" s="73"/>
      <c r="AO22" s="155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114"/>
      <c r="BA22" s="114"/>
      <c r="BB22" s="114"/>
      <c r="BC22" s="114"/>
      <c r="BD22" s="114"/>
      <c r="BE22" s="114"/>
      <c r="BF22" s="73"/>
      <c r="BG22" s="73"/>
      <c r="BH22" s="73"/>
      <c r="BI22" s="180"/>
      <c r="BJ22" s="180"/>
      <c r="BK22" s="180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114"/>
      <c r="BY22" s="114"/>
      <c r="BZ22" s="114"/>
      <c r="CA22" s="114"/>
      <c r="CB22" s="114"/>
      <c r="CC22" s="130"/>
      <c r="CD22" s="204"/>
      <c r="CE22" s="205"/>
      <c r="CF22" s="205"/>
      <c r="CG22" s="205"/>
      <c r="CH22" s="205"/>
      <c r="CI22" s="205"/>
      <c r="CJ22" s="205"/>
      <c r="CK22" s="205"/>
      <c r="CL22" s="205"/>
      <c r="CM22" s="205"/>
      <c r="CN22" s="205"/>
      <c r="CO22" s="205"/>
      <c r="CP22" s="205"/>
      <c r="CQ22" s="205"/>
      <c r="CR22" s="205"/>
      <c r="CS22" s="205"/>
      <c r="CT22" s="205"/>
      <c r="CU22" s="205"/>
      <c r="CV22" s="261"/>
      <c r="CW22" s="262"/>
      <c r="CX22" s="262"/>
      <c r="CY22" s="262"/>
      <c r="CZ22" s="262"/>
      <c r="DA22" s="262"/>
      <c r="DB22" s="262"/>
      <c r="DC22" s="72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114"/>
      <c r="DT22" s="114"/>
      <c r="DU22" s="114"/>
      <c r="DV22" s="114"/>
      <c r="DW22" s="114"/>
      <c r="DX22" s="114"/>
      <c r="DY22" s="73"/>
      <c r="DZ22" s="73"/>
      <c r="EA22" s="73"/>
      <c r="EB22" s="114"/>
      <c r="EC22" s="114"/>
      <c r="ED22" s="114"/>
      <c r="EE22" s="73"/>
      <c r="EF22" s="73"/>
      <c r="EG22" s="73"/>
      <c r="EH22" s="73"/>
      <c r="EI22" s="73"/>
      <c r="EJ22" s="254"/>
      <c r="EK22" s="331"/>
      <c r="EL22" s="72"/>
      <c r="EM22" s="73"/>
      <c r="EN22" s="114"/>
      <c r="EO22" s="114"/>
      <c r="EP22" s="114"/>
      <c r="EQ22" s="114"/>
      <c r="ER22" s="114"/>
      <c r="ES22" s="114"/>
      <c r="ET22" s="73"/>
      <c r="EU22" s="73"/>
      <c r="EV22" s="73"/>
      <c r="EW22" s="114"/>
      <c r="EX22" s="114"/>
      <c r="EY22" s="114"/>
      <c r="EZ22" s="73"/>
      <c r="FA22" s="73"/>
      <c r="FB22" s="73"/>
      <c r="FC22" s="73"/>
      <c r="FD22" s="73"/>
      <c r="FE22" s="254"/>
      <c r="FF22" s="331"/>
      <c r="FG22" s="72"/>
      <c r="FH22" s="73"/>
      <c r="FI22" s="114"/>
      <c r="FJ22" s="114"/>
      <c r="FK22" s="114"/>
      <c r="FL22" s="114"/>
      <c r="FM22" s="114"/>
      <c r="FN22" s="114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254"/>
      <c r="GA22" s="331"/>
      <c r="GB22" s="72"/>
      <c r="GC22" s="73"/>
      <c r="GD22" s="114"/>
      <c r="GE22" s="114"/>
      <c r="GF22" s="114"/>
      <c r="GG22" s="114"/>
      <c r="GH22" s="114"/>
      <c r="GI22" s="114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254"/>
      <c r="GV22" s="331"/>
      <c r="GW22" s="72"/>
      <c r="GX22" s="73"/>
      <c r="GY22" s="92"/>
      <c r="GZ22" s="92"/>
      <c r="HA22" s="92"/>
      <c r="HB22" s="114"/>
      <c r="HC22" s="114"/>
      <c r="HD22" s="114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254"/>
      <c r="HQ22" s="331"/>
      <c r="HR22" s="72"/>
      <c r="HS22" s="254"/>
      <c r="HT22" s="271"/>
      <c r="HU22" s="271"/>
      <c r="HV22" s="271"/>
      <c r="HW22" s="271"/>
      <c r="HX22" s="271"/>
      <c r="HY22" s="271"/>
      <c r="HZ22" s="271"/>
      <c r="IA22" s="271"/>
      <c r="IB22" s="262"/>
      <c r="IC22" s="204"/>
      <c r="ID22" s="205"/>
      <c r="IE22" s="269"/>
      <c r="IF22" s="204"/>
      <c r="IG22" s="205"/>
      <c r="IH22" s="269"/>
      <c r="II22" s="204"/>
      <c r="IJ22" s="436"/>
      <c r="IK22" s="269"/>
      <c r="IL22" s="204"/>
      <c r="IM22" s="205"/>
      <c r="IN22" s="269"/>
      <c r="IO22" s="289"/>
      <c r="IP22" s="271"/>
      <c r="IQ22" s="298"/>
      <c r="IR22" s="289"/>
      <c r="IS22" s="271"/>
      <c r="IT22" s="298"/>
      <c r="IU22" s="455"/>
      <c r="IV22" s="456"/>
      <c r="IW22" s="471"/>
      <c r="IX22" s="204"/>
      <c r="IY22" s="205"/>
      <c r="IZ22" s="269"/>
      <c r="JA22" s="204"/>
      <c r="JB22" s="205"/>
      <c r="JC22" s="269"/>
      <c r="JD22" s="204"/>
      <c r="JE22" s="205"/>
      <c r="JF22" s="269"/>
      <c r="JG22" s="445"/>
      <c r="JH22" s="229"/>
      <c r="JI22" s="269"/>
      <c r="JJ22" s="289"/>
      <c r="JK22" s="271"/>
      <c r="JL22" s="298"/>
      <c r="JM22" s="289"/>
      <c r="JN22" s="271"/>
      <c r="JO22" s="298"/>
      <c r="JP22" s="497"/>
      <c r="JQ22" s="498"/>
      <c r="JR22" s="499"/>
      <c r="JS22" s="505"/>
      <c r="JT22" s="501"/>
      <c r="JU22" s="531"/>
      <c r="JV22" s="229"/>
      <c r="JW22" s="229"/>
      <c r="JX22" s="229"/>
      <c r="JY22" s="229"/>
      <c r="JZ22" s="229"/>
      <c r="KA22" s="252"/>
      <c r="KB22" s="331"/>
      <c r="KC22" s="531"/>
      <c r="KD22" s="229"/>
      <c r="KE22" s="338"/>
      <c r="KF22" s="338"/>
      <c r="KG22" s="338"/>
      <c r="KH22" s="338"/>
      <c r="KI22" s="338"/>
      <c r="KJ22" s="338"/>
      <c r="KK22" s="497"/>
      <c r="KL22" s="229"/>
      <c r="KM22" s="497"/>
      <c r="KN22" s="229"/>
      <c r="KO22" s="229"/>
      <c r="KP22" s="229"/>
      <c r="KQ22" s="229"/>
      <c r="KR22" s="229"/>
      <c r="KS22" s="229"/>
      <c r="KT22" s="229"/>
      <c r="KU22" s="229"/>
      <c r="KV22" s="252"/>
      <c r="KW22" s="331"/>
      <c r="KX22" s="531"/>
      <c r="KY22" s="229"/>
      <c r="KZ22" s="338"/>
      <c r="LA22" s="338"/>
      <c r="LB22" s="338"/>
      <c r="LC22" s="338"/>
      <c r="LD22" s="338"/>
      <c r="LE22" s="338"/>
      <c r="LF22" s="497"/>
      <c r="LG22" s="497"/>
      <c r="LH22" s="497"/>
      <c r="LI22" s="229"/>
      <c r="LJ22" s="229"/>
      <c r="LK22" s="229"/>
      <c r="LL22" s="229"/>
      <c r="LM22" s="229"/>
      <c r="LN22" s="229"/>
      <c r="LO22" s="229"/>
      <c r="LP22" s="229"/>
      <c r="LQ22" s="252"/>
      <c r="LR22" s="331"/>
      <c r="LS22" s="531"/>
      <c r="LT22" s="229"/>
      <c r="LU22" s="338"/>
      <c r="LV22" s="338"/>
      <c r="LW22" s="338"/>
      <c r="LX22" s="338"/>
      <c r="LY22" s="338"/>
      <c r="LZ22" s="338"/>
      <c r="MA22" s="497"/>
      <c r="MB22" s="562"/>
      <c r="MC22" s="375"/>
      <c r="MD22" s="543"/>
      <c r="ME22" s="497"/>
      <c r="MF22" s="229"/>
      <c r="MG22" s="497"/>
      <c r="MH22" s="229"/>
      <c r="MI22" s="229"/>
      <c r="MJ22" s="252"/>
      <c r="MK22" s="229"/>
      <c r="ML22" s="229"/>
      <c r="MM22" s="252"/>
      <c r="MN22" s="229"/>
      <c r="MO22" s="229"/>
      <c r="MP22" s="252"/>
      <c r="MQ22" s="229"/>
      <c r="MR22" s="229"/>
      <c r="MS22" s="229"/>
      <c r="MT22" s="338"/>
      <c r="MU22" s="338"/>
      <c r="MV22" s="338"/>
      <c r="MW22" s="338"/>
      <c r="MX22" s="338"/>
      <c r="MY22" s="578"/>
      <c r="MZ22" s="455"/>
      <c r="NA22" s="456"/>
      <c r="NB22" s="471"/>
      <c r="NC22" s="229"/>
      <c r="ND22" s="229"/>
      <c r="NE22" s="252"/>
      <c r="NF22" s="229"/>
      <c r="NG22" s="229"/>
      <c r="NH22" s="252"/>
      <c r="NI22" s="229"/>
      <c r="NJ22" s="229"/>
      <c r="NK22" s="252"/>
      <c r="NL22" s="229"/>
      <c r="NM22" s="229"/>
      <c r="NN22" s="229"/>
      <c r="NO22" s="338"/>
      <c r="NP22" s="338"/>
      <c r="NQ22" s="338"/>
      <c r="NR22" s="338"/>
      <c r="NS22" s="338"/>
      <c r="NT22" s="338"/>
      <c r="NU22" s="497"/>
      <c r="NV22" s="497"/>
      <c r="NW22" s="497"/>
    </row>
    <row r="23" spans="1:387" ht="14.4">
      <c r="A23" s="1699"/>
      <c r="B23" s="1699"/>
      <c r="C23" s="1700"/>
      <c r="D23" s="71"/>
      <c r="E23" s="71"/>
      <c r="F23" s="71"/>
      <c r="G23" s="81"/>
      <c r="H23" s="82"/>
      <c r="I23" s="81"/>
      <c r="J23" s="117"/>
      <c r="K23" s="118"/>
      <c r="L23" s="119"/>
      <c r="M23" s="119"/>
      <c r="N23" s="119"/>
      <c r="O23" s="119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119"/>
      <c r="AF23" s="119"/>
      <c r="AG23" s="119"/>
      <c r="AH23" s="119"/>
      <c r="AI23" s="119"/>
      <c r="AJ23" s="119"/>
      <c r="AK23" s="71"/>
      <c r="AL23" s="71"/>
      <c r="AM23" s="71"/>
      <c r="AN23" s="71"/>
      <c r="AO23" s="160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119"/>
      <c r="BA23" s="119"/>
      <c r="BB23" s="119"/>
      <c r="BC23" s="119"/>
      <c r="BD23" s="119"/>
      <c r="BE23" s="182"/>
      <c r="BF23" s="71"/>
      <c r="BG23" s="71"/>
      <c r="BH23" s="71"/>
      <c r="BI23" s="183"/>
      <c r="BJ23" s="183"/>
      <c r="BK23" s="183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119"/>
      <c r="BY23" s="119"/>
      <c r="BZ23" s="119"/>
      <c r="CA23" s="119"/>
      <c r="CB23" s="119"/>
      <c r="CC23" s="119"/>
      <c r="CD23" s="71"/>
      <c r="CE23" s="71"/>
      <c r="CF23" s="71"/>
      <c r="CG23" s="71"/>
      <c r="CH23" s="207"/>
      <c r="CI23" s="208"/>
      <c r="CJ23" s="208"/>
      <c r="CK23" s="208"/>
      <c r="CL23" s="208"/>
      <c r="CM23" s="208"/>
      <c r="CN23" s="208"/>
      <c r="CO23" s="208"/>
      <c r="CP23" s="208"/>
      <c r="CQ23" s="208"/>
      <c r="CR23" s="208"/>
      <c r="CS23" s="208"/>
      <c r="CT23" s="275"/>
      <c r="CU23" s="275"/>
      <c r="CV23" s="207"/>
      <c r="CW23" s="276"/>
      <c r="CX23" s="276"/>
      <c r="CY23" s="276"/>
      <c r="CZ23" s="276"/>
      <c r="DA23" s="276"/>
      <c r="DB23" s="276"/>
      <c r="DC23" s="275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119"/>
      <c r="DT23" s="119"/>
      <c r="DU23" s="119"/>
      <c r="DV23" s="119"/>
      <c r="DW23" s="119"/>
      <c r="DX23" s="119"/>
      <c r="DY23" s="71"/>
      <c r="DZ23" s="71"/>
      <c r="EA23" s="71"/>
      <c r="EB23" s="119"/>
      <c r="EC23" s="119"/>
      <c r="ED23" s="119"/>
      <c r="EE23" s="71"/>
      <c r="EF23" s="71"/>
      <c r="EG23" s="71"/>
      <c r="EH23" s="71"/>
      <c r="EI23" s="71"/>
      <c r="EJ23" s="71"/>
      <c r="EK23" s="71"/>
      <c r="EL23" s="71"/>
      <c r="EM23" s="71"/>
      <c r="EN23" s="119"/>
      <c r="EO23" s="119"/>
      <c r="EP23" s="119"/>
      <c r="EQ23" s="119"/>
      <c r="ER23" s="119"/>
      <c r="ES23" s="119"/>
      <c r="ET23" s="71"/>
      <c r="EU23" s="71"/>
      <c r="EV23" s="71"/>
      <c r="EW23" s="119"/>
      <c r="EX23" s="119"/>
      <c r="EY23" s="119"/>
      <c r="EZ23" s="71"/>
      <c r="FA23" s="71"/>
      <c r="FB23" s="71"/>
      <c r="FC23" s="71"/>
      <c r="FD23" s="71"/>
      <c r="FE23" s="71"/>
      <c r="FF23" s="71"/>
      <c r="FG23" s="71"/>
      <c r="FH23" s="71"/>
      <c r="FI23" s="119"/>
      <c r="FJ23" s="119"/>
      <c r="FK23" s="119"/>
      <c r="FL23" s="119"/>
      <c r="FM23" s="119"/>
      <c r="FN23" s="119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119"/>
      <c r="GE23" s="119"/>
      <c r="GF23" s="119"/>
      <c r="GG23" s="119"/>
      <c r="GH23" s="119"/>
      <c r="GI23" s="119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376"/>
      <c r="GZ23" s="376"/>
      <c r="HA23" s="376"/>
      <c r="HB23" s="119"/>
      <c r="HC23" s="119"/>
      <c r="HD23" s="119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207"/>
      <c r="HT23" s="276"/>
      <c r="HU23" s="276"/>
      <c r="HV23" s="276"/>
      <c r="HW23" s="276"/>
      <c r="HX23" s="276"/>
      <c r="HY23" s="276"/>
      <c r="HZ23" s="276"/>
      <c r="IA23" s="276"/>
      <c r="IB23" s="416"/>
      <c r="IC23" s="417"/>
      <c r="ID23" s="208"/>
      <c r="IE23" s="418"/>
      <c r="IF23" s="417"/>
      <c r="IG23" s="208"/>
      <c r="IH23" s="418"/>
      <c r="II23" s="417"/>
      <c r="IJ23" s="439"/>
      <c r="IK23" s="418"/>
      <c r="IL23" s="417"/>
      <c r="IM23" s="208"/>
      <c r="IN23" s="418"/>
      <c r="IO23" s="457"/>
      <c r="IP23" s="276"/>
      <c r="IQ23" s="458"/>
      <c r="IR23" s="457"/>
      <c r="IS23" s="276"/>
      <c r="IT23" s="458"/>
      <c r="IU23" s="459"/>
      <c r="IV23" s="460"/>
      <c r="IW23" s="472"/>
      <c r="IX23" s="417"/>
      <c r="IY23" s="208"/>
      <c r="IZ23" s="418"/>
      <c r="JA23" s="417"/>
      <c r="JB23" s="208"/>
      <c r="JC23" s="418"/>
      <c r="JD23" s="417"/>
      <c r="JE23" s="208"/>
      <c r="JF23" s="418"/>
      <c r="JG23" s="417"/>
      <c r="JH23" s="478"/>
      <c r="JI23" s="418"/>
      <c r="JJ23" s="457"/>
      <c r="JK23" s="276"/>
      <c r="JL23" s="458"/>
      <c r="JM23" s="457"/>
      <c r="JN23" s="276"/>
      <c r="JO23" s="458"/>
      <c r="JP23" s="459"/>
      <c r="JQ23" s="506"/>
      <c r="JR23" s="507"/>
      <c r="JS23" s="478"/>
      <c r="JT23" s="508"/>
      <c r="JU23" s="478"/>
      <c r="JV23" s="478"/>
      <c r="JW23" s="478"/>
      <c r="JX23" s="478"/>
      <c r="JY23" s="478"/>
      <c r="JZ23" s="478"/>
      <c r="KA23" s="478"/>
      <c r="KB23" s="478"/>
      <c r="KC23" s="478"/>
      <c r="KD23" s="478"/>
      <c r="KE23" s="478"/>
      <c r="KF23" s="478"/>
      <c r="KG23" s="478"/>
      <c r="KH23" s="478"/>
      <c r="KI23" s="478"/>
      <c r="KJ23" s="478"/>
      <c r="KK23" s="478"/>
      <c r="KL23" s="478"/>
      <c r="KM23" s="478"/>
      <c r="KN23" s="478"/>
      <c r="KO23" s="478"/>
      <c r="KP23" s="478"/>
      <c r="KQ23" s="478"/>
      <c r="KR23" s="478"/>
      <c r="KS23" s="478"/>
      <c r="KT23" s="478"/>
      <c r="KU23" s="478"/>
      <c r="KV23" s="478"/>
      <c r="KW23" s="478"/>
      <c r="KX23" s="478"/>
      <c r="KY23" s="478"/>
      <c r="KZ23" s="478"/>
      <c r="LA23" s="478"/>
      <c r="LB23" s="478"/>
      <c r="LC23" s="478"/>
      <c r="LD23" s="478"/>
      <c r="LE23" s="478"/>
      <c r="LF23" s="478"/>
      <c r="LG23" s="478"/>
      <c r="LH23" s="478"/>
      <c r="LI23" s="478"/>
      <c r="LJ23" s="478"/>
      <c r="LK23" s="478"/>
      <c r="LL23" s="478"/>
      <c r="LM23" s="478"/>
      <c r="LN23" s="478"/>
      <c r="LO23" s="478"/>
      <c r="LP23" s="478"/>
      <c r="LQ23" s="478"/>
      <c r="LR23" s="478"/>
      <c r="LS23" s="478"/>
      <c r="LT23" s="478"/>
      <c r="LU23" s="478"/>
      <c r="LV23" s="478"/>
      <c r="LW23" s="478"/>
      <c r="LX23" s="478"/>
      <c r="LY23" s="478"/>
      <c r="LZ23" s="478"/>
      <c r="MA23" s="478"/>
      <c r="MB23" s="478"/>
      <c r="MC23" s="478"/>
      <c r="MD23" s="478"/>
      <c r="ME23" s="478"/>
      <c r="MF23" s="478"/>
      <c r="MG23" s="478"/>
      <c r="MH23" s="478"/>
      <c r="MI23" s="478"/>
      <c r="MJ23" s="478"/>
      <c r="MK23" s="478"/>
      <c r="ML23" s="478"/>
      <c r="MM23" s="478"/>
      <c r="MN23" s="478"/>
      <c r="MO23" s="478"/>
      <c r="MP23" s="478"/>
      <c r="MQ23" s="478"/>
      <c r="MR23" s="478"/>
      <c r="MS23" s="478"/>
      <c r="MT23" s="478"/>
      <c r="MU23" s="478"/>
      <c r="MV23" s="478"/>
      <c r="MW23" s="478"/>
      <c r="MX23" s="478"/>
      <c r="MY23" s="478"/>
      <c r="MZ23" s="478"/>
      <c r="NA23" s="478"/>
      <c r="NB23" s="478"/>
      <c r="NC23" s="64"/>
      <c r="ND23" s="64"/>
      <c r="NE23" s="64"/>
      <c r="NF23" s="64"/>
      <c r="NG23" s="64"/>
      <c r="NH23" s="64"/>
      <c r="NI23" s="64"/>
      <c r="NJ23" s="64"/>
      <c r="NK23" s="64"/>
      <c r="NL23" s="64"/>
      <c r="NM23" s="64"/>
      <c r="NN23" s="64"/>
      <c r="NO23" s="109"/>
      <c r="NP23" s="109"/>
      <c r="NQ23" s="109"/>
      <c r="NR23" s="109"/>
      <c r="NS23" s="109"/>
      <c r="NT23" s="109"/>
      <c r="NU23" s="525"/>
      <c r="NV23" s="525"/>
      <c r="NW23" s="525"/>
    </row>
    <row r="24" spans="1:387" ht="14.4">
      <c r="A24" s="1670"/>
      <c r="B24" s="1670"/>
      <c r="C24" s="1671"/>
      <c r="D24" s="83"/>
      <c r="E24" s="83"/>
      <c r="F24" s="83"/>
      <c r="G24" s="84"/>
      <c r="H24" s="85"/>
      <c r="I24" s="84"/>
      <c r="J24" s="120"/>
      <c r="K24" s="121"/>
      <c r="L24" s="122"/>
      <c r="M24" s="122"/>
      <c r="N24" s="122"/>
      <c r="O24" s="12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122"/>
      <c r="AF24" s="122"/>
      <c r="AG24" s="122"/>
      <c r="AH24" s="122"/>
      <c r="AI24" s="122"/>
      <c r="AJ24" s="122"/>
      <c r="AK24" s="83"/>
      <c r="AL24" s="83"/>
      <c r="AM24" s="83"/>
      <c r="AN24" s="83"/>
      <c r="AO24" s="161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122"/>
      <c r="BA24" s="122"/>
      <c r="BB24" s="122"/>
      <c r="BC24" s="122"/>
      <c r="BD24" s="122"/>
      <c r="BE24" s="122"/>
      <c r="BF24" s="83"/>
      <c r="BG24" s="83"/>
      <c r="BH24" s="83"/>
      <c r="BI24" s="184"/>
      <c r="BJ24" s="184"/>
      <c r="BK24" s="184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122"/>
      <c r="BY24" s="122"/>
      <c r="BZ24" s="122"/>
      <c r="CA24" s="122"/>
      <c r="CB24" s="122"/>
      <c r="CC24" s="122"/>
      <c r="CE24" s="83"/>
      <c r="CF24" s="83"/>
      <c r="CH24" s="209"/>
      <c r="CI24" s="210"/>
      <c r="CJ24" s="210"/>
      <c r="CK24" s="210"/>
      <c r="CL24" s="210"/>
      <c r="CM24" s="210"/>
      <c r="CN24" s="210"/>
      <c r="CO24" s="210"/>
      <c r="CP24" s="210"/>
      <c r="CQ24" s="210"/>
      <c r="CR24" s="210"/>
      <c r="CS24" s="210"/>
      <c r="CT24" s="277"/>
      <c r="CU24" s="277"/>
      <c r="CV24" s="278"/>
      <c r="CW24" s="279"/>
      <c r="CX24" s="279"/>
      <c r="CY24" s="279"/>
      <c r="CZ24" s="279"/>
      <c r="DA24" s="279"/>
      <c r="DB24" s="279"/>
      <c r="DC24" s="277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122"/>
      <c r="DT24" s="122"/>
      <c r="DU24" s="122"/>
      <c r="DV24" s="122"/>
      <c r="DW24" s="122"/>
      <c r="DX24" s="122"/>
      <c r="DY24" s="83"/>
      <c r="DZ24" s="83"/>
      <c r="EA24" s="83"/>
      <c r="EB24" s="122"/>
      <c r="EC24" s="122"/>
      <c r="ED24" s="122"/>
      <c r="EE24" s="83"/>
      <c r="EF24" s="83"/>
      <c r="EG24" s="83"/>
      <c r="EH24" s="83"/>
      <c r="EI24" s="83"/>
      <c r="EJ24" s="83"/>
      <c r="EK24" s="83"/>
      <c r="EL24" s="83"/>
      <c r="EM24" s="83"/>
      <c r="EN24" s="122"/>
      <c r="EO24" s="122"/>
      <c r="EP24" s="122"/>
      <c r="EQ24" s="122"/>
      <c r="ER24" s="122"/>
      <c r="ES24" s="122"/>
      <c r="ET24" s="83"/>
      <c r="EU24" s="83"/>
      <c r="EV24" s="83"/>
      <c r="EW24" s="122"/>
      <c r="EX24" s="122"/>
      <c r="EY24" s="122"/>
      <c r="EZ24" s="83"/>
      <c r="FA24" s="83"/>
      <c r="FB24" s="83"/>
      <c r="FC24" s="83"/>
      <c r="FD24" s="83"/>
      <c r="FE24" s="83"/>
      <c r="FF24" s="83"/>
      <c r="FG24" s="83"/>
      <c r="FH24" s="83"/>
      <c r="FI24" s="122"/>
      <c r="FJ24" s="122"/>
      <c r="FK24" s="122"/>
      <c r="FL24" s="122"/>
      <c r="FM24" s="122"/>
      <c r="FN24" s="122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122"/>
      <c r="GE24" s="122"/>
      <c r="GF24" s="122"/>
      <c r="GG24" s="122"/>
      <c r="GH24" s="122"/>
      <c r="GI24" s="122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349"/>
      <c r="GZ24" s="349"/>
      <c r="HA24" s="349"/>
      <c r="HB24" s="122"/>
      <c r="HC24" s="122"/>
      <c r="HD24" s="122"/>
      <c r="HE24" s="83"/>
      <c r="HF24" s="83"/>
      <c r="HG24" s="83"/>
      <c r="HH24" s="83"/>
      <c r="HI24" s="83"/>
      <c r="HJ24" s="83"/>
      <c r="HK24" s="83"/>
      <c r="HL24" s="83"/>
      <c r="HM24" s="83"/>
      <c r="HN24" s="83"/>
      <c r="HO24" s="83"/>
      <c r="HP24" s="83"/>
      <c r="HQ24" s="83"/>
      <c r="HR24" s="83"/>
      <c r="HS24" s="278"/>
      <c r="HT24" s="279"/>
      <c r="HU24" s="279"/>
      <c r="HV24" s="279"/>
      <c r="HW24" s="279"/>
      <c r="HX24" s="279"/>
      <c r="HY24" s="279"/>
      <c r="HZ24" s="279"/>
      <c r="IA24" s="279"/>
      <c r="IB24" s="419"/>
      <c r="IK24" s="440"/>
      <c r="IL24" s="441"/>
      <c r="IM24" s="442"/>
      <c r="IN24" s="443"/>
      <c r="IO24" s="461"/>
      <c r="IP24" s="279"/>
      <c r="IQ24" s="462"/>
      <c r="IR24" s="461"/>
      <c r="IS24" s="279"/>
      <c r="IT24" s="462"/>
      <c r="IU24" s="463"/>
      <c r="IV24" s="464"/>
      <c r="IW24" s="473"/>
      <c r="IX24" s="474"/>
      <c r="IY24" s="475"/>
      <c r="IZ24" s="443"/>
      <c r="JA24" s="474"/>
      <c r="JB24" s="475"/>
      <c r="JC24" s="443"/>
      <c r="JD24" s="474"/>
      <c r="JE24" s="475"/>
      <c r="JF24" s="443"/>
      <c r="JG24" s="474"/>
      <c r="JI24" s="443"/>
      <c r="JJ24" s="461"/>
      <c r="JK24" s="279"/>
      <c r="JL24" s="462"/>
      <c r="JM24" s="461"/>
      <c r="JN24" s="279"/>
      <c r="JO24" s="462"/>
      <c r="JP24" s="463"/>
      <c r="JQ24" s="52"/>
      <c r="JR24" s="489"/>
      <c r="JT24" s="509"/>
      <c r="NC24" s="70"/>
      <c r="ND24" s="70"/>
      <c r="NE24" s="70"/>
      <c r="NF24" s="70"/>
      <c r="NG24" s="70"/>
      <c r="NH24" s="70"/>
      <c r="NI24" s="70"/>
      <c r="NJ24" s="70"/>
      <c r="NK24" s="70"/>
      <c r="NL24" s="70"/>
      <c r="NM24" s="70"/>
      <c r="NN24" s="70"/>
      <c r="NO24" s="110"/>
      <c r="NP24" s="110"/>
      <c r="NQ24" s="110"/>
      <c r="NR24" s="110"/>
      <c r="NS24" s="110"/>
      <c r="NT24" s="110"/>
      <c r="NU24" s="513"/>
      <c r="NV24" s="513"/>
      <c r="NW24" s="513"/>
    </row>
    <row r="25" spans="1:387" ht="14.4">
      <c r="A25" s="1637">
        <v>2</v>
      </c>
      <c r="B25" s="1645" t="s">
        <v>6684</v>
      </c>
      <c r="C25" s="1660" t="s">
        <v>6311</v>
      </c>
      <c r="D25" s="61"/>
      <c r="E25" s="61"/>
      <c r="F25" s="86"/>
      <c r="G25" s="61"/>
      <c r="H25" s="61"/>
      <c r="I25" s="61"/>
      <c r="J25" s="108"/>
      <c r="K25" s="123"/>
      <c r="L25" s="108"/>
      <c r="M25" s="108"/>
      <c r="N25" s="108"/>
      <c r="O25" s="108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108"/>
      <c r="AF25" s="108"/>
      <c r="AG25" s="108"/>
      <c r="AH25" s="108"/>
      <c r="AI25" s="108"/>
      <c r="AJ25" s="108"/>
      <c r="AK25" s="61"/>
      <c r="AL25" s="61"/>
      <c r="AM25" s="61"/>
      <c r="AN25" s="61"/>
      <c r="AO25" s="150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108"/>
      <c r="BA25" s="108"/>
      <c r="BB25" s="108"/>
      <c r="BC25" s="108"/>
      <c r="BD25" s="108"/>
      <c r="BE25" s="108"/>
      <c r="BF25" s="185"/>
      <c r="BG25" s="60"/>
      <c r="BH25" s="61"/>
      <c r="BI25" s="173"/>
      <c r="BJ25" s="173"/>
      <c r="BK25" s="173"/>
      <c r="BL25" s="61"/>
      <c r="BM25" s="61"/>
      <c r="BN25" s="61"/>
      <c r="BO25" s="61"/>
      <c r="BP25" s="61"/>
      <c r="BQ25" s="61"/>
      <c r="BR25" s="168"/>
      <c r="BS25" s="61"/>
      <c r="BT25" s="61"/>
      <c r="BU25" s="61"/>
      <c r="BV25" s="61"/>
      <c r="BW25" s="61"/>
      <c r="BX25" s="108"/>
      <c r="BY25" s="108"/>
      <c r="BZ25" s="108"/>
      <c r="CA25" s="108"/>
      <c r="CB25" s="108"/>
      <c r="CC25" s="108"/>
      <c r="CD25" s="211" t="s">
        <v>6332</v>
      </c>
      <c r="CE25" s="212" t="s">
        <v>6332</v>
      </c>
      <c r="CF25" s="61"/>
      <c r="CG25" s="213" t="s">
        <v>6328</v>
      </c>
      <c r="CH25" s="214"/>
      <c r="CI25" s="215" t="s">
        <v>6332</v>
      </c>
      <c r="CJ25" s="185"/>
      <c r="CK25" s="242" t="s">
        <v>6314</v>
      </c>
      <c r="CL25" s="194"/>
      <c r="CM25" s="215" t="s">
        <v>6314</v>
      </c>
      <c r="CN25" s="185"/>
      <c r="CO25" s="243" t="s">
        <v>6648</v>
      </c>
      <c r="CP25" s="185"/>
      <c r="CQ25" s="244" t="s">
        <v>6648</v>
      </c>
      <c r="CR25" s="185"/>
      <c r="CS25" s="206" t="s">
        <v>6314</v>
      </c>
      <c r="CT25" s="280"/>
      <c r="CU25" s="281" t="s">
        <v>6685</v>
      </c>
      <c r="CV25" s="282"/>
      <c r="CW25" s="265"/>
      <c r="CX25" s="265"/>
      <c r="CY25" s="265"/>
      <c r="CZ25" s="265"/>
      <c r="DA25" s="265"/>
      <c r="DB25" s="265"/>
      <c r="DC25" s="299"/>
      <c r="DD25" s="60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108"/>
      <c r="DT25" s="108"/>
      <c r="DU25" s="108"/>
      <c r="DV25" s="108"/>
      <c r="DW25" s="108"/>
      <c r="DX25" s="126"/>
      <c r="DY25" s="101"/>
      <c r="DZ25" s="60"/>
      <c r="EA25" s="61"/>
      <c r="EB25" s="108"/>
      <c r="EC25" s="108"/>
      <c r="ED25" s="108"/>
      <c r="EE25" s="61"/>
      <c r="EF25" s="61"/>
      <c r="EG25" s="61"/>
      <c r="EH25" s="61"/>
      <c r="EI25" s="61"/>
      <c r="EJ25" s="61"/>
      <c r="EK25" s="61"/>
      <c r="EL25" s="61"/>
      <c r="EM25" s="61"/>
      <c r="EN25" s="108"/>
      <c r="EO25" s="108"/>
      <c r="EP25" s="108"/>
      <c r="EQ25" s="108"/>
      <c r="ER25" s="108"/>
      <c r="ES25" s="108"/>
      <c r="ET25" s="61"/>
      <c r="EU25" s="61"/>
      <c r="EV25" s="61"/>
      <c r="EW25" s="108"/>
      <c r="EX25" s="108"/>
      <c r="EY25" s="108"/>
      <c r="EZ25" s="211"/>
      <c r="FA25" s="211"/>
      <c r="FB25" s="211"/>
      <c r="FC25" s="211"/>
      <c r="FD25" s="211"/>
      <c r="FE25" s="211"/>
      <c r="FF25" s="211"/>
      <c r="FG25" s="211"/>
      <c r="FH25" s="61"/>
      <c r="FI25" s="108"/>
      <c r="FJ25" s="108"/>
      <c r="FK25" s="108"/>
      <c r="FL25" s="108"/>
      <c r="FM25" s="108"/>
      <c r="FN25" s="108"/>
      <c r="FO25" s="61"/>
      <c r="FP25" s="61"/>
      <c r="FQ25" s="61"/>
      <c r="FR25" s="61"/>
      <c r="FS25" s="61"/>
      <c r="FT25" s="61"/>
      <c r="FU25" s="211"/>
      <c r="FV25" s="211"/>
      <c r="FW25" s="211"/>
      <c r="FX25" s="211"/>
      <c r="FY25" s="211"/>
      <c r="FZ25" s="211"/>
      <c r="GA25" s="211"/>
      <c r="GB25" s="352"/>
      <c r="GC25" s="61"/>
      <c r="GD25" s="108"/>
      <c r="GE25" s="108"/>
      <c r="GF25" s="108"/>
      <c r="GG25" s="108"/>
      <c r="GH25" s="108"/>
      <c r="GI25" s="108"/>
      <c r="GJ25" s="61"/>
      <c r="GK25" s="61"/>
      <c r="GL25" s="61"/>
      <c r="GM25" s="61"/>
      <c r="GN25" s="61"/>
      <c r="GO25" s="61"/>
      <c r="GP25" s="211"/>
      <c r="GQ25" s="211"/>
      <c r="GR25" s="211"/>
      <c r="GS25" s="211"/>
      <c r="GT25" s="211"/>
      <c r="GU25" s="211"/>
      <c r="GV25" s="211"/>
      <c r="GW25" s="211"/>
      <c r="GX25" s="61"/>
      <c r="GY25" s="211"/>
      <c r="GZ25" s="211"/>
      <c r="HA25" s="211"/>
      <c r="HB25" s="108"/>
      <c r="HC25" s="108"/>
      <c r="HD25" s="108"/>
      <c r="HE25" s="61"/>
      <c r="HF25" s="61"/>
      <c r="HG25" s="61"/>
      <c r="HH25" s="61"/>
      <c r="HI25" s="282"/>
      <c r="HJ25" s="386"/>
      <c r="HK25" s="364"/>
      <c r="HL25" s="246" t="s">
        <v>6686</v>
      </c>
      <c r="HM25" s="381"/>
      <c r="HN25" s="364"/>
      <c r="HO25" s="211"/>
      <c r="HP25" s="211"/>
      <c r="HQ25" s="211"/>
      <c r="HR25" s="211"/>
      <c r="HS25" s="251"/>
      <c r="HT25" s="265"/>
      <c r="HU25" s="265"/>
      <c r="HV25" s="265"/>
      <c r="HW25" s="265"/>
      <c r="HX25" s="265"/>
      <c r="HY25" s="265"/>
      <c r="HZ25" s="413" t="s">
        <v>6314</v>
      </c>
      <c r="IA25" s="265"/>
      <c r="IB25" s="273"/>
      <c r="IC25" s="194"/>
      <c r="ID25" s="185" t="s">
        <v>6533</v>
      </c>
      <c r="IE25" s="257"/>
      <c r="IF25" s="414"/>
      <c r="IG25" s="206"/>
      <c r="IH25" s="430"/>
      <c r="II25" s="414"/>
      <c r="IJ25" s="206"/>
      <c r="IK25" s="430"/>
      <c r="IL25" s="414" t="s">
        <v>6314</v>
      </c>
      <c r="IM25" s="438" t="s">
        <v>6314</v>
      </c>
      <c r="IN25" s="257"/>
      <c r="IO25" s="465"/>
      <c r="IP25" s="265"/>
      <c r="IQ25" s="295"/>
      <c r="IR25" s="287"/>
      <c r="IS25" s="265"/>
      <c r="IT25" s="295"/>
      <c r="IU25" s="415"/>
      <c r="IV25" s="453"/>
      <c r="IW25" s="469"/>
      <c r="IX25" s="194"/>
      <c r="IY25" s="185" t="s">
        <v>6318</v>
      </c>
      <c r="IZ25" s="257"/>
      <c r="JA25" s="414"/>
      <c r="JB25" s="206"/>
      <c r="JC25" s="430"/>
      <c r="JD25" s="414"/>
      <c r="JE25" s="206"/>
      <c r="JF25" s="430"/>
      <c r="JG25" s="414"/>
      <c r="JH25" s="230" t="s">
        <v>6314</v>
      </c>
      <c r="JI25" s="257"/>
      <c r="JJ25" s="287"/>
      <c r="JK25" s="265"/>
      <c r="JL25" s="295"/>
      <c r="JM25" s="287"/>
      <c r="JN25" s="265"/>
      <c r="JO25" s="295"/>
      <c r="JP25" s="484"/>
      <c r="JQ25" s="387" t="s">
        <v>6332</v>
      </c>
      <c r="JR25" s="486"/>
      <c r="JS25" s="487"/>
      <c r="JT25" s="488"/>
      <c r="JU25" s="527"/>
      <c r="JV25" s="377"/>
      <c r="JW25" s="377"/>
      <c r="JX25" s="377"/>
      <c r="JY25" s="528"/>
      <c r="JZ25" s="377" t="s">
        <v>6314</v>
      </c>
      <c r="KA25" s="377"/>
      <c r="KB25" s="377"/>
      <c r="KC25" s="377"/>
      <c r="KD25" s="230"/>
      <c r="KE25" s="339"/>
      <c r="KF25" s="339"/>
      <c r="KG25" s="339"/>
      <c r="KH25" s="339"/>
      <c r="KI25" s="339"/>
      <c r="KJ25" s="339"/>
      <c r="KK25" s="484"/>
      <c r="KL25" s="230"/>
      <c r="KM25" s="484"/>
      <c r="KN25" s="230"/>
      <c r="KO25" s="230"/>
      <c r="KP25" s="230"/>
      <c r="KQ25" s="377"/>
      <c r="KR25" s="377"/>
      <c r="KS25" s="377"/>
      <c r="KT25" s="377"/>
      <c r="KU25" s="377"/>
      <c r="KV25" s="377"/>
      <c r="KW25" s="548"/>
      <c r="KX25" s="548"/>
      <c r="KY25" s="230"/>
      <c r="KZ25" s="339"/>
      <c r="LA25" s="339"/>
      <c r="LB25" s="339"/>
      <c r="LC25" s="339"/>
      <c r="LD25" s="339"/>
      <c r="LE25" s="339"/>
      <c r="LF25" s="484"/>
      <c r="LG25" s="484"/>
      <c r="LH25" s="484"/>
      <c r="LI25" s="230"/>
      <c r="LJ25" s="230"/>
      <c r="LK25" s="230"/>
      <c r="LL25" s="377"/>
      <c r="LM25" s="377"/>
      <c r="LN25" s="377"/>
      <c r="LO25" s="377"/>
      <c r="LP25" s="377"/>
      <c r="LQ25" s="377"/>
      <c r="LR25" s="377"/>
      <c r="LS25" s="377"/>
      <c r="LT25" s="230"/>
      <c r="LU25" s="339"/>
      <c r="LV25" s="339"/>
      <c r="LW25" s="339"/>
      <c r="LX25" s="339"/>
      <c r="LY25" s="339"/>
      <c r="LZ25" s="339"/>
      <c r="MA25" s="484"/>
      <c r="MB25" s="485"/>
      <c r="MC25" s="354"/>
      <c r="MD25" s="222"/>
      <c r="ME25" s="484"/>
      <c r="MF25" s="230"/>
      <c r="MG25" s="484"/>
      <c r="MH25" s="377"/>
      <c r="MI25" s="146" t="s">
        <v>6312</v>
      </c>
      <c r="MJ25" s="377"/>
      <c r="MK25" s="230"/>
      <c r="ML25" s="230"/>
      <c r="MM25" s="377"/>
      <c r="MN25" s="377"/>
      <c r="MO25" s="377"/>
      <c r="MP25" s="230"/>
      <c r="MQ25" s="230"/>
      <c r="MR25" s="230"/>
      <c r="MS25" s="230"/>
      <c r="MT25" s="339"/>
      <c r="MU25" s="339"/>
      <c r="MV25" s="339"/>
      <c r="MW25" s="339"/>
      <c r="MX25" s="339"/>
      <c r="MY25" s="577"/>
      <c r="MZ25" s="415"/>
      <c r="NA25" s="453"/>
      <c r="NB25" s="469"/>
      <c r="NC25" s="377"/>
      <c r="ND25" s="377"/>
      <c r="NE25" s="377"/>
      <c r="NF25" s="230"/>
      <c r="NG25" s="230"/>
      <c r="NH25" s="377"/>
      <c r="NI25" s="377"/>
      <c r="NJ25" s="377"/>
      <c r="NK25" s="230"/>
      <c r="NL25" s="230"/>
      <c r="NM25" s="230" t="s">
        <v>6317</v>
      </c>
      <c r="NN25" s="230"/>
      <c r="NO25" s="339"/>
      <c r="NP25" s="339"/>
      <c r="NQ25" s="339"/>
      <c r="NR25" s="339"/>
      <c r="NS25" s="339"/>
      <c r="NT25" s="339"/>
      <c r="NU25" s="484"/>
      <c r="NV25" s="484"/>
      <c r="NW25" s="484"/>
    </row>
    <row r="26" spans="1:387" ht="43.2">
      <c r="A26" s="1638"/>
      <c r="B26" s="1646"/>
      <c r="C26" s="1661"/>
      <c r="D26" s="87" t="s">
        <v>6314</v>
      </c>
      <c r="E26" s="88" t="s">
        <v>6314</v>
      </c>
      <c r="F26" s="89"/>
      <c r="G26" s="79" t="s">
        <v>6347</v>
      </c>
      <c r="H26" s="66" t="s">
        <v>6347</v>
      </c>
      <c r="I26" s="70"/>
      <c r="J26" s="109"/>
      <c r="K26" s="124"/>
      <c r="L26" s="111"/>
      <c r="M26" s="110"/>
      <c r="N26" s="110"/>
      <c r="O26" s="109"/>
      <c r="P26" s="64" t="s">
        <v>6332</v>
      </c>
      <c r="Q26" s="66" t="s">
        <v>6332</v>
      </c>
      <c r="R26" s="70"/>
      <c r="S26" s="64" t="s">
        <v>6332</v>
      </c>
      <c r="T26" s="66" t="s">
        <v>6341</v>
      </c>
      <c r="U26" s="70"/>
      <c r="V26" s="64" t="s">
        <v>6332</v>
      </c>
      <c r="W26" s="66" t="s">
        <v>6332</v>
      </c>
      <c r="X26" s="70"/>
      <c r="Y26" s="148" t="s">
        <v>6315</v>
      </c>
      <c r="Z26" s="66" t="s">
        <v>6687</v>
      </c>
      <c r="AA26" s="70"/>
      <c r="AB26" s="148" t="s">
        <v>6329</v>
      </c>
      <c r="AC26" s="66" t="s">
        <v>6323</v>
      </c>
      <c r="AD26" s="70"/>
      <c r="AE26" s="110"/>
      <c r="AF26" s="110"/>
      <c r="AG26" s="109"/>
      <c r="AH26" s="110"/>
      <c r="AI26" s="110"/>
      <c r="AJ26" s="109"/>
      <c r="AK26" s="70" t="s">
        <v>6315</v>
      </c>
      <c r="AL26" s="66" t="s">
        <v>6329</v>
      </c>
      <c r="AM26" s="64"/>
      <c r="AN26" s="148" t="s">
        <v>6688</v>
      </c>
      <c r="AO26" s="157" t="s">
        <v>6329</v>
      </c>
      <c r="AP26" s="70"/>
      <c r="AQ26" s="148" t="s">
        <v>6689</v>
      </c>
      <c r="AR26" s="66" t="s">
        <v>6688</v>
      </c>
      <c r="AS26" s="70"/>
      <c r="AT26" s="1624" t="s">
        <v>6690</v>
      </c>
      <c r="AU26" s="66" t="s">
        <v>6691</v>
      </c>
      <c r="AV26" s="70"/>
      <c r="AW26" s="148" t="s">
        <v>6332</v>
      </c>
      <c r="AX26" s="70"/>
      <c r="AY26" s="70"/>
      <c r="AZ26" s="110"/>
      <c r="BA26" s="110"/>
      <c r="BB26" s="109"/>
      <c r="BC26" s="110"/>
      <c r="BD26" s="110"/>
      <c r="BE26" s="109"/>
      <c r="BF26" s="64"/>
      <c r="BG26" s="70"/>
      <c r="BH26" s="64"/>
      <c r="BI26" s="186"/>
      <c r="BJ26" s="177"/>
      <c r="BK26" s="177"/>
      <c r="BM26" s="70"/>
      <c r="BN26" s="66" t="s">
        <v>6332</v>
      </c>
      <c r="BP26" s="76" t="s">
        <v>6332</v>
      </c>
      <c r="BQ26" s="70"/>
      <c r="BR26" s="66" t="s">
        <v>6318</v>
      </c>
      <c r="BS26" s="70"/>
      <c r="BT26" s="148" t="s">
        <v>6332</v>
      </c>
      <c r="BU26" s="70"/>
      <c r="BV26" s="66" t="s">
        <v>6332</v>
      </c>
      <c r="BW26" s="70"/>
      <c r="BX26" s="110"/>
      <c r="BY26" s="110"/>
      <c r="BZ26" s="109"/>
      <c r="CA26" s="110"/>
      <c r="CB26" s="110"/>
      <c r="CC26" s="109"/>
      <c r="CD26" s="87" t="s">
        <v>6692</v>
      </c>
      <c r="CE26" s="66" t="s">
        <v>6485</v>
      </c>
      <c r="CF26" s="70"/>
      <c r="CG26" s="1502" t="s">
        <v>6693</v>
      </c>
      <c r="CH26" s="216"/>
      <c r="CI26" s="166" t="s">
        <v>6694</v>
      </c>
      <c r="CJ26" s="198"/>
      <c r="CK26" s="245" t="s">
        <v>6695</v>
      </c>
      <c r="CL26" s="201"/>
      <c r="CM26" s="166" t="s">
        <v>6696</v>
      </c>
      <c r="CN26" s="198"/>
      <c r="CO26" s="241" t="s">
        <v>6327</v>
      </c>
      <c r="CP26" s="198"/>
      <c r="CQ26" s="142" t="s">
        <v>6327</v>
      </c>
      <c r="CR26" s="198"/>
      <c r="CS26" s="235" t="s">
        <v>6376</v>
      </c>
      <c r="CT26" s="69"/>
      <c r="CU26" s="225" t="s">
        <v>6697</v>
      </c>
      <c r="CV26" s="218"/>
      <c r="CW26" s="260"/>
      <c r="CX26" s="260"/>
      <c r="CY26" s="260"/>
      <c r="CZ26" s="260"/>
      <c r="DA26" s="260"/>
      <c r="DB26" s="260"/>
      <c r="DC26" s="300" t="s">
        <v>6314</v>
      </c>
      <c r="DD26" s="225" t="s">
        <v>6314</v>
      </c>
      <c r="DE26" s="64"/>
      <c r="DF26" s="152" t="s">
        <v>6314</v>
      </c>
      <c r="DG26" s="70"/>
      <c r="DH26" s="66" t="s">
        <v>6314</v>
      </c>
      <c r="DI26" s="70"/>
      <c r="DJ26" s="313" t="s">
        <v>6328</v>
      </c>
      <c r="DK26" s="66" t="s">
        <v>6328</v>
      </c>
      <c r="DL26" s="70"/>
      <c r="DM26" s="152" t="s">
        <v>6314</v>
      </c>
      <c r="DN26" s="66" t="s">
        <v>6314</v>
      </c>
      <c r="DO26" s="70"/>
      <c r="DP26" s="152" t="s">
        <v>6347</v>
      </c>
      <c r="DQ26" s="70"/>
      <c r="DR26" s="70"/>
      <c r="DS26" s="322" t="s">
        <v>6314</v>
      </c>
      <c r="DT26" s="66" t="s">
        <v>6314</v>
      </c>
      <c r="DU26" s="109"/>
      <c r="DV26" s="110"/>
      <c r="DW26" s="110"/>
      <c r="DX26" s="196"/>
      <c r="DY26" s="64" t="s">
        <v>6315</v>
      </c>
      <c r="DZ26" s="225" t="s">
        <v>6698</v>
      </c>
      <c r="EA26" s="64"/>
      <c r="EB26" s="110"/>
      <c r="EC26" s="110"/>
      <c r="ED26" s="110"/>
      <c r="EE26" s="152" t="s">
        <v>6314</v>
      </c>
      <c r="EF26" s="316" t="s">
        <v>6314</v>
      </c>
      <c r="EG26" s="70"/>
      <c r="EH26" s="152" t="s">
        <v>6314</v>
      </c>
      <c r="EI26" s="66" t="s">
        <v>6326</v>
      </c>
      <c r="EJ26" s="70"/>
      <c r="EK26" s="332" t="s">
        <v>6699</v>
      </c>
      <c r="EL26" s="70"/>
      <c r="EM26" s="70"/>
      <c r="EN26" s="322"/>
      <c r="EO26" s="110"/>
      <c r="EP26" s="109"/>
      <c r="EQ26" s="110"/>
      <c r="ER26" s="110"/>
      <c r="ES26" s="109"/>
      <c r="ET26" s="64" t="s">
        <v>6317</v>
      </c>
      <c r="EU26" s="75" t="s">
        <v>6317</v>
      </c>
      <c r="EV26" s="64"/>
      <c r="EW26" s="110"/>
      <c r="EX26" s="110"/>
      <c r="EY26" s="110"/>
      <c r="EZ26" s="332" t="s">
        <v>6699</v>
      </c>
      <c r="FA26" s="316" t="s">
        <v>6312</v>
      </c>
      <c r="FB26" s="87"/>
      <c r="FC26" s="64" t="s">
        <v>6332</v>
      </c>
      <c r="FD26" s="78" t="s">
        <v>6332</v>
      </c>
      <c r="FE26" s="87"/>
      <c r="FF26" s="64" t="s">
        <v>6332</v>
      </c>
      <c r="FG26" s="78" t="s">
        <v>6332</v>
      </c>
      <c r="FH26" s="70"/>
      <c r="FI26" s="322"/>
      <c r="FJ26" s="110"/>
      <c r="FK26" s="109"/>
      <c r="FL26" s="110"/>
      <c r="FM26" s="110"/>
      <c r="FN26" s="109"/>
      <c r="FO26" s="64" t="s">
        <v>6314</v>
      </c>
      <c r="FP26" s="64" t="s">
        <v>6326</v>
      </c>
      <c r="FQ26" s="64"/>
      <c r="FR26" s="64" t="s">
        <v>6314</v>
      </c>
      <c r="FS26" s="70"/>
      <c r="FT26" s="70" t="s">
        <v>6314</v>
      </c>
      <c r="FU26" s="332" t="s">
        <v>6699</v>
      </c>
      <c r="FV26" s="152" t="s">
        <v>6314</v>
      </c>
      <c r="FW26" s="353" t="s">
        <v>6700</v>
      </c>
      <c r="FX26" s="64" t="s">
        <v>6314</v>
      </c>
      <c r="FY26" s="87" t="s">
        <v>6314</v>
      </c>
      <c r="FZ26" s="87"/>
      <c r="GA26" s="328" t="s">
        <v>6318</v>
      </c>
      <c r="GB26" s="354" t="s">
        <v>6314</v>
      </c>
      <c r="GC26" s="69"/>
      <c r="GD26" s="322"/>
      <c r="GE26" s="110"/>
      <c r="GF26" s="109"/>
      <c r="GG26" s="110"/>
      <c r="GH26" s="110"/>
      <c r="GI26" s="109"/>
      <c r="GJ26" s="64" t="s">
        <v>6314</v>
      </c>
      <c r="GK26" s="64" t="s">
        <v>6318</v>
      </c>
      <c r="GM26" s="64" t="s">
        <v>6314</v>
      </c>
      <c r="GN26" s="70" t="s">
        <v>6314</v>
      </c>
      <c r="GO26" s="152"/>
      <c r="GP26" s="332" t="s">
        <v>6699</v>
      </c>
      <c r="GQ26" s="51" t="s">
        <v>6314</v>
      </c>
      <c r="GR26" s="87"/>
      <c r="GS26" s="64" t="s">
        <v>6314</v>
      </c>
      <c r="GT26" s="377"/>
      <c r="GU26" s="87" t="s">
        <v>6701</v>
      </c>
      <c r="GV26" s="330" t="s">
        <v>6686</v>
      </c>
      <c r="GW26" s="64" t="s">
        <v>6686</v>
      </c>
      <c r="GX26" s="70"/>
      <c r="GY26" s="152" t="s">
        <v>6691</v>
      </c>
      <c r="GZ26" s="87" t="s">
        <v>6691</v>
      </c>
      <c r="HA26" s="152"/>
      <c r="HB26" s="110"/>
      <c r="HC26" s="110"/>
      <c r="HD26" s="109"/>
      <c r="HE26" s="332" t="s">
        <v>6699</v>
      </c>
      <c r="HF26" s="70" t="s">
        <v>6699</v>
      </c>
      <c r="HG26" s="64"/>
      <c r="HH26" s="379" t="s">
        <v>6314</v>
      </c>
      <c r="HI26" s="387"/>
      <c r="HJ26" s="353" t="s">
        <v>6702</v>
      </c>
      <c r="HK26" s="318" t="s">
        <v>6314</v>
      </c>
      <c r="HL26" s="379" t="s">
        <v>6703</v>
      </c>
      <c r="HM26" s="356"/>
      <c r="HN26" s="318" t="s">
        <v>6332</v>
      </c>
      <c r="HO26" s="87" t="s">
        <v>6704</v>
      </c>
      <c r="HP26" s="87"/>
      <c r="HQ26" s="87" t="s">
        <v>6314</v>
      </c>
      <c r="HR26" s="64" t="s">
        <v>6332</v>
      </c>
      <c r="HS26" s="218"/>
      <c r="HT26" s="404"/>
      <c r="HU26" s="260"/>
      <c r="HV26" s="260"/>
      <c r="HW26" s="260"/>
      <c r="HX26" s="260"/>
      <c r="HY26" s="260"/>
      <c r="HZ26" s="404" t="s">
        <v>6539</v>
      </c>
      <c r="IA26" s="260" t="s">
        <v>6705</v>
      </c>
      <c r="IB26" s="274"/>
      <c r="IC26" s="197" t="s">
        <v>6314</v>
      </c>
      <c r="ID26" s="198" t="s">
        <v>6384</v>
      </c>
      <c r="IE26" s="268"/>
      <c r="IF26" s="197" t="s">
        <v>6318</v>
      </c>
      <c r="IG26" s="199" t="s">
        <v>6332</v>
      </c>
      <c r="IH26" s="431"/>
      <c r="II26" s="197" t="s">
        <v>6314</v>
      </c>
      <c r="IJ26" s="199" t="s">
        <v>6326</v>
      </c>
      <c r="IK26" s="431"/>
      <c r="IL26" s="234" t="s">
        <v>6706</v>
      </c>
      <c r="IM26" s="434" t="s">
        <v>6434</v>
      </c>
      <c r="IN26" s="268"/>
      <c r="IO26" s="466"/>
      <c r="IP26" s="260"/>
      <c r="IQ26" s="296"/>
      <c r="IR26" s="288"/>
      <c r="IS26" s="260"/>
      <c r="IT26" s="296"/>
      <c r="IU26" s="432" t="s">
        <v>6318</v>
      </c>
      <c r="IV26" s="454" t="s">
        <v>6314</v>
      </c>
      <c r="IW26" s="470" t="s">
        <v>6707</v>
      </c>
      <c r="IX26" s="432" t="s">
        <v>6708</v>
      </c>
      <c r="IY26" s="198" t="s">
        <v>6709</v>
      </c>
      <c r="IZ26" s="470"/>
      <c r="JA26" s="197" t="s">
        <v>6314</v>
      </c>
      <c r="JB26" s="198" t="s">
        <v>6533</v>
      </c>
      <c r="JC26" s="431"/>
      <c r="JD26" s="197" t="s">
        <v>6314</v>
      </c>
      <c r="JE26" s="199" t="s">
        <v>6332</v>
      </c>
      <c r="JF26" s="431"/>
      <c r="JG26" s="432" t="s">
        <v>6318</v>
      </c>
      <c r="JH26" s="64" t="s">
        <v>6710</v>
      </c>
      <c r="JI26" s="268"/>
      <c r="JJ26" s="479"/>
      <c r="JK26" s="260"/>
      <c r="JL26" s="296"/>
      <c r="JM26" s="288"/>
      <c r="JN26" s="260"/>
      <c r="JO26" s="296"/>
      <c r="JP26" s="510" t="s">
        <v>6314</v>
      </c>
      <c r="JQ26" s="388" t="s">
        <v>6711</v>
      </c>
      <c r="JR26" s="489"/>
      <c r="JS26" s="490" t="s">
        <v>6314</v>
      </c>
      <c r="JT26" s="491" t="s">
        <v>6314</v>
      </c>
      <c r="JU26" s="533" t="s">
        <v>6712</v>
      </c>
      <c r="JV26" s="515" t="s">
        <v>6314</v>
      </c>
      <c r="JW26" s="70" t="s">
        <v>6314</v>
      </c>
      <c r="JX26" s="87"/>
      <c r="JY26" s="515" t="s">
        <v>6314</v>
      </c>
      <c r="JZ26" s="68" t="s">
        <v>6713</v>
      </c>
      <c r="KA26" s="87"/>
      <c r="KB26" s="525" t="s">
        <v>6317</v>
      </c>
      <c r="KC26" s="152" t="s">
        <v>6317</v>
      </c>
      <c r="KD26" s="70"/>
      <c r="KE26" s="322"/>
      <c r="KF26" s="110"/>
      <c r="KG26" s="109"/>
      <c r="KH26" s="110"/>
      <c r="KI26" s="110"/>
      <c r="KJ26" s="109"/>
      <c r="KK26" s="525" t="s">
        <v>6331</v>
      </c>
      <c r="KL26" s="70" t="s">
        <v>6714</v>
      </c>
      <c r="KM26" s="525"/>
      <c r="KN26" s="77" t="s">
        <v>6332</v>
      </c>
      <c r="KO26" s="64" t="s">
        <v>6332</v>
      </c>
      <c r="KP26" s="525"/>
      <c r="KQ26" s="525" t="s">
        <v>6331</v>
      </c>
      <c r="KR26" s="525" t="s">
        <v>6331</v>
      </c>
      <c r="KS26" s="87"/>
      <c r="KT26" s="77" t="s">
        <v>6332</v>
      </c>
      <c r="KU26" s="513"/>
      <c r="KV26" s="87"/>
      <c r="KW26" s="330" t="s">
        <v>6332</v>
      </c>
      <c r="KX26" s="293"/>
      <c r="KY26" s="70"/>
      <c r="KZ26" s="322"/>
      <c r="LA26" s="110"/>
      <c r="LB26" s="109"/>
      <c r="LC26" s="110"/>
      <c r="LD26" s="110"/>
      <c r="LE26" s="109"/>
      <c r="LF26" s="77" t="s">
        <v>6314</v>
      </c>
      <c r="LG26" s="513"/>
      <c r="LH26" s="525"/>
      <c r="LI26" s="563" t="s">
        <v>874</v>
      </c>
      <c r="LJ26" s="525"/>
      <c r="LK26" s="525"/>
      <c r="LL26" s="77" t="s">
        <v>6314</v>
      </c>
      <c r="LM26" s="525"/>
      <c r="LN26" s="87"/>
      <c r="LO26" s="64" t="s">
        <v>6331</v>
      </c>
      <c r="LP26" s="513"/>
      <c r="LQ26" s="87"/>
      <c r="LR26" s="64" t="s">
        <v>6715</v>
      </c>
      <c r="LS26" s="546" t="s">
        <v>6654</v>
      </c>
      <c r="LT26" s="70"/>
      <c r="LU26" s="322"/>
      <c r="LV26" s="110"/>
      <c r="LW26" s="109"/>
      <c r="LX26" s="110"/>
      <c r="LY26" s="110"/>
      <c r="LZ26" s="109"/>
      <c r="MA26" s="64" t="s">
        <v>6331</v>
      </c>
      <c r="MB26" s="567"/>
      <c r="MC26" s="356"/>
      <c r="ME26" s="513" t="s">
        <v>6318</v>
      </c>
      <c r="MF26" s="70" t="s">
        <v>6314</v>
      </c>
      <c r="MG26" s="525"/>
      <c r="MH26" s="64" t="s">
        <v>6331</v>
      </c>
      <c r="MI26" s="146" t="s">
        <v>6470</v>
      </c>
      <c r="MJ26" s="64"/>
      <c r="MK26" s="64" t="s">
        <v>6331</v>
      </c>
      <c r="ML26" s="64" t="s">
        <v>6314</v>
      </c>
      <c r="MM26" s="64"/>
      <c r="MN26" s="513" t="s">
        <v>6314</v>
      </c>
      <c r="MO26" s="64"/>
      <c r="MP26" s="64"/>
      <c r="MQ26" s="513" t="s">
        <v>6318</v>
      </c>
      <c r="MR26" s="64" t="s">
        <v>6314</v>
      </c>
      <c r="MS26" s="64"/>
      <c r="MT26" s="110"/>
      <c r="MU26" s="110"/>
      <c r="MV26" s="109"/>
      <c r="MW26" s="322"/>
      <c r="MX26" s="322"/>
      <c r="MY26" s="196"/>
      <c r="MZ26" s="432" t="s">
        <v>6318</v>
      </c>
      <c r="NA26" s="198" t="s">
        <v>6546</v>
      </c>
      <c r="NB26" s="470"/>
      <c r="NC26" s="513" t="s">
        <v>6314</v>
      </c>
      <c r="ND26" s="70" t="s">
        <v>6716</v>
      </c>
      <c r="NE26" s="64"/>
      <c r="NF26" s="87" t="s">
        <v>6717</v>
      </c>
      <c r="NG26" s="152"/>
      <c r="NH26" s="64"/>
      <c r="NI26" s="87" t="s">
        <v>6717</v>
      </c>
      <c r="NJ26" s="152"/>
      <c r="NK26" s="64"/>
      <c r="NL26" s="513" t="s">
        <v>6332</v>
      </c>
      <c r="NM26" s="64" t="s">
        <v>6718</v>
      </c>
      <c r="NN26" s="169" t="s">
        <v>6547</v>
      </c>
      <c r="NO26" s="110"/>
      <c r="NP26" s="110"/>
      <c r="NQ26" s="109"/>
      <c r="NR26" s="322"/>
      <c r="NS26" s="322"/>
      <c r="NT26" s="109"/>
      <c r="NU26" s="513" t="s">
        <v>6332</v>
      </c>
      <c r="NV26" s="64"/>
      <c r="NW26" s="525"/>
    </row>
    <row r="27" spans="1:387" ht="28.8">
      <c r="A27" s="1638"/>
      <c r="B27" s="1646"/>
      <c r="C27" s="1661"/>
      <c r="D27" s="76" t="s">
        <v>6719</v>
      </c>
      <c r="E27" s="66" t="s">
        <v>6720</v>
      </c>
      <c r="G27" s="77" t="s">
        <v>6549</v>
      </c>
      <c r="H27" s="78" t="s">
        <v>6721</v>
      </c>
      <c r="I27" s="70"/>
      <c r="J27" s="111"/>
      <c r="K27" s="124"/>
      <c r="L27" s="111"/>
      <c r="M27" s="110"/>
      <c r="N27" s="110"/>
      <c r="O27" s="111"/>
      <c r="P27" s="77" t="s">
        <v>6722</v>
      </c>
      <c r="Q27" s="66" t="s">
        <v>6723</v>
      </c>
      <c r="R27" s="70"/>
      <c r="S27" s="77" t="s">
        <v>6552</v>
      </c>
      <c r="T27" s="66" t="s">
        <v>6551</v>
      </c>
      <c r="U27" s="70"/>
      <c r="V27" s="143" t="s">
        <v>6553</v>
      </c>
      <c r="W27" s="66" t="s">
        <v>6724</v>
      </c>
      <c r="X27" s="70"/>
      <c r="Y27" s="143" t="s">
        <v>6557</v>
      </c>
      <c r="Z27" s="66" t="s">
        <v>6725</v>
      </c>
      <c r="AA27" s="70"/>
      <c r="AB27" s="143" t="s">
        <v>6726</v>
      </c>
      <c r="AC27" s="66" t="s">
        <v>6727</v>
      </c>
      <c r="AD27" s="70"/>
      <c r="AE27" s="110"/>
      <c r="AF27" s="110"/>
      <c r="AG27" s="111"/>
      <c r="AH27" s="110"/>
      <c r="AI27" s="110"/>
      <c r="AJ27" s="111"/>
      <c r="AK27" s="70" t="s">
        <v>6728</v>
      </c>
      <c r="AL27" s="66" t="s">
        <v>6729</v>
      </c>
      <c r="AM27" s="68"/>
      <c r="AN27" s="143" t="s">
        <v>6730</v>
      </c>
      <c r="AO27" s="157" t="s">
        <v>6364</v>
      </c>
      <c r="AP27" s="70"/>
      <c r="AQ27" s="143" t="s">
        <v>6507</v>
      </c>
      <c r="AR27" s="66" t="s">
        <v>6731</v>
      </c>
      <c r="AS27" s="70"/>
      <c r="AT27" s="1625"/>
      <c r="AU27" s="66" t="s">
        <v>6732</v>
      </c>
      <c r="AV27" s="70"/>
      <c r="AW27" s="143" t="s">
        <v>6507</v>
      </c>
      <c r="AX27" s="70"/>
      <c r="AY27" s="70"/>
      <c r="AZ27" s="110"/>
      <c r="BA27" s="110"/>
      <c r="BB27" s="111"/>
      <c r="BC27" s="110"/>
      <c r="BD27" s="110"/>
      <c r="BE27" s="111"/>
      <c r="BG27" s="70"/>
      <c r="BH27" s="68"/>
      <c r="BI27" s="187"/>
      <c r="BJ27" s="177"/>
      <c r="BK27" s="177"/>
      <c r="BL27" s="148" t="s">
        <v>6318</v>
      </c>
      <c r="BM27" s="70" t="s">
        <v>6318</v>
      </c>
      <c r="BN27" s="66" t="s">
        <v>6733</v>
      </c>
      <c r="BP27" s="148" t="s">
        <v>6734</v>
      </c>
      <c r="BQ27" s="70"/>
      <c r="BR27" s="66" t="s">
        <v>6569</v>
      </c>
      <c r="BS27" s="70"/>
      <c r="BT27" s="143" t="s">
        <v>6524</v>
      </c>
      <c r="BU27" s="70"/>
      <c r="BV27" s="66" t="s">
        <v>6376</v>
      </c>
      <c r="BW27" s="70"/>
      <c r="BX27" s="110"/>
      <c r="BY27" s="110"/>
      <c r="BZ27" s="111"/>
      <c r="CA27" s="110"/>
      <c r="CB27" s="110"/>
      <c r="CC27" s="111"/>
      <c r="CD27" s="70"/>
      <c r="CE27" s="66"/>
      <c r="CF27" s="70"/>
      <c r="CG27" s="217"/>
      <c r="CH27" s="216"/>
      <c r="CI27" s="166" t="s">
        <v>6328</v>
      </c>
      <c r="CJ27" s="198"/>
      <c r="CK27" s="220"/>
      <c r="CL27" s="201"/>
      <c r="CM27" s="198"/>
      <c r="CN27" s="198"/>
      <c r="CO27" s="241" t="s">
        <v>6380</v>
      </c>
      <c r="CP27" s="198"/>
      <c r="CQ27" s="166" t="s">
        <v>6380</v>
      </c>
      <c r="CR27" s="198"/>
      <c r="CS27" s="198"/>
      <c r="CT27" s="69"/>
      <c r="CU27" s="69"/>
      <c r="CV27" s="218"/>
      <c r="CW27" s="260"/>
      <c r="CX27" s="260"/>
      <c r="CY27" s="260"/>
      <c r="CZ27" s="260"/>
      <c r="DA27" s="260"/>
      <c r="DB27" s="260"/>
      <c r="DC27" s="301" t="s">
        <v>6735</v>
      </c>
      <c r="DD27" s="225" t="s">
        <v>6736</v>
      </c>
      <c r="DE27" s="68"/>
      <c r="DF27" s="76" t="s">
        <v>6737</v>
      </c>
      <c r="DG27" s="70"/>
      <c r="DH27" s="66" t="s">
        <v>6738</v>
      </c>
      <c r="DI27" s="70"/>
      <c r="DJ27" s="312" t="s">
        <v>6739</v>
      </c>
      <c r="DK27" s="66" t="s">
        <v>6740</v>
      </c>
      <c r="DL27" s="70"/>
      <c r="DM27" s="87" t="s">
        <v>6741</v>
      </c>
      <c r="DN27" s="66" t="s">
        <v>6742</v>
      </c>
      <c r="DO27" s="70"/>
      <c r="DP27" s="87" t="s">
        <v>6579</v>
      </c>
      <c r="DQ27" s="70"/>
      <c r="DR27" s="70"/>
      <c r="DS27" s="323" t="s">
        <v>6390</v>
      </c>
      <c r="DT27" s="66" t="s">
        <v>6646</v>
      </c>
      <c r="DU27" s="111"/>
      <c r="DV27" s="110"/>
      <c r="DW27" s="110"/>
      <c r="DX27" s="200"/>
      <c r="DY27" s="64" t="s">
        <v>6315</v>
      </c>
      <c r="DZ27" s="225" t="s">
        <v>6743</v>
      </c>
      <c r="EA27" s="68"/>
      <c r="EB27" s="110"/>
      <c r="EC27" s="110"/>
      <c r="ED27" s="110"/>
      <c r="EE27" s="76" t="s">
        <v>6641</v>
      </c>
      <c r="EF27" s="78" t="s">
        <v>6744</v>
      </c>
      <c r="EG27" s="70"/>
      <c r="EH27" s="152" t="s">
        <v>6584</v>
      </c>
      <c r="EI27" s="66">
        <v>198</v>
      </c>
      <c r="EJ27" s="70"/>
      <c r="EK27" s="333" t="s">
        <v>6745</v>
      </c>
      <c r="EL27" s="70"/>
      <c r="EM27" s="70"/>
      <c r="EN27" s="334"/>
      <c r="EO27" s="110"/>
      <c r="EP27" s="111"/>
      <c r="EQ27" s="110"/>
      <c r="ER27" s="110"/>
      <c r="ES27" s="111"/>
      <c r="ET27" s="147" t="s">
        <v>6746</v>
      </c>
      <c r="EU27" s="342" t="s">
        <v>6746</v>
      </c>
      <c r="EV27" s="68"/>
      <c r="EW27" s="110"/>
      <c r="EX27" s="110"/>
      <c r="EY27" s="110"/>
      <c r="EZ27" s="333" t="s">
        <v>6747</v>
      </c>
      <c r="FA27" s="78" t="s">
        <v>6748</v>
      </c>
      <c r="FB27" s="87"/>
      <c r="FC27" s="68" t="s">
        <v>6749</v>
      </c>
      <c r="FD27" s="78" t="s">
        <v>6749</v>
      </c>
      <c r="FE27" s="87"/>
      <c r="FF27" s="68" t="s">
        <v>6750</v>
      </c>
      <c r="FG27" s="78" t="s">
        <v>6751</v>
      </c>
      <c r="FH27" s="70"/>
      <c r="FI27" s="334"/>
      <c r="FJ27" s="110"/>
      <c r="FK27" s="111"/>
      <c r="FL27" s="110"/>
      <c r="FM27" s="110"/>
      <c r="FN27" s="111"/>
      <c r="FO27" s="68" t="s">
        <v>6431</v>
      </c>
      <c r="FP27" s="68" t="s">
        <v>6752</v>
      </c>
      <c r="FQ27" s="68"/>
      <c r="FR27" s="68" t="s">
        <v>6753</v>
      </c>
      <c r="FS27" s="70"/>
      <c r="FT27" s="70" t="s">
        <v>6407</v>
      </c>
      <c r="FU27" s="333" t="s">
        <v>6754</v>
      </c>
      <c r="FV27" s="87" t="s">
        <v>6406</v>
      </c>
      <c r="FW27" s="353" t="s">
        <v>6755</v>
      </c>
      <c r="FX27" s="143" t="s">
        <v>6756</v>
      </c>
      <c r="FY27" s="87" t="s">
        <v>6650</v>
      </c>
      <c r="FZ27" s="87"/>
      <c r="GA27" s="355" t="s">
        <v>6757</v>
      </c>
      <c r="GB27" s="356" t="s">
        <v>6758</v>
      </c>
      <c r="GC27" s="69"/>
      <c r="GD27" s="334"/>
      <c r="GE27" s="110"/>
      <c r="GF27" s="111"/>
      <c r="GG27" s="110"/>
      <c r="GH27" s="110"/>
      <c r="GI27" s="111"/>
      <c r="GJ27" s="152" t="s">
        <v>6412</v>
      </c>
      <c r="GK27" s="68" t="s">
        <v>6759</v>
      </c>
      <c r="GM27" s="68" t="s">
        <v>6760</v>
      </c>
      <c r="GN27" s="70" t="s">
        <v>6595</v>
      </c>
      <c r="GO27" s="87"/>
      <c r="GP27" s="333" t="s">
        <v>6761</v>
      </c>
      <c r="GQ27" s="51" t="s">
        <v>6491</v>
      </c>
      <c r="GR27" s="87"/>
      <c r="GS27" s="68" t="s">
        <v>6762</v>
      </c>
      <c r="GT27" s="68" t="s">
        <v>6314</v>
      </c>
      <c r="GU27" s="87"/>
      <c r="GV27" s="330" t="s">
        <v>6763</v>
      </c>
      <c r="GW27" s="77" t="s">
        <v>6763</v>
      </c>
      <c r="GX27" s="70"/>
      <c r="GY27" s="77" t="s">
        <v>6764</v>
      </c>
      <c r="GZ27" s="87" t="s">
        <v>6765</v>
      </c>
      <c r="HA27" s="77"/>
      <c r="HB27" s="110"/>
      <c r="HC27" s="110"/>
      <c r="HD27" s="111"/>
      <c r="HE27" s="333" t="s">
        <v>6761</v>
      </c>
      <c r="HF27" s="70" t="s">
        <v>6761</v>
      </c>
      <c r="HG27" s="68"/>
      <c r="HH27" s="355" t="s">
        <v>6407</v>
      </c>
      <c r="HI27" s="388"/>
      <c r="HJ27" s="87" t="s">
        <v>6766</v>
      </c>
      <c r="HK27" s="389" t="s">
        <v>6406</v>
      </c>
      <c r="HL27" s="379" t="s">
        <v>6767</v>
      </c>
      <c r="HM27" s="356"/>
      <c r="HN27" s="390" t="s">
        <v>6426</v>
      </c>
      <c r="HO27" s="87" t="s">
        <v>6768</v>
      </c>
      <c r="HP27" s="87"/>
      <c r="HQ27" s="344" t="s">
        <v>6428</v>
      </c>
      <c r="HR27" s="143" t="s">
        <v>6436</v>
      </c>
      <c r="HS27" s="218"/>
      <c r="HT27" s="405"/>
      <c r="HU27" s="260"/>
      <c r="HV27" s="260"/>
      <c r="HW27" s="260"/>
      <c r="HX27" s="260"/>
      <c r="HY27" s="260"/>
      <c r="HZ27" s="404"/>
      <c r="IA27" s="260"/>
      <c r="IB27" s="274"/>
      <c r="IC27" s="197" t="s">
        <v>6435</v>
      </c>
      <c r="ID27" s="198"/>
      <c r="IE27" s="268"/>
      <c r="IF27" s="197" t="s">
        <v>6769</v>
      </c>
      <c r="IG27" s="198" t="s">
        <v>6544</v>
      </c>
      <c r="IH27" s="431"/>
      <c r="II27" s="197" t="s">
        <v>6770</v>
      </c>
      <c r="IJ27" s="199" t="s">
        <v>6538</v>
      </c>
      <c r="IK27" s="431"/>
      <c r="IL27" s="201"/>
      <c r="IM27" s="433" t="s">
        <v>6771</v>
      </c>
      <c r="IN27" s="268"/>
      <c r="IO27" s="288"/>
      <c r="IP27" s="260"/>
      <c r="IQ27" s="296"/>
      <c r="IR27" s="288"/>
      <c r="IS27" s="260"/>
      <c r="IT27" s="296"/>
      <c r="IU27" s="197" t="s">
        <v>6434</v>
      </c>
      <c r="IV27" s="198" t="s">
        <v>6772</v>
      </c>
      <c r="IW27" s="470"/>
      <c r="IX27" s="432" t="s">
        <v>875</v>
      </c>
      <c r="IY27" s="198"/>
      <c r="IZ27" s="470"/>
      <c r="JA27" s="197" t="s">
        <v>6773</v>
      </c>
      <c r="JB27" s="198" t="s">
        <v>6352</v>
      </c>
      <c r="JC27" s="431"/>
      <c r="JD27" s="197" t="s">
        <v>6774</v>
      </c>
      <c r="JE27" s="198" t="s">
        <v>6775</v>
      </c>
      <c r="JF27" s="431"/>
      <c r="JG27" s="197" t="s">
        <v>6776</v>
      </c>
      <c r="JH27" s="65" t="s">
        <v>6318</v>
      </c>
      <c r="JI27" s="268"/>
      <c r="JJ27" s="466"/>
      <c r="JK27" s="260"/>
      <c r="JL27" s="296"/>
      <c r="JM27" s="288"/>
      <c r="JN27" s="260"/>
      <c r="JO27" s="296"/>
      <c r="JP27" s="510" t="s">
        <v>6449</v>
      </c>
      <c r="JQ27" s="388"/>
      <c r="JR27" s="489"/>
      <c r="JS27" s="493" t="s">
        <v>6777</v>
      </c>
      <c r="JT27" s="491" t="s">
        <v>6778</v>
      </c>
      <c r="JU27" s="534"/>
      <c r="JV27" s="492" t="s">
        <v>6779</v>
      </c>
      <c r="JW27" s="65" t="s">
        <v>6780</v>
      </c>
      <c r="JX27" s="87"/>
      <c r="JY27" s="492" t="s">
        <v>6713</v>
      </c>
      <c r="JZ27" s="65" t="s">
        <v>6318</v>
      </c>
      <c r="KA27" s="87"/>
      <c r="KB27" s="64" t="s">
        <v>6781</v>
      </c>
      <c r="KC27" s="65" t="s">
        <v>6711</v>
      </c>
      <c r="KD27" s="70"/>
      <c r="KE27" s="334"/>
      <c r="KF27" s="110"/>
      <c r="KG27" s="111"/>
      <c r="KH27" s="110"/>
      <c r="KI27" s="110"/>
      <c r="KJ27" s="111"/>
      <c r="KK27" s="503"/>
      <c r="KL27" s="70" t="s">
        <v>6782</v>
      </c>
      <c r="KM27" s="503"/>
      <c r="KN27" s="152" t="s">
        <v>6346</v>
      </c>
      <c r="KO27" s="65" t="s">
        <v>6346</v>
      </c>
      <c r="KP27" s="503"/>
      <c r="KQ27" s="503"/>
      <c r="KR27" s="503"/>
      <c r="KS27" s="87"/>
      <c r="KT27" s="492" t="s">
        <v>6458</v>
      </c>
      <c r="KU27" s="546" t="s">
        <v>6459</v>
      </c>
      <c r="KV27" s="87"/>
      <c r="KW27" s="549" t="s">
        <v>6783</v>
      </c>
      <c r="KX27" s="318"/>
      <c r="KY27" s="70"/>
      <c r="KZ27" s="334"/>
      <c r="LA27" s="110"/>
      <c r="LB27" s="111"/>
      <c r="LC27" s="110"/>
      <c r="LD27" s="110"/>
      <c r="LE27" s="111"/>
      <c r="LF27" s="529" t="s">
        <v>6784</v>
      </c>
      <c r="LG27" s="547" t="s">
        <v>6785</v>
      </c>
      <c r="LH27" s="503"/>
      <c r="LI27" s="94" t="s">
        <v>6352</v>
      </c>
      <c r="LJ27" s="546" t="s">
        <v>6443</v>
      </c>
      <c r="LK27" s="503"/>
      <c r="LL27" s="529" t="s">
        <v>6786</v>
      </c>
      <c r="LM27" s="547" t="s">
        <v>6787</v>
      </c>
      <c r="LN27" s="87"/>
      <c r="LO27" s="152"/>
      <c r="LP27" s="87"/>
      <c r="LQ27" s="87"/>
      <c r="LR27" s="152" t="s">
        <v>6788</v>
      </c>
      <c r="LS27" s="87"/>
      <c r="LT27" s="70"/>
      <c r="LU27" s="334"/>
      <c r="LV27" s="110"/>
      <c r="LW27" s="111"/>
      <c r="LX27" s="110"/>
      <c r="LY27" s="110"/>
      <c r="LZ27" s="111"/>
      <c r="MA27" s="503"/>
      <c r="MB27" s="567"/>
      <c r="MC27" s="356"/>
      <c r="ME27" s="87" t="s">
        <v>6789</v>
      </c>
      <c r="MF27" s="65" t="s">
        <v>6790</v>
      </c>
      <c r="MG27" s="503"/>
      <c r="MH27" s="77"/>
      <c r="MI27" s="70"/>
      <c r="MJ27" s="77"/>
      <c r="MK27" s="77"/>
      <c r="ML27" s="77" t="s">
        <v>6472</v>
      </c>
      <c r="MM27" s="77"/>
      <c r="MN27" s="143" t="s">
        <v>6791</v>
      </c>
      <c r="MO27" s="77"/>
      <c r="MP27" s="77"/>
      <c r="MQ27" s="143" t="s">
        <v>6792</v>
      </c>
      <c r="MR27" s="87" t="s">
        <v>6474</v>
      </c>
      <c r="MS27" s="68"/>
      <c r="MT27" s="110"/>
      <c r="MU27" s="110"/>
      <c r="MV27" s="111"/>
      <c r="MW27" s="112"/>
      <c r="MX27" s="112"/>
      <c r="MY27" s="200"/>
      <c r="MZ27" s="234" t="s">
        <v>6475</v>
      </c>
      <c r="NA27" s="454" t="s">
        <v>6636</v>
      </c>
      <c r="NB27" s="470"/>
      <c r="NC27" s="147" t="s">
        <v>6478</v>
      </c>
      <c r="ND27" s="65" t="s">
        <v>6636</v>
      </c>
      <c r="NE27" s="77"/>
      <c r="NF27" s="147" t="s">
        <v>6793</v>
      </c>
      <c r="NG27" s="65"/>
      <c r="NH27" s="77"/>
      <c r="NI27" s="147" t="s">
        <v>6793</v>
      </c>
      <c r="NJ27" s="65"/>
      <c r="NK27" s="77"/>
      <c r="NL27" s="147" t="s">
        <v>6794</v>
      </c>
      <c r="NM27" s="65" t="s">
        <v>6318</v>
      </c>
      <c r="NN27" s="321" t="s">
        <v>6638</v>
      </c>
      <c r="NO27" s="110"/>
      <c r="NP27" s="110"/>
      <c r="NQ27" s="111"/>
      <c r="NR27" s="112"/>
      <c r="NS27" s="112"/>
      <c r="NT27" s="111"/>
      <c r="NU27" s="77" t="s">
        <v>6795</v>
      </c>
      <c r="NV27" s="546" t="s">
        <v>6796</v>
      </c>
      <c r="NW27" s="503"/>
    </row>
    <row r="28" spans="1:387" ht="14.4">
      <c r="A28" s="1638"/>
      <c r="B28" s="1646"/>
      <c r="C28" s="1661"/>
      <c r="D28" s="77"/>
      <c r="E28" s="76"/>
      <c r="F28" s="70"/>
      <c r="G28" s="65"/>
      <c r="H28" s="66" t="s">
        <v>6317</v>
      </c>
      <c r="I28" s="70"/>
      <c r="J28" s="112"/>
      <c r="K28" s="124"/>
      <c r="L28" s="110"/>
      <c r="M28" s="110"/>
      <c r="N28" s="110"/>
      <c r="O28" s="110"/>
      <c r="P28" s="70"/>
      <c r="Q28" s="70"/>
      <c r="R28" s="70"/>
      <c r="S28" s="70"/>
      <c r="T28" s="66" t="s">
        <v>6341</v>
      </c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110"/>
      <c r="AF28" s="110"/>
      <c r="AG28" s="110"/>
      <c r="AH28" s="110"/>
      <c r="AI28" s="110"/>
      <c r="AJ28" s="110"/>
      <c r="AK28" s="70"/>
      <c r="AL28" s="70"/>
      <c r="AM28" s="70"/>
      <c r="AN28" s="76" t="s">
        <v>6797</v>
      </c>
      <c r="AO28" s="157" t="s">
        <v>6797</v>
      </c>
      <c r="AP28" s="70"/>
      <c r="AQ28" s="70"/>
      <c r="AR28" s="162" t="s">
        <v>6690</v>
      </c>
      <c r="AS28" s="70"/>
      <c r="AT28" s="70"/>
      <c r="AU28" s="66"/>
      <c r="AV28" s="70"/>
      <c r="AW28" s="70"/>
      <c r="AX28" s="70"/>
      <c r="AY28" s="70"/>
      <c r="AZ28" s="110"/>
      <c r="BA28" s="110"/>
      <c r="BB28" s="110"/>
      <c r="BC28" s="110"/>
      <c r="BD28" s="110"/>
      <c r="BE28" s="110"/>
      <c r="BF28" s="188" t="s">
        <v>6798</v>
      </c>
      <c r="BG28" s="70"/>
      <c r="BH28" s="70"/>
      <c r="BI28" s="189"/>
      <c r="BJ28" s="177"/>
      <c r="BK28" s="177"/>
      <c r="BL28" s="143" t="s">
        <v>6569</v>
      </c>
      <c r="BM28" s="70" t="s">
        <v>6569</v>
      </c>
      <c r="BN28" s="70"/>
      <c r="BO28" s="70"/>
      <c r="BP28" s="70"/>
      <c r="BQ28" s="70"/>
      <c r="BR28" s="66" t="s">
        <v>6332</v>
      </c>
      <c r="BS28" s="70"/>
      <c r="BT28" s="70"/>
      <c r="BU28" s="70"/>
      <c r="BW28" s="70"/>
      <c r="BX28" s="110"/>
      <c r="BY28" s="110"/>
      <c r="BZ28" s="110"/>
      <c r="CA28" s="110"/>
      <c r="CB28" s="110"/>
      <c r="CC28" s="110"/>
      <c r="CD28" s="70"/>
      <c r="CE28" s="70"/>
      <c r="CF28" s="70"/>
      <c r="CG28" s="218"/>
      <c r="CH28" s="219"/>
      <c r="CI28" s="166" t="s">
        <v>6799</v>
      </c>
      <c r="CJ28" s="198"/>
      <c r="CK28" s="220"/>
      <c r="CL28" s="201"/>
      <c r="CM28" s="198"/>
      <c r="CN28" s="198"/>
      <c r="CO28" s="198"/>
      <c r="CP28" s="198"/>
      <c r="CQ28" s="198"/>
      <c r="CR28" s="198"/>
      <c r="CS28" s="198"/>
      <c r="CT28" s="69"/>
      <c r="CU28" s="69"/>
      <c r="CV28" s="218"/>
      <c r="CW28" s="260"/>
      <c r="CX28" s="260"/>
      <c r="CY28" s="260"/>
      <c r="CZ28" s="260"/>
      <c r="DA28" s="260"/>
      <c r="DB28" s="260"/>
      <c r="DC28" s="302"/>
      <c r="DD28" s="69"/>
      <c r="DE28" s="70"/>
      <c r="DF28" s="70"/>
      <c r="DG28" s="70"/>
      <c r="DH28" s="66"/>
      <c r="DI28" s="70"/>
      <c r="DJ28" s="70"/>
      <c r="DK28" s="70"/>
      <c r="DL28" s="70"/>
      <c r="DM28" s="70"/>
      <c r="DN28" s="66"/>
      <c r="DO28" s="70"/>
      <c r="DP28" s="87" t="s">
        <v>6645</v>
      </c>
      <c r="DQ28" s="70"/>
      <c r="DR28" s="70"/>
      <c r="DS28" s="110"/>
      <c r="DT28" s="110"/>
      <c r="DU28" s="110"/>
      <c r="DV28" s="110"/>
      <c r="DW28" s="110"/>
      <c r="DX28" s="128"/>
      <c r="DY28" s="68" t="s">
        <v>6392</v>
      </c>
      <c r="DZ28" s="225" t="s">
        <v>6800</v>
      </c>
      <c r="EA28" s="70"/>
      <c r="EB28" s="110"/>
      <c r="EC28" s="110"/>
      <c r="ED28" s="110"/>
      <c r="EE28" s="65"/>
      <c r="EF28" s="70"/>
      <c r="EG28" s="70"/>
      <c r="EH28" s="152"/>
      <c r="EI28" s="70"/>
      <c r="EJ28" s="70"/>
      <c r="EK28" s="64" t="s">
        <v>6332</v>
      </c>
      <c r="EL28" s="70"/>
      <c r="EM28" s="70"/>
      <c r="EN28" s="110"/>
      <c r="EO28" s="110"/>
      <c r="EP28" s="110"/>
      <c r="EQ28" s="110"/>
      <c r="ER28" s="110"/>
      <c r="ES28" s="110"/>
      <c r="ET28" s="152" t="s">
        <v>6312</v>
      </c>
      <c r="EU28" s="66" t="s">
        <v>6801</v>
      </c>
      <c r="EV28" s="70"/>
      <c r="EW28" s="110"/>
      <c r="EX28" s="110"/>
      <c r="EY28" s="110"/>
      <c r="EZ28" s="64" t="s">
        <v>6332</v>
      </c>
      <c r="FA28" s="87"/>
      <c r="FB28" s="87"/>
      <c r="FC28" s="64"/>
      <c r="FD28" s="87"/>
      <c r="FE28" s="87"/>
      <c r="FF28" s="64" t="s">
        <v>6317</v>
      </c>
      <c r="FG28" s="87"/>
      <c r="FH28" s="70"/>
      <c r="FI28" s="110"/>
      <c r="FJ28" s="110"/>
      <c r="FK28" s="110"/>
      <c r="FL28" s="110"/>
      <c r="FM28" s="110"/>
      <c r="FN28" s="110"/>
      <c r="FO28" s="64"/>
      <c r="FP28" s="70"/>
      <c r="FQ28" s="70"/>
      <c r="FR28" s="64" t="s">
        <v>6318</v>
      </c>
      <c r="FS28" s="70"/>
      <c r="FT28" s="70"/>
      <c r="FU28" s="64"/>
      <c r="FV28" s="87"/>
      <c r="FW28" s="353"/>
      <c r="FX28" s="64"/>
      <c r="FY28" s="87"/>
      <c r="FZ28" s="87"/>
      <c r="GA28" s="223"/>
      <c r="GB28" s="357" t="s">
        <v>6318</v>
      </c>
      <c r="GC28" s="69"/>
      <c r="GD28" s="110"/>
      <c r="GE28" s="110"/>
      <c r="GF28" s="110"/>
      <c r="GG28" s="110"/>
      <c r="GH28" s="110"/>
      <c r="GI28" s="110"/>
      <c r="GJ28" s="64"/>
      <c r="GK28" s="70"/>
      <c r="GL28" s="70"/>
      <c r="GM28" s="64" t="s">
        <v>6648</v>
      </c>
      <c r="GN28" s="70" t="s">
        <v>6648</v>
      </c>
      <c r="GO28" s="87"/>
      <c r="GP28" s="64" t="s">
        <v>6314</v>
      </c>
      <c r="GR28" s="87"/>
      <c r="GS28" s="64"/>
      <c r="GT28" s="68" t="s">
        <v>6802</v>
      </c>
      <c r="GU28" s="87"/>
      <c r="GV28" s="147" t="s">
        <v>6803</v>
      </c>
      <c r="GW28" s="87" t="s">
        <v>6804</v>
      </c>
      <c r="GX28" s="70"/>
      <c r="GY28" s="87"/>
      <c r="GZ28" s="87"/>
      <c r="HA28" s="87"/>
      <c r="HB28" s="110"/>
      <c r="HC28" s="110"/>
      <c r="HD28" s="110"/>
      <c r="HE28" s="330" t="s">
        <v>6686</v>
      </c>
      <c r="HF28" s="70"/>
      <c r="HG28" s="70"/>
      <c r="HH28" s="328"/>
      <c r="HI28" s="388"/>
      <c r="HJ28" s="356"/>
      <c r="HK28" s="300" t="s">
        <v>6686</v>
      </c>
      <c r="HL28" s="49" t="s">
        <v>6332</v>
      </c>
      <c r="HM28" s="357"/>
      <c r="HN28" s="318"/>
      <c r="HO28" s="87"/>
      <c r="HP28" s="87"/>
      <c r="HQ28" s="70"/>
      <c r="HR28" s="87"/>
      <c r="HS28" s="218"/>
      <c r="HT28" s="260"/>
      <c r="HU28" s="260"/>
      <c r="HV28" s="260"/>
      <c r="HW28" s="260"/>
      <c r="HX28" s="260"/>
      <c r="HY28" s="260"/>
      <c r="HZ28" s="405"/>
      <c r="IA28" s="260"/>
      <c r="IB28" s="274"/>
      <c r="IC28" s="197" t="s">
        <v>6347</v>
      </c>
      <c r="ID28" s="198"/>
      <c r="IE28" s="268"/>
      <c r="IF28" s="197"/>
      <c r="IG28" s="199"/>
      <c r="IH28" s="431"/>
      <c r="II28" s="197"/>
      <c r="IJ28" s="199"/>
      <c r="IK28" s="431"/>
      <c r="IL28" s="234"/>
      <c r="IM28" s="199"/>
      <c r="IN28" s="268"/>
      <c r="IO28" s="288"/>
      <c r="IP28" s="260"/>
      <c r="IQ28" s="296"/>
      <c r="IR28" s="288"/>
      <c r="IS28" s="260"/>
      <c r="IT28" s="296"/>
      <c r="IU28" s="201" t="s">
        <v>6771</v>
      </c>
      <c r="IV28" s="454"/>
      <c r="IW28" s="470"/>
      <c r="IX28" s="432" t="s">
        <v>6708</v>
      </c>
      <c r="IY28" s="198"/>
      <c r="IZ28" s="470"/>
      <c r="JA28" s="197"/>
      <c r="JB28" s="198" t="s">
        <v>6708</v>
      </c>
      <c r="JC28" s="431"/>
      <c r="JD28" s="197"/>
      <c r="JE28" s="199"/>
      <c r="JF28" s="431"/>
      <c r="JG28" s="197" t="s">
        <v>6317</v>
      </c>
      <c r="JH28" s="70" t="s">
        <v>6805</v>
      </c>
      <c r="JI28" s="268"/>
      <c r="JJ28" s="288"/>
      <c r="JK28" s="260"/>
      <c r="JL28" s="296"/>
      <c r="JM28" s="288"/>
      <c r="JN28" s="260"/>
      <c r="JO28" s="296"/>
      <c r="JP28" s="496"/>
      <c r="JQ28" s="388"/>
      <c r="JR28" s="489"/>
      <c r="JS28" s="511" t="s">
        <v>6649</v>
      </c>
      <c r="JT28" s="491"/>
      <c r="JU28" s="535"/>
      <c r="JV28" s="536"/>
      <c r="JW28" s="70"/>
      <c r="JX28" s="87"/>
      <c r="JY28" s="515" t="s">
        <v>6318</v>
      </c>
      <c r="JZ28" s="87" t="s">
        <v>6806</v>
      </c>
      <c r="KA28" s="87"/>
      <c r="KB28" s="525"/>
      <c r="KC28" s="87"/>
      <c r="KD28" s="70"/>
      <c r="KE28" s="110"/>
      <c r="KF28" s="110"/>
      <c r="KG28" s="110"/>
      <c r="KH28" s="110"/>
      <c r="KI28" s="110"/>
      <c r="KJ28" s="110"/>
      <c r="KK28" s="513"/>
      <c r="KL28" s="70"/>
      <c r="KM28" s="513"/>
      <c r="KN28" s="513"/>
      <c r="KO28" s="70"/>
      <c r="KP28" s="513"/>
      <c r="KQ28" s="513"/>
      <c r="KR28" s="513"/>
      <c r="KS28" s="87"/>
      <c r="KT28" s="87"/>
      <c r="KU28" s="87"/>
      <c r="KV28" s="87"/>
      <c r="KW28" s="550" t="s">
        <v>6807</v>
      </c>
      <c r="KX28" s="547" t="s">
        <v>6808</v>
      </c>
      <c r="KY28" s="70"/>
      <c r="KZ28" s="110"/>
      <c r="LA28" s="110"/>
      <c r="LB28" s="110"/>
      <c r="LC28" s="110"/>
      <c r="LD28" s="110"/>
      <c r="LE28" s="110"/>
      <c r="LF28" s="496"/>
      <c r="LG28" s="513"/>
      <c r="LH28" s="513"/>
      <c r="LI28" s="563" t="s">
        <v>6320</v>
      </c>
      <c r="LJ28" s="513"/>
      <c r="LK28" s="513"/>
      <c r="LL28" s="513"/>
      <c r="LM28" s="513"/>
      <c r="LN28" s="87"/>
      <c r="LO28" s="87"/>
      <c r="LP28" s="87"/>
      <c r="LQ28" s="87"/>
      <c r="LR28" s="65"/>
      <c r="LS28" s="70"/>
      <c r="LT28" s="70"/>
      <c r="LU28" s="110"/>
      <c r="LV28" s="110"/>
      <c r="LW28" s="110"/>
      <c r="LX28" s="110"/>
      <c r="LY28" s="110"/>
      <c r="LZ28" s="110"/>
      <c r="MA28" s="496"/>
      <c r="MB28" s="567"/>
      <c r="MC28" s="356"/>
      <c r="ME28" s="68" t="s">
        <v>6809</v>
      </c>
      <c r="MF28" s="70"/>
      <c r="MG28" s="513"/>
      <c r="MH28" s="87"/>
      <c r="MI28" s="70"/>
      <c r="MJ28" s="87"/>
      <c r="MK28" s="87"/>
      <c r="ML28" s="87"/>
      <c r="MM28" s="87"/>
      <c r="MN28" s="87" t="s">
        <v>6717</v>
      </c>
      <c r="MO28" s="87"/>
      <c r="MP28" s="87"/>
      <c r="MQ28" s="143"/>
      <c r="MR28" s="87"/>
      <c r="MS28" s="70"/>
      <c r="MT28" s="110"/>
      <c r="MU28" s="110"/>
      <c r="MV28" s="110"/>
      <c r="MW28" s="323"/>
      <c r="MX28" s="110"/>
      <c r="MY28" s="128"/>
      <c r="MZ28" s="432"/>
      <c r="NA28" s="454" t="s">
        <v>6803</v>
      </c>
      <c r="NB28" s="470"/>
      <c r="NC28" s="76" t="s">
        <v>6810</v>
      </c>
      <c r="ND28" s="87" t="s">
        <v>6811</v>
      </c>
      <c r="NE28" s="87"/>
      <c r="NF28" s="77" t="s">
        <v>6812</v>
      </c>
      <c r="NG28" s="546" t="s">
        <v>6813</v>
      </c>
      <c r="NH28" s="87"/>
      <c r="NI28" s="77" t="s">
        <v>6814</v>
      </c>
      <c r="NJ28" s="546" t="s">
        <v>6633</v>
      </c>
      <c r="NK28" s="87"/>
      <c r="NL28" s="77" t="s">
        <v>6815</v>
      </c>
      <c r="NM28" s="87" t="s">
        <v>6349</v>
      </c>
      <c r="NN28" s="70"/>
      <c r="NO28" s="110"/>
      <c r="NP28" s="110"/>
      <c r="NQ28" s="110"/>
      <c r="NR28" s="323"/>
      <c r="NS28" s="110"/>
      <c r="NT28" s="110"/>
      <c r="NU28" s="87"/>
      <c r="NV28" s="87"/>
      <c r="NW28" s="513"/>
    </row>
    <row r="29" spans="1:387" ht="14.4">
      <c r="A29" s="1638"/>
      <c r="B29" s="1646"/>
      <c r="C29" s="1661"/>
      <c r="D29" s="90"/>
      <c r="E29" s="70"/>
      <c r="F29" s="70"/>
      <c r="G29" s="70"/>
      <c r="H29" s="66" t="s">
        <v>6816</v>
      </c>
      <c r="I29" s="70"/>
      <c r="J29" s="122"/>
      <c r="K29" s="124"/>
      <c r="L29" s="110"/>
      <c r="M29" s="110"/>
      <c r="N29" s="110"/>
      <c r="O29" s="110"/>
      <c r="P29" s="87"/>
      <c r="Q29" s="70"/>
      <c r="R29" s="70"/>
      <c r="S29" s="87"/>
      <c r="T29" s="66" t="s">
        <v>6817</v>
      </c>
      <c r="U29" s="70"/>
      <c r="V29" s="87"/>
      <c r="W29" s="70"/>
      <c r="X29" s="70"/>
      <c r="Y29" s="87"/>
      <c r="Z29" s="70"/>
      <c r="AA29" s="70"/>
      <c r="AB29" s="87"/>
      <c r="AC29" s="70"/>
      <c r="AD29" s="70"/>
      <c r="AE29" s="110"/>
      <c r="AF29" s="110"/>
      <c r="AG29" s="110"/>
      <c r="AH29" s="110"/>
      <c r="AI29" s="110"/>
      <c r="AJ29" s="110"/>
      <c r="AK29" s="70"/>
      <c r="AL29" s="70"/>
      <c r="AM29" s="70"/>
      <c r="AN29" s="76" t="s">
        <v>6730</v>
      </c>
      <c r="AO29" s="157" t="s">
        <v>6730</v>
      </c>
      <c r="AP29" s="70"/>
      <c r="AQ29" s="87"/>
      <c r="AR29" s="70"/>
      <c r="AS29" s="70"/>
      <c r="AT29" s="87"/>
      <c r="AU29" s="70"/>
      <c r="AV29" s="70"/>
      <c r="AW29" s="87"/>
      <c r="AX29" s="70"/>
      <c r="AY29" s="70"/>
      <c r="AZ29" s="110"/>
      <c r="BA29" s="110"/>
      <c r="BB29" s="110"/>
      <c r="BC29" s="110"/>
      <c r="BD29" s="110"/>
      <c r="BE29" s="110"/>
      <c r="BF29" s="188" t="s">
        <v>6333</v>
      </c>
      <c r="BG29" s="70"/>
      <c r="BH29" s="70"/>
      <c r="BI29" s="189"/>
      <c r="BJ29" s="177"/>
      <c r="BK29" s="177"/>
      <c r="BL29" s="87"/>
      <c r="BM29" s="70"/>
      <c r="BN29" s="70"/>
      <c r="BO29" s="70"/>
      <c r="BP29" s="87"/>
      <c r="BQ29" s="70"/>
      <c r="BR29" s="66" t="s">
        <v>6818</v>
      </c>
      <c r="BS29" s="70"/>
      <c r="BT29" s="87"/>
      <c r="BU29" s="70"/>
      <c r="BV29" s="66" t="s">
        <v>6819</v>
      </c>
      <c r="BW29" s="70"/>
      <c r="BX29" s="110"/>
      <c r="BY29" s="110"/>
      <c r="BZ29" s="110"/>
      <c r="CA29" s="110"/>
      <c r="CB29" s="110"/>
      <c r="CC29" s="128"/>
      <c r="CD29" s="198"/>
      <c r="CE29" s="198"/>
      <c r="CF29" s="198"/>
      <c r="CG29" s="198"/>
      <c r="CH29" s="220"/>
      <c r="CI29" s="198"/>
      <c r="CJ29" s="198"/>
      <c r="CK29" s="220"/>
      <c r="CL29" s="201"/>
      <c r="CM29" s="198"/>
      <c r="CN29" s="198"/>
      <c r="CO29" s="198"/>
      <c r="CP29" s="198"/>
      <c r="CQ29" s="198"/>
      <c r="CR29" s="198"/>
      <c r="CS29" s="198"/>
      <c r="CT29" s="283"/>
      <c r="CU29" s="283"/>
      <c r="CV29" s="220"/>
      <c r="CW29" s="260"/>
      <c r="CX29" s="260"/>
      <c r="CY29" s="260"/>
      <c r="CZ29" s="260"/>
      <c r="DA29" s="260"/>
      <c r="DB29" s="260"/>
      <c r="DC29" s="302"/>
      <c r="DD29" s="69"/>
      <c r="DE29" s="70"/>
      <c r="DF29" s="70"/>
      <c r="DG29" s="70"/>
      <c r="DH29" s="70"/>
      <c r="DI29" s="70"/>
      <c r="DJ29" s="87"/>
      <c r="DK29" s="70"/>
      <c r="DL29" s="70"/>
      <c r="DM29" s="87"/>
      <c r="DN29" s="70"/>
      <c r="DO29" s="70"/>
      <c r="DP29" s="87"/>
      <c r="DQ29" s="70"/>
      <c r="DR29" s="70"/>
      <c r="DS29" s="110"/>
      <c r="DT29" s="110"/>
      <c r="DU29" s="110"/>
      <c r="DV29" s="110"/>
      <c r="DW29" s="110"/>
      <c r="DX29" s="128"/>
      <c r="DY29" s="65" t="s">
        <v>6647</v>
      </c>
      <c r="DZ29" s="69"/>
      <c r="EA29" s="70"/>
      <c r="EB29" s="110"/>
      <c r="EC29" s="110"/>
      <c r="ED29" s="110"/>
      <c r="EE29" s="152"/>
      <c r="EF29" s="70"/>
      <c r="EG29" s="70"/>
      <c r="EH29" s="76"/>
      <c r="EI29" s="70"/>
      <c r="EJ29" s="70"/>
      <c r="EK29" s="68" t="s">
        <v>6394</v>
      </c>
      <c r="EL29" s="70"/>
      <c r="EM29" s="70"/>
      <c r="EN29" s="110"/>
      <c r="EO29" s="110"/>
      <c r="EP29" s="110"/>
      <c r="EQ29" s="110"/>
      <c r="ER29" s="110"/>
      <c r="ES29" s="110"/>
      <c r="ET29" s="147" t="s">
        <v>6587</v>
      </c>
      <c r="EU29" s="70"/>
      <c r="EV29" s="70"/>
      <c r="EW29" s="110"/>
      <c r="EX29" s="110"/>
      <c r="EY29" s="110"/>
      <c r="EZ29" s="68" t="s">
        <v>6397</v>
      </c>
      <c r="FA29" s="87"/>
      <c r="FB29" s="87"/>
      <c r="FC29" s="344"/>
      <c r="FD29" s="87"/>
      <c r="FE29" s="87"/>
      <c r="FF29" s="68" t="s">
        <v>6750</v>
      </c>
      <c r="FG29" s="87"/>
      <c r="FH29" s="70"/>
      <c r="FI29" s="110"/>
      <c r="FJ29" s="110"/>
      <c r="FK29" s="110"/>
      <c r="FL29" s="110"/>
      <c r="FM29" s="110"/>
      <c r="FN29" s="110"/>
      <c r="FO29" s="68"/>
      <c r="FP29" s="70"/>
      <c r="FQ29" s="70"/>
      <c r="FR29" s="68" t="s">
        <v>6820</v>
      </c>
      <c r="FS29" s="70"/>
      <c r="FT29" s="70"/>
      <c r="FU29" s="147"/>
      <c r="FV29" s="87"/>
      <c r="FW29" s="87"/>
      <c r="FX29" s="344"/>
      <c r="FY29" s="87"/>
      <c r="FZ29" s="87"/>
      <c r="GA29" s="358"/>
      <c r="GB29" s="359" t="s">
        <v>6821</v>
      </c>
      <c r="GC29" s="69"/>
      <c r="GD29" s="110"/>
      <c r="GE29" s="110"/>
      <c r="GF29" s="110"/>
      <c r="GG29" s="110"/>
      <c r="GH29" s="110"/>
      <c r="GI29" s="110"/>
      <c r="GJ29" s="76"/>
      <c r="GK29" s="70"/>
      <c r="GL29" s="70"/>
      <c r="GM29" s="68" t="s">
        <v>6535</v>
      </c>
      <c r="GN29" s="70" t="s">
        <v>6535</v>
      </c>
      <c r="GO29" s="87"/>
      <c r="GP29" s="68" t="s">
        <v>6822</v>
      </c>
      <c r="GR29" s="87"/>
      <c r="GS29" s="344"/>
      <c r="GT29" s="87"/>
      <c r="GU29" s="87"/>
      <c r="GV29" s="376"/>
      <c r="GW29" s="87"/>
      <c r="GX29" s="70"/>
      <c r="GY29" s="87"/>
      <c r="GZ29" s="87"/>
      <c r="HA29" s="87"/>
      <c r="HB29" s="110"/>
      <c r="HC29" s="110"/>
      <c r="HD29" s="110"/>
      <c r="HE29" s="330" t="s">
        <v>6763</v>
      </c>
      <c r="HF29" s="70"/>
      <c r="HG29" s="70"/>
      <c r="HH29" s="329"/>
      <c r="HI29" s="388"/>
      <c r="HJ29" s="356"/>
      <c r="HK29" s="300" t="s">
        <v>6823</v>
      </c>
      <c r="HL29" s="379" t="s">
        <v>6437</v>
      </c>
      <c r="HM29" s="359"/>
      <c r="HN29" s="389"/>
      <c r="HO29" s="87"/>
      <c r="HP29" s="87"/>
      <c r="HQ29" s="344"/>
      <c r="HR29" s="87"/>
      <c r="HS29" s="218"/>
      <c r="HT29" s="260"/>
      <c r="HU29" s="260"/>
      <c r="HV29" s="260"/>
      <c r="HW29" s="260"/>
      <c r="HX29" s="260"/>
      <c r="HY29" s="260"/>
      <c r="HZ29" s="260"/>
      <c r="IA29" s="260"/>
      <c r="IB29" s="274"/>
      <c r="IC29" s="197" t="s">
        <v>6824</v>
      </c>
      <c r="ID29" s="198"/>
      <c r="IE29" s="268"/>
      <c r="IF29" s="197"/>
      <c r="IG29" s="199"/>
      <c r="IH29" s="431"/>
      <c r="II29" s="234"/>
      <c r="IJ29" s="199"/>
      <c r="IK29" s="431"/>
      <c r="IL29" s="197"/>
      <c r="IM29" s="199"/>
      <c r="IN29" s="268"/>
      <c r="IO29" s="288"/>
      <c r="IP29" s="260"/>
      <c r="IQ29" s="296"/>
      <c r="IR29" s="288"/>
      <c r="IS29" s="260"/>
      <c r="IT29" s="296"/>
      <c r="IU29" s="432"/>
      <c r="IV29" s="454"/>
      <c r="IW29" s="470"/>
      <c r="IX29" s="432" t="s">
        <v>6825</v>
      </c>
      <c r="IY29" s="198"/>
      <c r="IZ29" s="470"/>
      <c r="JA29" s="197"/>
      <c r="JB29" s="198" t="s">
        <v>6826</v>
      </c>
      <c r="JC29" s="431"/>
      <c r="JD29" s="234"/>
      <c r="JE29" s="199"/>
      <c r="JF29" s="431"/>
      <c r="JG29" s="234" t="s">
        <v>6827</v>
      </c>
      <c r="JH29" s="70"/>
      <c r="JI29" s="268"/>
      <c r="JJ29" s="288"/>
      <c r="JK29" s="260"/>
      <c r="JL29" s="296"/>
      <c r="JM29" s="288"/>
      <c r="JN29" s="260"/>
      <c r="JO29" s="296"/>
      <c r="JP29" s="512"/>
      <c r="JQ29" s="388"/>
      <c r="JR29" s="489"/>
      <c r="JS29" s="511" t="s">
        <v>6673</v>
      </c>
      <c r="JT29" s="491"/>
      <c r="JU29" s="535"/>
      <c r="JV29" s="330"/>
      <c r="JW29" s="70"/>
      <c r="JX29" s="87"/>
      <c r="JY29" s="492" t="s">
        <v>6779</v>
      </c>
      <c r="JZ29" s="65"/>
      <c r="KA29" s="87"/>
      <c r="KB29" s="64"/>
      <c r="KC29" s="70"/>
      <c r="KD29" s="70"/>
      <c r="KE29" s="110"/>
      <c r="KF29" s="110"/>
      <c r="KG29" s="110"/>
      <c r="KH29" s="110"/>
      <c r="KI29" s="110"/>
      <c r="KJ29" s="110"/>
      <c r="KK29" s="512"/>
      <c r="KL29" s="70"/>
      <c r="KM29" s="513"/>
      <c r="KN29" s="513"/>
      <c r="KO29" s="70"/>
      <c r="KP29" s="513"/>
      <c r="KQ29" s="513"/>
      <c r="KR29" s="513"/>
      <c r="KS29" s="87"/>
      <c r="KT29" s="87"/>
      <c r="KU29" s="87"/>
      <c r="KV29" s="87"/>
      <c r="KW29" s="318"/>
      <c r="KX29" s="318"/>
      <c r="KY29" s="70"/>
      <c r="KZ29" s="110"/>
      <c r="LA29" s="110"/>
      <c r="LB29" s="110"/>
      <c r="LC29" s="110"/>
      <c r="LD29" s="110"/>
      <c r="LE29" s="110"/>
      <c r="LF29" s="512"/>
      <c r="LG29" s="513"/>
      <c r="LH29" s="513"/>
      <c r="LI29" s="94" t="s">
        <v>6443</v>
      </c>
      <c r="LJ29" s="513"/>
      <c r="LK29" s="513"/>
      <c r="LL29" s="513"/>
      <c r="LM29" s="513"/>
      <c r="LN29" s="87"/>
      <c r="LO29" s="87"/>
      <c r="LP29" s="87"/>
      <c r="LQ29" s="87"/>
      <c r="LR29" s="330"/>
      <c r="LS29" s="70"/>
      <c r="LT29" s="70"/>
      <c r="LU29" s="110"/>
      <c r="LV29" s="110"/>
      <c r="LW29" s="110"/>
      <c r="LX29" s="110"/>
      <c r="LY29" s="110"/>
      <c r="LZ29" s="110"/>
      <c r="MA29" s="512"/>
      <c r="MB29" s="567"/>
      <c r="MC29" s="356"/>
      <c r="ME29" s="512"/>
      <c r="MF29" s="70"/>
      <c r="MG29" s="513"/>
      <c r="MH29" s="147"/>
      <c r="MI29" s="70"/>
      <c r="MJ29" s="147"/>
      <c r="MK29" s="147"/>
      <c r="ML29" s="147"/>
      <c r="MM29" s="147"/>
      <c r="MN29" s="147" t="s">
        <v>6636</v>
      </c>
      <c r="MO29" s="65"/>
      <c r="MP29" s="147"/>
      <c r="MQ29" s="87"/>
      <c r="MR29" s="87"/>
      <c r="MS29" s="70"/>
      <c r="MT29" s="110"/>
      <c r="MU29" s="110"/>
      <c r="MV29" s="110"/>
      <c r="MW29" s="334"/>
      <c r="MX29" s="110"/>
      <c r="MY29" s="128"/>
      <c r="MZ29" s="582"/>
      <c r="NA29" s="454"/>
      <c r="NB29" s="470"/>
      <c r="NC29" s="147"/>
      <c r="ND29" s="147" t="s">
        <v>6793</v>
      </c>
      <c r="NE29" s="147"/>
      <c r="NF29" s="147"/>
      <c r="NG29" s="147"/>
      <c r="NH29" s="147"/>
      <c r="NI29" s="147"/>
      <c r="NJ29" s="147"/>
      <c r="NK29" s="147"/>
      <c r="NL29" s="87" t="s">
        <v>1784</v>
      </c>
      <c r="NM29" s="87"/>
      <c r="NN29" s="70"/>
      <c r="NO29" s="110"/>
      <c r="NP29" s="110"/>
      <c r="NQ29" s="110"/>
      <c r="NR29" s="334"/>
      <c r="NS29" s="110"/>
      <c r="NT29" s="110"/>
      <c r="NU29" s="87"/>
      <c r="NV29" s="87"/>
      <c r="NW29" s="513"/>
    </row>
    <row r="30" spans="1:387" ht="14.4">
      <c r="A30" s="1639"/>
      <c r="B30" s="1647"/>
      <c r="C30" s="1662"/>
      <c r="D30" s="91"/>
      <c r="E30" s="73"/>
      <c r="F30" s="73"/>
      <c r="G30" s="92"/>
      <c r="H30" s="73"/>
      <c r="I30" s="73"/>
      <c r="J30" s="114"/>
      <c r="K30" s="125"/>
      <c r="L30" s="114"/>
      <c r="M30" s="114"/>
      <c r="N30" s="114"/>
      <c r="O30" s="114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114"/>
      <c r="AF30" s="114"/>
      <c r="AG30" s="114"/>
      <c r="AH30" s="114"/>
      <c r="AI30" s="114"/>
      <c r="AJ30" s="114"/>
      <c r="AK30" s="73"/>
      <c r="AL30" s="73"/>
      <c r="AM30" s="73"/>
      <c r="AN30" s="73"/>
      <c r="AO30" s="155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114"/>
      <c r="BA30" s="114"/>
      <c r="BB30" s="114"/>
      <c r="BC30" s="114"/>
      <c r="BD30" s="114"/>
      <c r="BE30" s="114"/>
      <c r="BF30" s="73"/>
      <c r="BG30" s="73"/>
      <c r="BH30" s="73"/>
      <c r="BI30" s="180"/>
      <c r="BJ30" s="180"/>
      <c r="BK30" s="180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144" t="s">
        <v>6828</v>
      </c>
      <c r="BW30" s="73"/>
      <c r="BX30" s="114"/>
      <c r="BY30" s="114"/>
      <c r="BZ30" s="114"/>
      <c r="CA30" s="114"/>
      <c r="CB30" s="114"/>
      <c r="CC30" s="130"/>
      <c r="CD30" s="203"/>
      <c r="CE30" s="203"/>
      <c r="CF30" s="203"/>
      <c r="CG30" s="203"/>
      <c r="CH30" s="221"/>
      <c r="CI30" s="203"/>
      <c r="CJ30" s="203"/>
      <c r="CK30" s="221"/>
      <c r="CL30" s="202"/>
      <c r="CM30" s="203"/>
      <c r="CN30" s="203"/>
      <c r="CO30" s="203"/>
      <c r="CP30" s="203"/>
      <c r="CQ30" s="203"/>
      <c r="CR30" s="203"/>
      <c r="CS30" s="203"/>
      <c r="CT30" s="284"/>
      <c r="CU30" s="284"/>
      <c r="CV30" s="261"/>
      <c r="CW30" s="271"/>
      <c r="CX30" s="271"/>
      <c r="CY30" s="271"/>
      <c r="CZ30" s="271"/>
      <c r="DA30" s="271"/>
      <c r="DB30" s="271"/>
      <c r="DC30" s="303"/>
      <c r="DD30" s="72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114"/>
      <c r="DT30" s="114"/>
      <c r="DU30" s="114"/>
      <c r="DV30" s="114"/>
      <c r="DW30" s="114"/>
      <c r="DX30" s="130"/>
      <c r="DY30" s="91"/>
      <c r="DZ30" s="72"/>
      <c r="EA30" s="73"/>
      <c r="EB30" s="114"/>
      <c r="EC30" s="114"/>
      <c r="ED30" s="114"/>
      <c r="EE30" s="103"/>
      <c r="EF30" s="73"/>
      <c r="EG30" s="73"/>
      <c r="EH30" s="73"/>
      <c r="EI30" s="73"/>
      <c r="EJ30" s="73"/>
      <c r="EK30" s="73"/>
      <c r="EL30" s="73"/>
      <c r="EM30" s="73"/>
      <c r="EN30" s="114"/>
      <c r="EO30" s="114"/>
      <c r="EP30" s="114"/>
      <c r="EQ30" s="114"/>
      <c r="ER30" s="114"/>
      <c r="ES30" s="114"/>
      <c r="ET30" s="73"/>
      <c r="EU30" s="73"/>
      <c r="EV30" s="73"/>
      <c r="EW30" s="114"/>
      <c r="EX30" s="114"/>
      <c r="EY30" s="114"/>
      <c r="EZ30" s="103" t="s">
        <v>6486</v>
      </c>
      <c r="FA30" s="92"/>
      <c r="FB30" s="92"/>
      <c r="FC30" s="92"/>
      <c r="FD30" s="92"/>
      <c r="FE30" s="92"/>
      <c r="FF30" s="92"/>
      <c r="FG30" s="92"/>
      <c r="FH30" s="73"/>
      <c r="FI30" s="114"/>
      <c r="FJ30" s="114"/>
      <c r="FK30" s="114"/>
      <c r="FL30" s="114"/>
      <c r="FM30" s="114"/>
      <c r="FN30" s="114"/>
      <c r="FO30" s="73"/>
      <c r="FP30" s="73"/>
      <c r="FQ30" s="73"/>
      <c r="FR30" s="73"/>
      <c r="FS30" s="73"/>
      <c r="FT30" s="73"/>
      <c r="FU30" s="103"/>
      <c r="FV30" s="92"/>
      <c r="FW30" s="92"/>
      <c r="FX30" s="92"/>
      <c r="FY30" s="92"/>
      <c r="FZ30" s="92"/>
      <c r="GA30" s="360"/>
      <c r="GB30" s="361"/>
      <c r="GC30" s="72"/>
      <c r="GD30" s="114"/>
      <c r="GE30" s="114"/>
      <c r="GF30" s="114"/>
      <c r="GG30" s="114"/>
      <c r="GH30" s="114"/>
      <c r="GI30" s="114"/>
      <c r="GJ30" s="73"/>
      <c r="GK30" s="73"/>
      <c r="GL30" s="73"/>
      <c r="GM30" s="73" t="s">
        <v>6597</v>
      </c>
      <c r="GN30" s="73" t="s">
        <v>6597</v>
      </c>
      <c r="GO30" s="92"/>
      <c r="GP30" s="103"/>
      <c r="GQ30" s="371"/>
      <c r="GR30" s="92"/>
      <c r="GS30" s="92"/>
      <c r="GT30" s="92"/>
      <c r="GU30" s="92"/>
      <c r="GV30" s="92"/>
      <c r="GW30" s="92"/>
      <c r="GX30" s="73"/>
      <c r="GY30" s="92"/>
      <c r="GZ30" s="92"/>
      <c r="HA30" s="92"/>
      <c r="HB30" s="114"/>
      <c r="HC30" s="114"/>
      <c r="HD30" s="114"/>
      <c r="HE30" s="92" t="s">
        <v>6829</v>
      </c>
      <c r="HF30" s="73"/>
      <c r="HG30" s="73"/>
      <c r="HH30" s="254"/>
      <c r="HI30" s="391"/>
      <c r="HJ30" s="392"/>
      <c r="HK30" s="370" t="s">
        <v>6830</v>
      </c>
      <c r="HL30" s="360"/>
      <c r="HM30" s="361"/>
      <c r="HN30" s="370"/>
      <c r="HO30" s="92"/>
      <c r="HP30" s="92"/>
      <c r="HQ30" s="92"/>
      <c r="HR30" s="92"/>
      <c r="HS30" s="254"/>
      <c r="HT30" s="271"/>
      <c r="HU30" s="271"/>
      <c r="HV30" s="271"/>
      <c r="HW30" s="271"/>
      <c r="HX30" s="271"/>
      <c r="HY30" s="271"/>
      <c r="HZ30" s="271"/>
      <c r="IA30" s="271"/>
      <c r="IB30" s="262"/>
      <c r="IC30" s="412"/>
      <c r="ID30" s="205"/>
      <c r="IE30" s="269"/>
      <c r="IF30" s="412"/>
      <c r="IG30" s="436"/>
      <c r="IH30" s="437"/>
      <c r="II30" s="412"/>
      <c r="IJ30" s="436"/>
      <c r="IK30" s="437"/>
      <c r="IL30" s="412"/>
      <c r="IM30" s="436"/>
      <c r="IN30" s="269"/>
      <c r="IO30" s="289"/>
      <c r="IP30" s="271"/>
      <c r="IQ30" s="298"/>
      <c r="IR30" s="289"/>
      <c r="IS30" s="271"/>
      <c r="IT30" s="298"/>
      <c r="IU30" s="455"/>
      <c r="IV30" s="456"/>
      <c r="IW30" s="471"/>
      <c r="IX30" s="455"/>
      <c r="IY30" s="205"/>
      <c r="IZ30" s="471"/>
      <c r="JA30" s="412"/>
      <c r="JB30" s="205"/>
      <c r="JC30" s="437"/>
      <c r="JD30" s="412"/>
      <c r="JE30" s="436"/>
      <c r="JF30" s="437"/>
      <c r="JG30" s="412"/>
      <c r="JH30" s="70"/>
      <c r="JI30" s="269"/>
      <c r="JJ30" s="289"/>
      <c r="JK30" s="271"/>
      <c r="JL30" s="298"/>
      <c r="JM30" s="289"/>
      <c r="JN30" s="271"/>
      <c r="JO30" s="298"/>
      <c r="JP30" s="513"/>
      <c r="JQ30" s="498"/>
      <c r="JR30" s="499"/>
      <c r="JS30" s="495"/>
      <c r="JT30" s="501"/>
      <c r="JU30" s="535"/>
      <c r="JV30" s="87"/>
      <c r="JW30" s="70"/>
      <c r="JX30" s="87"/>
      <c r="JY30" s="510"/>
      <c r="JZ30" s="87"/>
      <c r="KA30" s="87"/>
      <c r="KB30" s="349"/>
      <c r="KC30" s="87"/>
      <c r="KD30" s="70"/>
      <c r="KE30" s="110"/>
      <c r="KF30" s="110"/>
      <c r="KG30" s="110"/>
      <c r="KH30" s="110"/>
      <c r="KI30" s="110"/>
      <c r="KJ30" s="110"/>
      <c r="KK30" s="513"/>
      <c r="KL30" s="70"/>
      <c r="KM30" s="513"/>
      <c r="KN30" s="513"/>
      <c r="KO30" s="70"/>
      <c r="KP30" s="513"/>
      <c r="KQ30" s="87"/>
      <c r="KR30" s="70"/>
      <c r="KS30" s="87"/>
      <c r="KT30" s="87"/>
      <c r="KU30" s="87"/>
      <c r="KV30" s="87"/>
      <c r="KW30" s="318"/>
      <c r="KX30" s="318"/>
      <c r="KY30" s="70"/>
      <c r="KZ30" s="110"/>
      <c r="LA30" s="110"/>
      <c r="LB30" s="110"/>
      <c r="LC30" s="110"/>
      <c r="LD30" s="110"/>
      <c r="LE30" s="110"/>
      <c r="LF30" s="513"/>
      <c r="LG30" s="513"/>
      <c r="LH30" s="513"/>
      <c r="LI30" s="313" t="s">
        <v>6501</v>
      </c>
      <c r="LJ30" s="513"/>
      <c r="LK30" s="513"/>
      <c r="LL30" s="87"/>
      <c r="LM30" s="70"/>
      <c r="LN30" s="87"/>
      <c r="LO30" s="87"/>
      <c r="LP30" s="87"/>
      <c r="LQ30" s="87"/>
      <c r="LR30" s="349"/>
      <c r="LS30" s="87"/>
      <c r="LT30" s="70"/>
      <c r="LU30" s="110"/>
      <c r="LV30" s="110"/>
      <c r="LW30" s="110"/>
      <c r="LX30" s="110"/>
      <c r="LY30" s="110"/>
      <c r="LZ30" s="110"/>
      <c r="MA30" s="513"/>
      <c r="MB30" s="567"/>
      <c r="MC30" s="375"/>
      <c r="MD30" s="543"/>
      <c r="ME30" s="513"/>
      <c r="MF30" s="70"/>
      <c r="MG30" s="513"/>
      <c r="MH30" s="152"/>
      <c r="MI30" s="70"/>
      <c r="MJ30" s="349"/>
      <c r="MK30" s="87"/>
      <c r="ML30" s="87"/>
      <c r="MM30" s="87"/>
      <c r="MN30" s="77" t="s">
        <v>1783</v>
      </c>
      <c r="MO30" s="77"/>
      <c r="MP30" s="367"/>
      <c r="MQ30" s="70"/>
      <c r="MR30" s="70"/>
      <c r="MS30" s="70"/>
      <c r="MT30" s="110"/>
      <c r="MU30" s="110"/>
      <c r="MV30" s="110"/>
      <c r="MW30" s="110"/>
      <c r="MX30" s="110"/>
      <c r="MY30" s="128"/>
      <c r="MZ30" s="455"/>
      <c r="NA30" s="456"/>
      <c r="NB30" s="471"/>
      <c r="NC30" s="349"/>
      <c r="ND30" s="83" t="s">
        <v>1783</v>
      </c>
      <c r="NE30" s="349"/>
      <c r="NF30" s="87"/>
      <c r="NG30" s="87"/>
      <c r="NH30" s="87"/>
      <c r="NI30" s="77"/>
      <c r="NJ30" s="77"/>
      <c r="NK30" s="367"/>
      <c r="NL30" s="70"/>
      <c r="NM30" s="70"/>
      <c r="NN30" s="70"/>
      <c r="NO30" s="110"/>
      <c r="NP30" s="110"/>
      <c r="NQ30" s="110"/>
      <c r="NR30" s="110"/>
      <c r="NS30" s="110"/>
      <c r="NT30" s="110"/>
      <c r="NU30" s="513"/>
      <c r="NV30" s="513"/>
      <c r="NW30" s="513"/>
    </row>
    <row r="31" spans="1:387" ht="14.4">
      <c r="A31" s="1637"/>
      <c r="B31" s="1645"/>
      <c r="C31" s="1655" t="s">
        <v>6529</v>
      </c>
      <c r="D31" s="93"/>
      <c r="E31" s="60"/>
      <c r="F31" s="61"/>
      <c r="G31" s="61"/>
      <c r="H31" s="60"/>
      <c r="I31" s="61"/>
      <c r="J31" s="108"/>
      <c r="K31" s="123"/>
      <c r="L31" s="126"/>
      <c r="M31" s="108"/>
      <c r="N31" s="108"/>
      <c r="O31" s="10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108"/>
      <c r="AF31" s="108"/>
      <c r="AG31" s="108"/>
      <c r="AH31" s="108"/>
      <c r="AI31" s="108"/>
      <c r="AJ31" s="108"/>
      <c r="AK31" s="61"/>
      <c r="AL31" s="61"/>
      <c r="AM31" s="61"/>
      <c r="AN31" s="61"/>
      <c r="AO31" s="150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108"/>
      <c r="BA31" s="108"/>
      <c r="BB31" s="108"/>
      <c r="BC31" s="108"/>
      <c r="BD31" s="108"/>
      <c r="BE31" s="108"/>
      <c r="BF31" s="61"/>
      <c r="BG31" s="61"/>
      <c r="BH31" s="61"/>
      <c r="BI31" s="173"/>
      <c r="BJ31" s="173"/>
      <c r="BK31" s="173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108"/>
      <c r="BY31" s="108"/>
      <c r="BZ31" s="108"/>
      <c r="CA31" s="108"/>
      <c r="CB31" s="108"/>
      <c r="CC31" s="108"/>
      <c r="CD31" s="61" t="s">
        <v>6332</v>
      </c>
      <c r="CE31" s="168" t="s">
        <v>6332</v>
      </c>
      <c r="CF31" s="61"/>
      <c r="CG31" s="211" t="s">
        <v>6314</v>
      </c>
      <c r="CH31" s="222"/>
      <c r="CI31" s="168" t="s">
        <v>6328</v>
      </c>
      <c r="CJ31" s="61"/>
      <c r="CK31" s="246" t="s">
        <v>6314</v>
      </c>
      <c r="CL31" s="247"/>
      <c r="CM31" s="168" t="s">
        <v>6314</v>
      </c>
      <c r="CN31" s="61"/>
      <c r="CO31" s="211" t="s">
        <v>6314</v>
      </c>
      <c r="CP31" s="61"/>
      <c r="CQ31" s="168" t="s">
        <v>6326</v>
      </c>
      <c r="CR31" s="61"/>
      <c r="CS31" s="61" t="s">
        <v>6331</v>
      </c>
      <c r="CT31" s="61"/>
      <c r="CU31" s="61"/>
      <c r="CV31" s="251"/>
      <c r="CW31" s="265"/>
      <c r="CX31" s="265"/>
      <c r="CY31" s="265"/>
      <c r="CZ31" s="265"/>
      <c r="DA31" s="265"/>
      <c r="DB31" s="265"/>
      <c r="DC31" s="59"/>
      <c r="DD31" s="60"/>
      <c r="DE31" s="61"/>
      <c r="DF31" s="61"/>
      <c r="DG31" s="61"/>
      <c r="DH31" s="61"/>
      <c r="DI31" s="314"/>
      <c r="DJ31" s="60"/>
      <c r="DK31" s="61"/>
      <c r="DL31" s="61"/>
      <c r="DM31" s="61"/>
      <c r="DN31" s="61"/>
      <c r="DO31" s="61"/>
      <c r="DP31" s="61"/>
      <c r="DQ31" s="61"/>
      <c r="DR31" s="61"/>
      <c r="DS31" s="108"/>
      <c r="DT31" s="108"/>
      <c r="DU31" s="108"/>
      <c r="DV31" s="108"/>
      <c r="DW31" s="108"/>
      <c r="DX31" s="108"/>
      <c r="DY31" s="61"/>
      <c r="DZ31" s="61"/>
      <c r="EA31" s="61"/>
      <c r="EB31" s="108"/>
      <c r="EC31" s="108"/>
      <c r="ED31" s="108"/>
      <c r="EE31" s="61"/>
      <c r="EF31" s="61"/>
      <c r="EG31" s="61"/>
      <c r="EH31" s="61"/>
      <c r="EI31" s="61"/>
      <c r="EJ31" s="61"/>
      <c r="EK31" s="61"/>
      <c r="EL31" s="61"/>
      <c r="EM31" s="61"/>
      <c r="EN31" s="108"/>
      <c r="EO31" s="108"/>
      <c r="EP31" s="108"/>
      <c r="EQ31" s="108"/>
      <c r="ER31" s="108"/>
      <c r="ES31" s="108"/>
      <c r="ET31" s="61"/>
      <c r="EU31" s="61"/>
      <c r="EV31" s="61"/>
      <c r="EW31" s="108"/>
      <c r="EX31" s="108"/>
      <c r="EY31" s="108"/>
      <c r="EZ31" s="211"/>
      <c r="FA31" s="211"/>
      <c r="FB31" s="211"/>
      <c r="FC31" s="211"/>
      <c r="FD31" s="211"/>
      <c r="FE31" s="211"/>
      <c r="FF31" s="211"/>
      <c r="FG31" s="211"/>
      <c r="FH31" s="61"/>
      <c r="FI31" s="108"/>
      <c r="FJ31" s="108"/>
      <c r="FK31" s="108"/>
      <c r="FL31" s="108"/>
      <c r="FM31" s="108"/>
      <c r="FN31" s="108"/>
      <c r="FO31" s="61"/>
      <c r="FP31" s="61"/>
      <c r="FQ31" s="61"/>
      <c r="FR31" s="61"/>
      <c r="FS31" s="61"/>
      <c r="FT31" s="61"/>
      <c r="FU31" s="211"/>
      <c r="FV31" s="211"/>
      <c r="FW31" s="211"/>
      <c r="FX31" s="211"/>
      <c r="FY31" s="211"/>
      <c r="FZ31" s="211"/>
      <c r="GA31" s="211"/>
      <c r="GB31" s="211"/>
      <c r="GC31" s="61"/>
      <c r="GD31" s="108"/>
      <c r="GE31" s="108"/>
      <c r="GF31" s="108"/>
      <c r="GG31" s="108"/>
      <c r="GH31" s="108"/>
      <c r="GI31" s="108"/>
      <c r="GJ31" s="61"/>
      <c r="GK31" s="61"/>
      <c r="GL31" s="61"/>
      <c r="GM31" s="61"/>
      <c r="GN31" s="61"/>
      <c r="GO31" s="61"/>
      <c r="GP31" s="211"/>
      <c r="GQ31" s="211"/>
      <c r="GR31" s="211"/>
      <c r="GS31" s="101" t="s">
        <v>6314</v>
      </c>
      <c r="GT31" s="364" t="s">
        <v>6314</v>
      </c>
      <c r="GU31" s="1633" t="s">
        <v>6831</v>
      </c>
      <c r="GV31" s="246"/>
      <c r="GW31" s="101" t="s">
        <v>6686</v>
      </c>
      <c r="GX31" s="60"/>
      <c r="GY31" s="211"/>
      <c r="GZ31" s="211"/>
      <c r="HA31" s="211"/>
      <c r="HB31" s="108"/>
      <c r="HC31" s="108"/>
      <c r="HD31" s="108"/>
      <c r="HE31" s="61"/>
      <c r="HF31" s="61"/>
      <c r="HG31" s="61"/>
      <c r="HH31" s="61"/>
      <c r="HI31" s="61"/>
      <c r="HJ31" s="251"/>
      <c r="HK31" s="327"/>
      <c r="HL31" s="364"/>
      <c r="HM31" s="211"/>
      <c r="HN31" s="211"/>
      <c r="HO31" s="211"/>
      <c r="HP31" s="211"/>
      <c r="HQ31" s="211"/>
      <c r="HR31" s="211"/>
      <c r="HS31" s="251"/>
      <c r="HT31" s="265"/>
      <c r="HU31" s="265"/>
      <c r="HV31" s="265"/>
      <c r="HW31" s="265"/>
      <c r="HX31" s="265"/>
      <c r="HY31" s="265"/>
      <c r="HZ31" s="265"/>
      <c r="IA31" s="265"/>
      <c r="IB31" s="273"/>
      <c r="IC31" s="414"/>
      <c r="ID31" s="185" t="s">
        <v>6320</v>
      </c>
      <c r="IE31" s="257"/>
      <c r="IF31" s="414"/>
      <c r="IG31" s="206" t="s">
        <v>6318</v>
      </c>
      <c r="IH31" s="430"/>
      <c r="II31" s="414"/>
      <c r="IJ31" s="206" t="s">
        <v>6326</v>
      </c>
      <c r="IK31" s="430"/>
      <c r="IL31" s="414"/>
      <c r="IM31" s="444" t="s">
        <v>6314</v>
      </c>
      <c r="IN31" s="257"/>
      <c r="IO31" s="287"/>
      <c r="IP31" s="265"/>
      <c r="IQ31" s="295"/>
      <c r="IR31" s="287"/>
      <c r="IS31" s="265"/>
      <c r="IT31" s="295"/>
      <c r="IU31" s="415"/>
      <c r="IV31" s="453"/>
      <c r="IW31" s="469"/>
      <c r="IX31" s="415"/>
      <c r="IY31" s="185" t="s">
        <v>6314</v>
      </c>
      <c r="IZ31" s="469"/>
      <c r="JA31" s="414"/>
      <c r="JB31" s="185" t="s">
        <v>6832</v>
      </c>
      <c r="JC31" s="430"/>
      <c r="JD31" s="414"/>
      <c r="JE31" s="206"/>
      <c r="JF31" s="430"/>
      <c r="JG31" s="414"/>
      <c r="JH31" s="230"/>
      <c r="JI31" s="257"/>
      <c r="JJ31" s="287"/>
      <c r="JK31" s="265"/>
      <c r="JL31" s="295"/>
      <c r="JM31" s="287"/>
      <c r="JN31" s="265"/>
      <c r="JO31" s="295"/>
      <c r="JP31" s="484"/>
      <c r="JQ31" s="387" t="s">
        <v>6318</v>
      </c>
      <c r="JR31" s="486"/>
      <c r="JS31" s="514"/>
      <c r="JT31" s="488" t="s">
        <v>6314</v>
      </c>
      <c r="JU31" s="537"/>
      <c r="JV31" s="327"/>
      <c r="JW31" s="230"/>
      <c r="JX31" s="377"/>
      <c r="JY31" s="528"/>
      <c r="JZ31" s="377"/>
      <c r="KA31" s="377"/>
      <c r="KB31" s="377"/>
      <c r="KC31" s="377"/>
      <c r="KD31" s="230"/>
      <c r="KE31" s="339"/>
      <c r="KF31" s="339"/>
      <c r="KG31" s="339"/>
      <c r="KH31" s="339"/>
      <c r="KI31" s="339"/>
      <c r="KJ31" s="339"/>
      <c r="KK31" s="484"/>
      <c r="KL31" s="230"/>
      <c r="KM31" s="484"/>
      <c r="KN31" s="484"/>
      <c r="KO31" s="230"/>
      <c r="KP31" s="484"/>
      <c r="KQ31" s="327"/>
      <c r="KR31" s="230"/>
      <c r="KS31" s="377"/>
      <c r="KT31" s="327"/>
      <c r="KU31" s="551"/>
      <c r="KV31" s="377"/>
      <c r="KW31" s="377"/>
      <c r="KX31" s="377"/>
      <c r="KY31" s="230"/>
      <c r="KZ31" s="339"/>
      <c r="LA31" s="339"/>
      <c r="LB31" s="339"/>
      <c r="LC31" s="339"/>
      <c r="LD31" s="339"/>
      <c r="LE31" s="339"/>
      <c r="LF31" s="484"/>
      <c r="LG31" s="484"/>
      <c r="LH31" s="484"/>
      <c r="LI31" s="484"/>
      <c r="LJ31" s="484"/>
      <c r="LK31" s="484"/>
      <c r="LL31" s="327"/>
      <c r="LM31" s="230"/>
      <c r="LN31" s="377"/>
      <c r="LO31" s="377"/>
      <c r="LP31" s="377"/>
      <c r="LQ31" s="377"/>
      <c r="LR31" s="377"/>
      <c r="LS31" s="377"/>
      <c r="LT31" s="230"/>
      <c r="LU31" s="339"/>
      <c r="LV31" s="339"/>
      <c r="LW31" s="339"/>
      <c r="LX31" s="339"/>
      <c r="LY31" s="339"/>
      <c r="LZ31" s="339"/>
      <c r="MA31" s="484"/>
      <c r="MB31" s="484"/>
      <c r="MC31" s="525"/>
      <c r="MD31" s="222"/>
      <c r="ME31" s="484"/>
      <c r="MF31" s="230"/>
      <c r="MG31" s="484"/>
      <c r="MH31" s="572"/>
      <c r="MI31" s="93"/>
      <c r="MJ31" s="551"/>
      <c r="MK31" s="377"/>
      <c r="ML31" s="377"/>
      <c r="MM31" s="377"/>
      <c r="MN31" s="377"/>
      <c r="MO31" s="377"/>
      <c r="MP31" s="377"/>
      <c r="MQ31" s="230"/>
      <c r="MR31" s="230"/>
      <c r="MS31" s="230"/>
      <c r="MT31" s="339"/>
      <c r="MU31" s="339"/>
      <c r="MV31" s="339"/>
      <c r="MW31" s="339"/>
      <c r="MX31" s="339"/>
      <c r="MY31" s="577"/>
      <c r="MZ31" s="415"/>
      <c r="NA31" s="453"/>
      <c r="NB31" s="469"/>
      <c r="NC31" s="585" t="s">
        <v>6314</v>
      </c>
      <c r="ND31" s="527" t="s">
        <v>6716</v>
      </c>
      <c r="NE31" s="377"/>
      <c r="NF31" s="377"/>
      <c r="NG31" s="377"/>
      <c r="NH31" s="377"/>
      <c r="NI31" s="377"/>
      <c r="NJ31" s="377"/>
      <c r="NK31" s="377"/>
      <c r="NL31" s="230"/>
      <c r="NM31" s="230"/>
      <c r="NN31" s="230"/>
      <c r="NO31" s="339"/>
      <c r="NP31" s="339"/>
      <c r="NQ31" s="339"/>
      <c r="NR31" s="339"/>
      <c r="NS31" s="339"/>
      <c r="NT31" s="339"/>
      <c r="NU31" s="484"/>
      <c r="NV31" s="484"/>
      <c r="NW31" s="484"/>
    </row>
    <row r="32" spans="1:387" ht="43.2">
      <c r="A32" s="1638"/>
      <c r="B32" s="1646"/>
      <c r="C32" s="1656"/>
      <c r="D32" s="87" t="s">
        <v>6314</v>
      </c>
      <c r="E32" s="79"/>
      <c r="F32" s="75" t="s">
        <v>6314</v>
      </c>
      <c r="G32" s="94" t="s">
        <v>6317</v>
      </c>
      <c r="H32" s="79"/>
      <c r="I32" s="68"/>
      <c r="J32" s="109"/>
      <c r="K32" s="109"/>
      <c r="L32" s="109"/>
      <c r="M32" s="109"/>
      <c r="N32" s="109"/>
      <c r="O32" s="109"/>
      <c r="P32" s="64" t="s">
        <v>6331</v>
      </c>
      <c r="Q32" s="75" t="s">
        <v>6320</v>
      </c>
      <c r="R32" s="64"/>
      <c r="S32" s="64" t="s">
        <v>6331</v>
      </c>
      <c r="T32" s="75" t="s">
        <v>874</v>
      </c>
      <c r="U32" s="64"/>
      <c r="V32" s="64" t="s">
        <v>6331</v>
      </c>
      <c r="W32" s="75" t="s">
        <v>6332</v>
      </c>
      <c r="X32" s="64"/>
      <c r="Y32" s="64" t="s">
        <v>6331</v>
      </c>
      <c r="Z32" s="75" t="s">
        <v>6687</v>
      </c>
      <c r="AA32" s="64"/>
      <c r="AB32" s="64" t="s">
        <v>6331</v>
      </c>
      <c r="AC32" s="75" t="s">
        <v>6323</v>
      </c>
      <c r="AD32" s="64"/>
      <c r="AE32" s="109"/>
      <c r="AF32" s="109"/>
      <c r="AG32" s="109"/>
      <c r="AH32" s="109"/>
      <c r="AI32" s="109"/>
      <c r="AJ32" s="109"/>
      <c r="AK32" s="64"/>
      <c r="AL32" s="75" t="s">
        <v>6833</v>
      </c>
      <c r="AM32" s="64"/>
      <c r="AN32" s="64"/>
      <c r="AO32" s="158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109"/>
      <c r="BA32" s="109"/>
      <c r="BB32" s="109"/>
      <c r="BC32" s="109"/>
      <c r="BD32" s="109"/>
      <c r="BE32" s="109"/>
      <c r="BF32" s="64"/>
      <c r="BG32" s="64"/>
      <c r="BH32" s="64"/>
      <c r="BI32" s="174"/>
      <c r="BJ32" s="174"/>
      <c r="BK32" s="174"/>
      <c r="BL32" s="64"/>
      <c r="BM32" s="64"/>
      <c r="BN32" s="64"/>
      <c r="BO32" s="64"/>
      <c r="BP32" s="64"/>
      <c r="BQ32" s="64"/>
      <c r="BR32" s="75" t="s">
        <v>6332</v>
      </c>
      <c r="BS32" s="64"/>
      <c r="BT32" s="64"/>
      <c r="BU32" s="64"/>
      <c r="BV32" s="75" t="s">
        <v>6328</v>
      </c>
      <c r="BW32" s="64"/>
      <c r="BX32" s="109"/>
      <c r="BY32" s="109"/>
      <c r="BZ32" s="109"/>
      <c r="CA32" s="109"/>
      <c r="CB32" s="109"/>
      <c r="CC32" s="109"/>
      <c r="CD32" s="68" t="s">
        <v>6377</v>
      </c>
      <c r="CE32" s="67" t="s">
        <v>6834</v>
      </c>
      <c r="CF32" s="68"/>
      <c r="CG32" s="223" t="s">
        <v>6835</v>
      </c>
      <c r="CH32" s="89"/>
      <c r="CI32" s="224" t="s">
        <v>6836</v>
      </c>
      <c r="CJ32" s="68"/>
      <c r="CK32" s="223" t="s">
        <v>6510</v>
      </c>
      <c r="CL32" s="248"/>
      <c r="CM32" s="67" t="s">
        <v>6837</v>
      </c>
      <c r="CN32" s="68"/>
      <c r="CO32" s="76" t="s">
        <v>6524</v>
      </c>
      <c r="CP32" s="68"/>
      <c r="CQ32" s="67" t="s">
        <v>6643</v>
      </c>
      <c r="CR32" s="68"/>
      <c r="CS32" s="68"/>
      <c r="CT32" s="70"/>
      <c r="CU32" s="70"/>
      <c r="CV32" s="218"/>
      <c r="CW32" s="260"/>
      <c r="CX32" s="260"/>
      <c r="CY32" s="260"/>
      <c r="CZ32" s="260"/>
      <c r="DA32" s="260"/>
      <c r="DB32" s="260"/>
      <c r="DC32" s="304" t="s">
        <v>6314</v>
      </c>
      <c r="DD32" s="79"/>
      <c r="DE32" s="64"/>
      <c r="DF32" s="152" t="s">
        <v>6314</v>
      </c>
      <c r="DG32" s="64"/>
      <c r="DH32" s="64"/>
      <c r="DI32" s="315"/>
      <c r="DJ32" s="293" t="s">
        <v>6314</v>
      </c>
      <c r="DK32" s="316" t="s">
        <v>6314</v>
      </c>
      <c r="DL32" s="64"/>
      <c r="DM32" s="152" t="s">
        <v>6314</v>
      </c>
      <c r="DN32" s="75" t="s">
        <v>6314</v>
      </c>
      <c r="DO32" s="64"/>
      <c r="DP32" s="152" t="s">
        <v>6314</v>
      </c>
      <c r="DQ32" s="152"/>
      <c r="DR32" s="64"/>
      <c r="DS32" s="109"/>
      <c r="DT32" s="109"/>
      <c r="DU32" s="109"/>
      <c r="DV32" s="109"/>
      <c r="DW32" s="109"/>
      <c r="DX32" s="109"/>
      <c r="DY32" s="64" t="s">
        <v>6315</v>
      </c>
      <c r="DZ32" s="75" t="s">
        <v>6314</v>
      </c>
      <c r="EA32" s="64"/>
      <c r="EB32" s="109"/>
      <c r="EC32" s="109"/>
      <c r="ED32" s="109"/>
      <c r="EE32" s="152" t="s">
        <v>6314</v>
      </c>
      <c r="EF32" s="75" t="s">
        <v>6314</v>
      </c>
      <c r="EG32" s="64"/>
      <c r="EH32" s="313" t="s">
        <v>6313</v>
      </c>
      <c r="EI32" s="75" t="s">
        <v>6648</v>
      </c>
      <c r="EJ32" s="64"/>
      <c r="EK32" s="64" t="s">
        <v>6332</v>
      </c>
      <c r="EL32" s="75" t="s">
        <v>6317</v>
      </c>
      <c r="EM32" s="64"/>
      <c r="EN32" s="109"/>
      <c r="EO32" s="109"/>
      <c r="EP32" s="109"/>
      <c r="EQ32" s="109"/>
      <c r="ER32" s="109"/>
      <c r="ES32" s="109"/>
      <c r="ET32" s="152" t="s">
        <v>6312</v>
      </c>
      <c r="EU32" s="75" t="s">
        <v>6322</v>
      </c>
      <c r="EV32" s="64"/>
      <c r="EW32" s="109"/>
      <c r="EX32" s="109"/>
      <c r="EY32" s="109"/>
      <c r="EZ32" s="64" t="s">
        <v>6332</v>
      </c>
      <c r="FA32" s="316" t="s">
        <v>6312</v>
      </c>
      <c r="FB32" s="152"/>
      <c r="FC32" s="64" t="s">
        <v>6332</v>
      </c>
      <c r="FD32" s="316" t="s">
        <v>6332</v>
      </c>
      <c r="FE32" s="152"/>
      <c r="FF32" s="64" t="s">
        <v>6317</v>
      </c>
      <c r="FG32" s="316" t="s">
        <v>6332</v>
      </c>
      <c r="FH32" s="64"/>
      <c r="FI32" s="109"/>
      <c r="FJ32" s="109"/>
      <c r="FK32" s="109"/>
      <c r="FL32" s="109"/>
      <c r="FM32" s="109"/>
      <c r="FN32" s="109"/>
      <c r="FO32" s="64" t="s">
        <v>6314</v>
      </c>
      <c r="FP32" s="64" t="s">
        <v>6819</v>
      </c>
      <c r="FQ32" s="64"/>
      <c r="FR32" s="64" t="s">
        <v>6318</v>
      </c>
      <c r="FS32" s="64"/>
      <c r="FT32" s="64" t="s">
        <v>6314</v>
      </c>
      <c r="FU32" s="64" t="s">
        <v>6314</v>
      </c>
      <c r="FV32" s="152" t="s">
        <v>6314</v>
      </c>
      <c r="FW32" s="152"/>
      <c r="FX32" s="64" t="s">
        <v>6314</v>
      </c>
      <c r="FY32" s="152" t="s">
        <v>6314</v>
      </c>
      <c r="FZ32" s="152"/>
      <c r="GA32" s="64" t="s">
        <v>6314</v>
      </c>
      <c r="GB32" s="87" t="s">
        <v>6318</v>
      </c>
      <c r="GC32" s="64"/>
      <c r="GD32" s="109"/>
      <c r="GE32" s="109"/>
      <c r="GF32" s="109"/>
      <c r="GG32" s="109"/>
      <c r="GH32" s="109"/>
      <c r="GI32" s="109"/>
      <c r="GJ32" s="64" t="s">
        <v>6314</v>
      </c>
      <c r="GK32" s="64" t="s">
        <v>1323</v>
      </c>
      <c r="GL32" s="64" t="s">
        <v>1323</v>
      </c>
      <c r="GM32" s="64" t="s">
        <v>6314</v>
      </c>
      <c r="GN32" s="152" t="s">
        <v>6315</v>
      </c>
      <c r="GO32" s="64"/>
      <c r="GP32" s="64" t="s">
        <v>6314</v>
      </c>
      <c r="GQ32" s="51" t="s">
        <v>6314</v>
      </c>
      <c r="GR32" s="152"/>
      <c r="GS32" s="90" t="s">
        <v>6838</v>
      </c>
      <c r="GT32" s="293" t="s">
        <v>6838</v>
      </c>
      <c r="GU32" s="1634"/>
      <c r="GV32" s="328" t="s">
        <v>6691</v>
      </c>
      <c r="GW32" s="378" t="s">
        <v>6763</v>
      </c>
      <c r="GX32" s="79"/>
      <c r="GY32" s="152" t="s">
        <v>6691</v>
      </c>
      <c r="GZ32" s="152" t="s">
        <v>6691</v>
      </c>
      <c r="HA32" s="152"/>
      <c r="HB32" s="109"/>
      <c r="HC32" s="109"/>
      <c r="HD32" s="109"/>
      <c r="HE32" s="330" t="s">
        <v>6686</v>
      </c>
      <c r="HF32" s="64" t="s">
        <v>6691</v>
      </c>
      <c r="HG32" s="350" t="s">
        <v>6839</v>
      </c>
      <c r="HH32" s="87" t="s">
        <v>6314</v>
      </c>
      <c r="HI32" s="64" t="s">
        <v>6686</v>
      </c>
      <c r="HJ32" s="328"/>
      <c r="HK32" s="393" t="s">
        <v>6699</v>
      </c>
      <c r="HL32" s="293"/>
      <c r="HM32" s="152"/>
      <c r="HN32" s="87" t="s">
        <v>6314</v>
      </c>
      <c r="HO32" s="152" t="s">
        <v>6840</v>
      </c>
      <c r="HP32" s="152"/>
      <c r="HQ32" s="147" t="s">
        <v>6332</v>
      </c>
      <c r="HR32" s="64" t="s">
        <v>6332</v>
      </c>
      <c r="HS32" s="328"/>
      <c r="HT32" s="260"/>
      <c r="HU32" s="260"/>
      <c r="HV32" s="260"/>
      <c r="HW32" s="260"/>
      <c r="HX32" s="260"/>
      <c r="HY32" s="260"/>
      <c r="HZ32" s="404" t="s">
        <v>6314</v>
      </c>
      <c r="IA32" s="260"/>
      <c r="IB32" s="274"/>
      <c r="IC32" s="197" t="s">
        <v>6347</v>
      </c>
      <c r="ID32" s="198" t="s">
        <v>6536</v>
      </c>
      <c r="IE32" s="268"/>
      <c r="IF32" s="197" t="s">
        <v>6314</v>
      </c>
      <c r="IG32" s="199" t="s">
        <v>6539</v>
      </c>
      <c r="IH32" s="431"/>
      <c r="II32" s="197" t="s">
        <v>6314</v>
      </c>
      <c r="IJ32" s="199" t="s">
        <v>6434</v>
      </c>
      <c r="IK32" s="431"/>
      <c r="IL32" s="197" t="s">
        <v>6332</v>
      </c>
      <c r="IM32" s="434" t="s">
        <v>6841</v>
      </c>
      <c r="IN32" s="268"/>
      <c r="IO32" s="288"/>
      <c r="IP32" s="260"/>
      <c r="IQ32" s="296"/>
      <c r="IR32" s="288"/>
      <c r="IS32" s="260"/>
      <c r="IT32" s="296"/>
      <c r="IU32" s="432" t="s">
        <v>6318</v>
      </c>
      <c r="IV32" s="454" t="s">
        <v>6318</v>
      </c>
      <c r="IW32" s="470"/>
      <c r="IX32" s="432" t="s">
        <v>6708</v>
      </c>
      <c r="IY32" s="198" t="s">
        <v>6652</v>
      </c>
      <c r="IZ32" s="470"/>
      <c r="JA32" s="432" t="s">
        <v>6318</v>
      </c>
      <c r="JB32" s="198" t="s">
        <v>6842</v>
      </c>
      <c r="JC32" s="431"/>
      <c r="JD32" s="197" t="s">
        <v>6314</v>
      </c>
      <c r="JE32" s="199" t="s">
        <v>6332</v>
      </c>
      <c r="JF32" s="431"/>
      <c r="JG32" s="197" t="s">
        <v>6317</v>
      </c>
      <c r="JH32" s="70" t="s">
        <v>6318</v>
      </c>
      <c r="JI32" s="268"/>
      <c r="JJ32" s="288"/>
      <c r="JK32" s="260"/>
      <c r="JL32" s="296"/>
      <c r="JM32" s="288"/>
      <c r="JN32" s="260"/>
      <c r="JO32" s="296"/>
      <c r="JP32" s="515" t="s">
        <v>6314</v>
      </c>
      <c r="JQ32" s="388" t="s">
        <v>6448</v>
      </c>
      <c r="JR32" s="489"/>
      <c r="JS32" s="490" t="s">
        <v>6314</v>
      </c>
      <c r="JT32" s="491" t="s">
        <v>6609</v>
      </c>
      <c r="JU32" s="538"/>
      <c r="JV32" s="515" t="s">
        <v>6314</v>
      </c>
      <c r="JW32" s="70" t="s">
        <v>6314</v>
      </c>
      <c r="JX32" s="152"/>
      <c r="JY32" s="515" t="s">
        <v>6318</v>
      </c>
      <c r="JZ32" s="87" t="s">
        <v>6318</v>
      </c>
      <c r="KA32" s="152"/>
      <c r="KB32" s="525" t="s">
        <v>6317</v>
      </c>
      <c r="KC32" s="87" t="s">
        <v>6317</v>
      </c>
      <c r="KD32" s="64" t="s">
        <v>6843</v>
      </c>
      <c r="KE32" s="109"/>
      <c r="KF32" s="109"/>
      <c r="KG32" s="109"/>
      <c r="KH32" s="109"/>
      <c r="KI32" s="109"/>
      <c r="KJ32" s="109"/>
      <c r="KK32" s="77" t="s">
        <v>6332</v>
      </c>
      <c r="KL32" s="70" t="s">
        <v>6332</v>
      </c>
      <c r="KM32" s="525"/>
      <c r="KN32" s="169" t="s">
        <v>6328</v>
      </c>
      <c r="KO32" s="64" t="s">
        <v>6328</v>
      </c>
      <c r="KP32" s="525"/>
      <c r="KQ32" s="77" t="s">
        <v>6332</v>
      </c>
      <c r="KR32" s="525" t="s">
        <v>6332</v>
      </c>
      <c r="KS32" s="152"/>
      <c r="KT32" s="378" t="s">
        <v>6318</v>
      </c>
      <c r="KU32" s="318"/>
      <c r="KV32" s="152"/>
      <c r="KW32" s="77" t="s">
        <v>6332</v>
      </c>
      <c r="KX32" s="513"/>
      <c r="KY32" s="64"/>
      <c r="KZ32" s="109"/>
      <c r="LA32" s="109"/>
      <c r="LB32" s="109"/>
      <c r="LC32" s="109"/>
      <c r="LD32" s="109"/>
      <c r="LE32" s="109"/>
      <c r="LF32" s="77" t="s">
        <v>6314</v>
      </c>
      <c r="LG32" s="525"/>
      <c r="LH32" s="525"/>
      <c r="LI32" s="77" t="s">
        <v>6314</v>
      </c>
      <c r="LJ32" s="525"/>
      <c r="LK32" s="525"/>
      <c r="LL32" s="77" t="s">
        <v>6332</v>
      </c>
      <c r="LM32" s="525"/>
      <c r="LN32" s="152"/>
      <c r="LO32" s="77" t="s">
        <v>6332</v>
      </c>
      <c r="LP32" s="87"/>
      <c r="LQ32" s="152"/>
      <c r="LR32" s="77" t="s">
        <v>6332</v>
      </c>
      <c r="LS32" s="87"/>
      <c r="LT32" s="64"/>
      <c r="LU32" s="109"/>
      <c r="LV32" s="109"/>
      <c r="LW32" s="109"/>
      <c r="LX32" s="109"/>
      <c r="LY32" s="109"/>
      <c r="LZ32" s="109"/>
      <c r="MA32" s="77" t="s">
        <v>6332</v>
      </c>
      <c r="MB32" s="525"/>
      <c r="MC32" s="525"/>
      <c r="ME32" s="513" t="s">
        <v>6314</v>
      </c>
      <c r="MF32" s="70" t="s">
        <v>6318</v>
      </c>
      <c r="MG32" s="525"/>
      <c r="MH32" s="567" t="s">
        <v>6314</v>
      </c>
      <c r="MI32" s="146" t="s">
        <v>6318</v>
      </c>
      <c r="MJ32" s="535"/>
      <c r="MK32" s="513" t="s">
        <v>6314</v>
      </c>
      <c r="ML32" s="64" t="s">
        <v>55</v>
      </c>
      <c r="MM32" s="513"/>
      <c r="MN32" s="87" t="s">
        <v>6717</v>
      </c>
      <c r="MO32" s="152"/>
      <c r="MP32" s="152"/>
      <c r="MQ32" s="513" t="s">
        <v>6314</v>
      </c>
      <c r="MR32" s="146" t="s">
        <v>6314</v>
      </c>
      <c r="MS32" s="64"/>
      <c r="MT32" s="109"/>
      <c r="MU32" s="109"/>
      <c r="MV32" s="109"/>
      <c r="MW32" s="322"/>
      <c r="MX32" s="322"/>
      <c r="MY32" s="196"/>
      <c r="MZ32" s="432" t="s">
        <v>6314</v>
      </c>
      <c r="NA32" s="454" t="s">
        <v>6314</v>
      </c>
      <c r="NB32" s="470"/>
      <c r="NC32" s="586" t="s">
        <v>6810</v>
      </c>
      <c r="ND32" s="587" t="s">
        <v>6793</v>
      </c>
      <c r="NE32" s="513"/>
      <c r="NF32" s="64" t="s">
        <v>6331</v>
      </c>
      <c r="NG32" s="513"/>
      <c r="NH32" s="513"/>
      <c r="NI32" s="64" t="s">
        <v>6331</v>
      </c>
      <c r="NJ32" s="64"/>
      <c r="NK32" s="152"/>
      <c r="NL32" s="64" t="s">
        <v>6331</v>
      </c>
      <c r="NM32" s="152" t="s">
        <v>6318</v>
      </c>
      <c r="NN32" s="64"/>
      <c r="NO32" s="109"/>
      <c r="NP32" s="109"/>
      <c r="NQ32" s="109"/>
      <c r="NR32" s="322"/>
      <c r="NS32" s="322"/>
      <c r="NT32" s="109"/>
      <c r="NU32" s="64" t="s">
        <v>6331</v>
      </c>
      <c r="NV32" s="513"/>
      <c r="NW32" s="525"/>
    </row>
    <row r="33" spans="1:387" ht="14.4">
      <c r="A33" s="1638"/>
      <c r="B33" s="1646"/>
      <c r="C33" s="1656"/>
      <c r="D33" s="76" t="s">
        <v>6844</v>
      </c>
      <c r="E33" s="76"/>
      <c r="F33" s="67" t="s">
        <v>6845</v>
      </c>
      <c r="G33" s="95" t="s">
        <v>6723</v>
      </c>
      <c r="H33" s="96"/>
      <c r="I33" s="68"/>
      <c r="J33" s="111"/>
      <c r="K33" s="127"/>
      <c r="L33" s="127"/>
      <c r="M33" s="111"/>
      <c r="N33" s="111"/>
      <c r="O33" s="111"/>
      <c r="P33" s="68"/>
      <c r="Q33" s="67" t="s">
        <v>6846</v>
      </c>
      <c r="R33" s="68"/>
      <c r="S33" s="68"/>
      <c r="T33" s="67" t="s">
        <v>6352</v>
      </c>
      <c r="U33" s="68"/>
      <c r="V33" s="68"/>
      <c r="W33" s="67" t="s">
        <v>6847</v>
      </c>
      <c r="X33" s="68"/>
      <c r="Y33" s="68"/>
      <c r="Z33" s="67" t="s">
        <v>6558</v>
      </c>
      <c r="AA33" s="68"/>
      <c r="AB33" s="68"/>
      <c r="AC33" s="67" t="s">
        <v>6848</v>
      </c>
      <c r="AD33" s="68"/>
      <c r="AE33" s="111"/>
      <c r="AF33" s="111"/>
      <c r="AG33" s="111"/>
      <c r="AH33" s="111"/>
      <c r="AI33" s="111"/>
      <c r="AJ33" s="111"/>
      <c r="AK33" s="68"/>
      <c r="AL33" s="67" t="s">
        <v>6849</v>
      </c>
      <c r="AM33" s="68"/>
      <c r="AN33" s="68"/>
      <c r="AO33" s="159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111"/>
      <c r="BA33" s="111"/>
      <c r="BB33" s="111"/>
      <c r="BC33" s="111"/>
      <c r="BD33" s="111"/>
      <c r="BE33" s="111"/>
      <c r="BF33" s="68"/>
      <c r="BG33" s="68"/>
      <c r="BH33" s="68"/>
      <c r="BI33" s="176"/>
      <c r="BJ33" s="176"/>
      <c r="BK33" s="176"/>
      <c r="BL33" s="68"/>
      <c r="BM33" s="68"/>
      <c r="BN33" s="68"/>
      <c r="BO33" s="68"/>
      <c r="BP33" s="68"/>
      <c r="BQ33" s="68"/>
      <c r="BR33" s="67" t="s">
        <v>6818</v>
      </c>
      <c r="BS33" s="68"/>
      <c r="BT33" s="68"/>
      <c r="BU33" s="68"/>
      <c r="BV33" s="67" t="s">
        <v>6850</v>
      </c>
      <c r="BW33" s="68"/>
      <c r="BX33" s="111"/>
      <c r="BY33" s="111"/>
      <c r="BZ33" s="111"/>
      <c r="CA33" s="111"/>
      <c r="CB33" s="111"/>
      <c r="CC33" s="111"/>
      <c r="CD33" s="70"/>
      <c r="CE33" s="70"/>
      <c r="CF33" s="70"/>
      <c r="CG33" s="218"/>
      <c r="CH33" s="89"/>
      <c r="CI33" s="225" t="s">
        <v>6314</v>
      </c>
      <c r="CJ33" s="70"/>
      <c r="CK33" s="218"/>
      <c r="CL33" s="249"/>
      <c r="CM33" s="70"/>
      <c r="CN33" s="70"/>
      <c r="CO33" s="70"/>
      <c r="CP33" s="70"/>
      <c r="CQ33" s="70"/>
      <c r="CR33" s="70"/>
      <c r="CS33" s="70"/>
      <c r="CT33" s="70"/>
      <c r="CU33" s="70"/>
      <c r="CV33" s="218"/>
      <c r="CW33" s="260"/>
      <c r="CX33" s="260"/>
      <c r="CY33" s="260"/>
      <c r="CZ33" s="260"/>
      <c r="DA33" s="260"/>
      <c r="DB33" s="260"/>
      <c r="DC33" s="305" t="s">
        <v>6851</v>
      </c>
      <c r="DD33" s="68"/>
      <c r="DE33" s="68"/>
      <c r="DF33" s="76" t="s">
        <v>6852</v>
      </c>
      <c r="DG33" s="68"/>
      <c r="DH33" s="68"/>
      <c r="DI33" s="317"/>
      <c r="DJ33" s="318" t="s">
        <v>6853</v>
      </c>
      <c r="DK33" s="78" t="s">
        <v>6853</v>
      </c>
      <c r="DL33" s="68"/>
      <c r="DM33" s="87" t="s">
        <v>6580</v>
      </c>
      <c r="DN33" s="67" t="s">
        <v>6580</v>
      </c>
      <c r="DO33" s="68"/>
      <c r="DP33" s="87" t="s">
        <v>6646</v>
      </c>
      <c r="DQ33" s="76"/>
      <c r="DR33" s="68"/>
      <c r="DS33" s="111"/>
      <c r="DT33" s="111"/>
      <c r="DU33" s="111"/>
      <c r="DV33" s="111"/>
      <c r="DW33" s="111"/>
      <c r="DX33" s="111"/>
      <c r="DY33" s="68" t="s">
        <v>6392</v>
      </c>
      <c r="DZ33" s="67" t="s">
        <v>6390</v>
      </c>
      <c r="EA33" s="68"/>
      <c r="EB33" s="111"/>
      <c r="EC33" s="111"/>
      <c r="ED33" s="111"/>
      <c r="EE33" s="76" t="s">
        <v>6854</v>
      </c>
      <c r="EF33" s="67" t="s">
        <v>6855</v>
      </c>
      <c r="EG33" s="68"/>
      <c r="EH33" s="313" t="s">
        <v>6666</v>
      </c>
      <c r="EI33" s="67" t="s">
        <v>6666</v>
      </c>
      <c r="EJ33" s="68"/>
      <c r="EK33" s="68" t="s">
        <v>6856</v>
      </c>
      <c r="EL33" s="67" t="s">
        <v>6394</v>
      </c>
      <c r="EM33" s="68"/>
      <c r="EN33" s="111"/>
      <c r="EO33" s="111"/>
      <c r="EP33" s="111"/>
      <c r="EQ33" s="111"/>
      <c r="ER33" s="111"/>
      <c r="ES33" s="111"/>
      <c r="ET33" s="147" t="s">
        <v>6857</v>
      </c>
      <c r="EU33" s="67" t="s">
        <v>6801</v>
      </c>
      <c r="EV33" s="68"/>
      <c r="EW33" s="111"/>
      <c r="EX33" s="111"/>
      <c r="EY33" s="111"/>
      <c r="EZ33" s="76" t="s">
        <v>6641</v>
      </c>
      <c r="FA33" s="78" t="s">
        <v>6858</v>
      </c>
      <c r="FB33" s="77"/>
      <c r="FC33" s="68" t="s">
        <v>6859</v>
      </c>
      <c r="FD33" s="324" t="s">
        <v>6860</v>
      </c>
      <c r="FE33" s="77"/>
      <c r="FF33" s="147" t="s">
        <v>6751</v>
      </c>
      <c r="FG33" s="324" t="s">
        <v>6402</v>
      </c>
      <c r="FH33" s="68"/>
      <c r="FI33" s="111"/>
      <c r="FJ33" s="111"/>
      <c r="FK33" s="111"/>
      <c r="FL33" s="111"/>
      <c r="FM33" s="111"/>
      <c r="FN33" s="111"/>
      <c r="FO33" s="68" t="s">
        <v>6861</v>
      </c>
      <c r="FP33" s="68" t="s">
        <v>6862</v>
      </c>
      <c r="FQ33" s="68"/>
      <c r="FR33" s="68" t="s">
        <v>6407</v>
      </c>
      <c r="FS33" s="68"/>
      <c r="FT33" s="68" t="s">
        <v>6591</v>
      </c>
      <c r="FU33" s="68" t="s">
        <v>6863</v>
      </c>
      <c r="FV33" s="87" t="s">
        <v>6406</v>
      </c>
      <c r="FW33" s="77"/>
      <c r="FX33" s="143" t="s">
        <v>6864</v>
      </c>
      <c r="FY33" s="77" t="s">
        <v>6865</v>
      </c>
      <c r="FZ33" s="77"/>
      <c r="GA33" s="143" t="s">
        <v>6866</v>
      </c>
      <c r="GB33" s="87" t="s">
        <v>6867</v>
      </c>
      <c r="GC33" s="68"/>
      <c r="GD33" s="111"/>
      <c r="GE33" s="111"/>
      <c r="GF33" s="111"/>
      <c r="GG33" s="111"/>
      <c r="GH33" s="111"/>
      <c r="GI33" s="111"/>
      <c r="GJ33" s="152" t="s">
        <v>6596</v>
      </c>
      <c r="GK33" s="152" t="s">
        <v>6669</v>
      </c>
      <c r="GL33" s="68" t="s">
        <v>6868</v>
      </c>
      <c r="GM33" s="68" t="s">
        <v>6491</v>
      </c>
      <c r="GN33" s="87" t="s">
        <v>6337</v>
      </c>
      <c r="GO33" s="68"/>
      <c r="GP33" s="68" t="s">
        <v>6598</v>
      </c>
      <c r="GQ33" s="51" t="s">
        <v>6598</v>
      </c>
      <c r="GR33" s="77"/>
      <c r="GS33" s="330" t="s">
        <v>6686</v>
      </c>
      <c r="GT33" s="366" t="s">
        <v>6686</v>
      </c>
      <c r="GU33" s="1634"/>
      <c r="GV33" s="165" t="s">
        <v>6869</v>
      </c>
      <c r="GW33" s="359" t="s">
        <v>6660</v>
      </c>
      <c r="GX33" s="80"/>
      <c r="GY33" s="77" t="s">
        <v>6870</v>
      </c>
      <c r="GZ33" s="77" t="s">
        <v>6870</v>
      </c>
      <c r="HA33" s="77"/>
      <c r="HB33" s="111"/>
      <c r="HC33" s="111"/>
      <c r="HD33" s="111"/>
      <c r="HE33" s="330" t="s">
        <v>6763</v>
      </c>
      <c r="HF33" s="68" t="s">
        <v>6871</v>
      </c>
      <c r="HG33" s="384"/>
      <c r="HH33" s="344" t="s">
        <v>6705</v>
      </c>
      <c r="HI33" s="68" t="s">
        <v>6872</v>
      </c>
      <c r="HJ33" s="329"/>
      <c r="HK33" s="394" t="s">
        <v>6873</v>
      </c>
      <c r="HL33" s="318"/>
      <c r="HM33" s="77"/>
      <c r="HN33" s="344" t="s">
        <v>6671</v>
      </c>
      <c r="HO33" s="77" t="s">
        <v>6874</v>
      </c>
      <c r="HP33" s="77"/>
      <c r="HQ33" s="64" t="s">
        <v>6437</v>
      </c>
      <c r="HR33" s="77" t="s">
        <v>6875</v>
      </c>
      <c r="HS33" s="329"/>
      <c r="HT33" s="260"/>
      <c r="HU33" s="260"/>
      <c r="HV33" s="260"/>
      <c r="HW33" s="260"/>
      <c r="HX33" s="260"/>
      <c r="HY33" s="260"/>
      <c r="HZ33" s="404" t="s">
        <v>6769</v>
      </c>
      <c r="IA33" s="260" t="s">
        <v>6602</v>
      </c>
      <c r="IB33" s="274"/>
      <c r="IC33" s="197" t="s">
        <v>6876</v>
      </c>
      <c r="ID33" s="198" t="s">
        <v>6877</v>
      </c>
      <c r="IE33" s="268"/>
      <c r="IF33" s="197" t="s">
        <v>6538</v>
      </c>
      <c r="IG33" s="198"/>
      <c r="IH33" s="431"/>
      <c r="II33" s="197" t="s">
        <v>6434</v>
      </c>
      <c r="IJ33" s="199"/>
      <c r="IK33" s="431"/>
      <c r="IL33" s="201" t="s">
        <v>6544</v>
      </c>
      <c r="IM33" s="198"/>
      <c r="IN33" s="268"/>
      <c r="IO33" s="288"/>
      <c r="IP33" s="260"/>
      <c r="IQ33" s="296"/>
      <c r="IR33" s="288"/>
      <c r="IS33" s="260"/>
      <c r="IT33" s="296"/>
      <c r="IU33" s="201" t="s">
        <v>6841</v>
      </c>
      <c r="IV33" s="198" t="s">
        <v>6434</v>
      </c>
      <c r="IW33" s="470"/>
      <c r="IX33" s="432" t="s">
        <v>6842</v>
      </c>
      <c r="IY33" s="198"/>
      <c r="IZ33" s="470"/>
      <c r="JA33" s="197" t="s">
        <v>6878</v>
      </c>
      <c r="JB33" s="198" t="s">
        <v>6314</v>
      </c>
      <c r="JC33" s="431"/>
      <c r="JD33" s="197" t="s">
        <v>6776</v>
      </c>
      <c r="JE33" s="198" t="s">
        <v>6775</v>
      </c>
      <c r="JF33" s="431"/>
      <c r="JG33" s="234" t="s">
        <v>6879</v>
      </c>
      <c r="JH33" s="65" t="s">
        <v>6880</v>
      </c>
      <c r="JI33" s="268"/>
      <c r="JJ33" s="288"/>
      <c r="JK33" s="260"/>
      <c r="JL33" s="296"/>
      <c r="JM33" s="288"/>
      <c r="JN33" s="260"/>
      <c r="JO33" s="296"/>
      <c r="JP33" s="510" t="s">
        <v>6778</v>
      </c>
      <c r="JQ33" s="388"/>
      <c r="JR33" s="489"/>
      <c r="JS33" s="493" t="s">
        <v>6881</v>
      </c>
      <c r="JT33" s="491"/>
      <c r="JU33" s="534"/>
      <c r="JV33" s="492" t="s">
        <v>6713</v>
      </c>
      <c r="JW33" s="65" t="s">
        <v>6806</v>
      </c>
      <c r="JX33" s="77"/>
      <c r="JY33" s="492" t="s">
        <v>6713</v>
      </c>
      <c r="JZ33" s="65" t="s">
        <v>6713</v>
      </c>
      <c r="KA33" s="77"/>
      <c r="KB33" s="64" t="s">
        <v>6882</v>
      </c>
      <c r="KC33" s="65" t="s">
        <v>6883</v>
      </c>
      <c r="KD33" s="68"/>
      <c r="KE33" s="111"/>
      <c r="KF33" s="111"/>
      <c r="KG33" s="111"/>
      <c r="KH33" s="111"/>
      <c r="KI33" s="111"/>
      <c r="KJ33" s="111"/>
      <c r="KK33" s="152" t="s">
        <v>6455</v>
      </c>
      <c r="KL33" s="65" t="s">
        <v>6883</v>
      </c>
      <c r="KM33" s="503"/>
      <c r="KN33" s="544" t="s">
        <v>6465</v>
      </c>
      <c r="KO33" s="68" t="s">
        <v>6884</v>
      </c>
      <c r="KP33" s="503"/>
      <c r="KQ33" s="492" t="s">
        <v>6885</v>
      </c>
      <c r="KR33" s="65" t="s">
        <v>6885</v>
      </c>
      <c r="KS33" s="77"/>
      <c r="KT33" s="552" t="s">
        <v>6886</v>
      </c>
      <c r="KU33" s="547" t="s">
        <v>6621</v>
      </c>
      <c r="KV33" s="77"/>
      <c r="KW33" s="492" t="s">
        <v>6624</v>
      </c>
      <c r="KX33" s="547" t="s">
        <v>6463</v>
      </c>
      <c r="KY33" s="68"/>
      <c r="KZ33" s="111"/>
      <c r="LA33" s="111"/>
      <c r="LB33" s="111"/>
      <c r="LC33" s="111"/>
      <c r="LD33" s="111"/>
      <c r="LE33" s="111"/>
      <c r="LF33" s="529" t="s">
        <v>6887</v>
      </c>
      <c r="LG33" s="547" t="s">
        <v>6888</v>
      </c>
      <c r="LH33" s="503"/>
      <c r="LI33" s="529" t="s">
        <v>6889</v>
      </c>
      <c r="LJ33" s="547" t="s">
        <v>6890</v>
      </c>
      <c r="LK33" s="503"/>
      <c r="LL33" s="148" t="s">
        <v>6626</v>
      </c>
      <c r="LM33" s="525"/>
      <c r="LN33" s="77"/>
      <c r="LO33" s="148" t="s">
        <v>6466</v>
      </c>
      <c r="LP33" s="87"/>
      <c r="LQ33" s="77"/>
      <c r="LR33" s="148" t="s">
        <v>6456</v>
      </c>
      <c r="LS33" s="87"/>
      <c r="LT33" s="68"/>
      <c r="LU33" s="111"/>
      <c r="LV33" s="111"/>
      <c r="LW33" s="111"/>
      <c r="LX33" s="111"/>
      <c r="LY33" s="111"/>
      <c r="LZ33" s="111"/>
      <c r="MA33" s="148" t="s">
        <v>6891</v>
      </c>
      <c r="MB33" s="503"/>
      <c r="MC33" s="503"/>
      <c r="ME33" s="68" t="s">
        <v>6892</v>
      </c>
      <c r="MF33" s="65" t="s">
        <v>6893</v>
      </c>
      <c r="MG33" s="503"/>
      <c r="MH33" s="329" t="s">
        <v>6631</v>
      </c>
      <c r="MI33" s="146" t="s">
        <v>6631</v>
      </c>
      <c r="MJ33" s="318"/>
      <c r="MK33" s="68" t="s">
        <v>6472</v>
      </c>
      <c r="ML33" s="65" t="s">
        <v>6636</v>
      </c>
      <c r="MM33" s="513"/>
      <c r="MN33" s="147" t="s">
        <v>6636</v>
      </c>
      <c r="MO33" s="65"/>
      <c r="MP33" s="65"/>
      <c r="MQ33" s="143" t="s">
        <v>6894</v>
      </c>
      <c r="MR33" s="146" t="s">
        <v>6895</v>
      </c>
      <c r="MS33" s="68"/>
      <c r="MT33" s="111"/>
      <c r="MU33" s="111"/>
      <c r="MV33" s="111"/>
      <c r="MW33" s="112"/>
      <c r="MX33" s="112"/>
      <c r="MY33" s="200"/>
      <c r="MZ33" s="234" t="s">
        <v>6789</v>
      </c>
      <c r="NA33" s="454" t="s">
        <v>6478</v>
      </c>
      <c r="NB33" s="470"/>
      <c r="NC33" s="359" t="s">
        <v>6717</v>
      </c>
      <c r="ND33" s="293" t="s">
        <v>6647</v>
      </c>
      <c r="NE33" s="87"/>
      <c r="NF33" s="513"/>
      <c r="NG33" s="513"/>
      <c r="NH33" s="513"/>
      <c r="NI33" s="513"/>
      <c r="NJ33" s="513"/>
      <c r="NK33" s="65"/>
      <c r="NL33" s="513"/>
      <c r="NM33" s="68" t="s">
        <v>6637</v>
      </c>
      <c r="NN33" s="68"/>
      <c r="NO33" s="111"/>
      <c r="NP33" s="111"/>
      <c r="NQ33" s="111"/>
      <c r="NR33" s="112"/>
      <c r="NS33" s="112"/>
      <c r="NT33" s="111"/>
      <c r="NU33" s="513"/>
      <c r="NV33" s="513"/>
      <c r="NW33" s="503"/>
    </row>
    <row r="34" spans="1:387" ht="14.4">
      <c r="A34" s="1638"/>
      <c r="B34" s="1646"/>
      <c r="C34" s="1656"/>
      <c r="D34" s="70"/>
      <c r="E34" s="69"/>
      <c r="F34" s="70"/>
      <c r="G34" s="65"/>
      <c r="H34" s="69"/>
      <c r="I34" s="70"/>
      <c r="J34" s="111"/>
      <c r="K34" s="124"/>
      <c r="L34" s="128"/>
      <c r="M34" s="110"/>
      <c r="N34" s="110"/>
      <c r="O34" s="110"/>
      <c r="P34" s="87"/>
      <c r="Q34" s="70"/>
      <c r="R34" s="70"/>
      <c r="S34" s="87"/>
      <c r="T34" s="66" t="s">
        <v>6320</v>
      </c>
      <c r="U34" s="70"/>
      <c r="V34" s="87"/>
      <c r="W34" s="70"/>
      <c r="X34" s="70"/>
      <c r="Y34" s="87"/>
      <c r="Z34" s="70"/>
      <c r="AA34" s="70"/>
      <c r="AB34" s="87"/>
      <c r="AC34" s="70"/>
      <c r="AD34" s="70"/>
      <c r="AE34" s="110"/>
      <c r="AF34" s="110"/>
      <c r="AG34" s="110"/>
      <c r="AH34" s="110"/>
      <c r="AI34" s="110"/>
      <c r="AJ34" s="110"/>
      <c r="AK34" s="70"/>
      <c r="AL34" s="70"/>
      <c r="AM34" s="70"/>
      <c r="AN34" s="87"/>
      <c r="AO34" s="154"/>
      <c r="AP34" s="70"/>
      <c r="AQ34" s="87"/>
      <c r="AR34" s="70"/>
      <c r="AS34" s="70"/>
      <c r="AT34" s="87"/>
      <c r="AU34" s="70"/>
      <c r="AV34" s="70"/>
      <c r="AW34" s="87"/>
      <c r="AX34" s="70"/>
      <c r="AY34" s="70"/>
      <c r="AZ34" s="110"/>
      <c r="BA34" s="110"/>
      <c r="BB34" s="110"/>
      <c r="BC34" s="110"/>
      <c r="BD34" s="110"/>
      <c r="BE34" s="110"/>
      <c r="BF34" s="70"/>
      <c r="BG34" s="66" t="s">
        <v>6318</v>
      </c>
      <c r="BH34" s="70"/>
      <c r="BI34" s="181"/>
      <c r="BJ34" s="177"/>
      <c r="BK34" s="177"/>
      <c r="BL34" s="87"/>
      <c r="BM34" s="70" t="s">
        <v>6332</v>
      </c>
      <c r="BN34" s="70"/>
      <c r="BO34" s="70"/>
      <c r="BP34" s="87"/>
      <c r="BQ34" s="70"/>
      <c r="BR34" s="70"/>
      <c r="BS34" s="70"/>
      <c r="BT34" s="87"/>
      <c r="BU34" s="70"/>
      <c r="BV34" s="70"/>
      <c r="BW34" s="70"/>
      <c r="BX34" s="110"/>
      <c r="BY34" s="110"/>
      <c r="BZ34" s="110"/>
      <c r="CA34" s="110"/>
      <c r="CB34" s="110"/>
      <c r="CC34" s="128"/>
      <c r="CD34" s="198"/>
      <c r="CE34" s="198"/>
      <c r="CF34" s="198"/>
      <c r="CG34" s="220"/>
      <c r="CH34" s="89"/>
      <c r="CI34" s="226" t="s">
        <v>6896</v>
      </c>
      <c r="CJ34" s="198"/>
      <c r="CK34" s="220"/>
      <c r="CL34" s="201"/>
      <c r="CM34" s="198"/>
      <c r="CN34" s="198"/>
      <c r="CO34" s="198"/>
      <c r="CP34" s="198"/>
      <c r="CQ34" s="198"/>
      <c r="CR34" s="198"/>
      <c r="CS34" s="198"/>
      <c r="CT34" s="198"/>
      <c r="CU34" s="198"/>
      <c r="CV34" s="220"/>
      <c r="CW34" s="260"/>
      <c r="CX34" s="260"/>
      <c r="CY34" s="260"/>
      <c r="CZ34" s="260"/>
      <c r="DA34" s="260"/>
      <c r="DB34" s="260"/>
      <c r="DC34" s="69"/>
      <c r="DD34" s="70"/>
      <c r="DE34" s="70"/>
      <c r="DF34" s="87"/>
      <c r="DG34" s="70"/>
      <c r="DH34" s="70"/>
      <c r="DI34" s="319"/>
      <c r="DJ34" s="318"/>
      <c r="DK34" s="70"/>
      <c r="DL34" s="70"/>
      <c r="DM34" s="87"/>
      <c r="DN34" s="70"/>
      <c r="DO34" s="70"/>
      <c r="DP34" s="87"/>
      <c r="DQ34" s="70"/>
      <c r="DR34" s="70"/>
      <c r="DS34" s="110"/>
      <c r="DT34" s="110"/>
      <c r="DU34" s="110"/>
      <c r="DV34" s="110"/>
      <c r="DW34" s="110"/>
      <c r="DX34" s="110"/>
      <c r="DY34" s="65" t="s">
        <v>6897</v>
      </c>
      <c r="DZ34" s="66" t="s">
        <v>6898</v>
      </c>
      <c r="EA34" s="70"/>
      <c r="EB34" s="110"/>
      <c r="EC34" s="110"/>
      <c r="ED34" s="110"/>
      <c r="EE34" s="87"/>
      <c r="EF34" s="70"/>
      <c r="EG34" s="70"/>
      <c r="EH34" s="313" t="s">
        <v>6330</v>
      </c>
      <c r="EI34" s="66" t="s">
        <v>6330</v>
      </c>
      <c r="EJ34" s="70"/>
      <c r="EK34" s="87"/>
      <c r="EL34" s="66" t="s">
        <v>6312</v>
      </c>
      <c r="EM34" s="70"/>
      <c r="EN34" s="110"/>
      <c r="EO34" s="110"/>
      <c r="EP34" s="110"/>
      <c r="EQ34" s="110"/>
      <c r="ER34" s="110"/>
      <c r="ES34" s="110"/>
      <c r="ET34" s="64"/>
      <c r="EU34" s="343" t="s">
        <v>6587</v>
      </c>
      <c r="EV34" s="70"/>
      <c r="EW34" s="110"/>
      <c r="EX34" s="110"/>
      <c r="EY34" s="110"/>
      <c r="EZ34" s="87"/>
      <c r="FA34" s="87"/>
      <c r="FB34" s="87"/>
      <c r="FC34" s="152"/>
      <c r="FD34" s="87"/>
      <c r="FE34" s="87"/>
      <c r="FF34" s="87"/>
      <c r="FG34" s="87"/>
      <c r="FH34" s="70"/>
      <c r="FI34" s="110"/>
      <c r="FJ34" s="110"/>
      <c r="FK34" s="110"/>
      <c r="FL34" s="110"/>
      <c r="FM34" s="110"/>
      <c r="FN34" s="110"/>
      <c r="FO34" s="70"/>
      <c r="FP34" s="70" t="s">
        <v>6899</v>
      </c>
      <c r="FQ34" s="70"/>
      <c r="FR34" s="64"/>
      <c r="FS34" s="70"/>
      <c r="FT34" s="70" t="s">
        <v>6318</v>
      </c>
      <c r="FU34" s="143" t="s">
        <v>6900</v>
      </c>
      <c r="FV34" s="87" t="s">
        <v>6699</v>
      </c>
      <c r="FW34" s="87"/>
      <c r="FX34" s="64" t="s">
        <v>6318</v>
      </c>
      <c r="FY34" s="87"/>
      <c r="FZ34" s="87"/>
      <c r="GA34" s="87"/>
      <c r="GB34" s="87"/>
      <c r="GC34" s="70"/>
      <c r="GD34" s="110"/>
      <c r="GE34" s="110"/>
      <c r="GF34" s="110"/>
      <c r="GG34" s="110"/>
      <c r="GH34" s="110"/>
      <c r="GI34" s="110"/>
      <c r="GJ34" s="70"/>
      <c r="GK34" s="70"/>
      <c r="GL34" s="70"/>
      <c r="GM34" s="64"/>
      <c r="GN34" s="87" t="s">
        <v>6415</v>
      </c>
      <c r="GO34" s="70"/>
      <c r="GP34" s="143"/>
      <c r="GR34" s="87"/>
      <c r="GS34" s="330" t="s">
        <v>6763</v>
      </c>
      <c r="GT34" s="318" t="s">
        <v>6763</v>
      </c>
      <c r="GU34" s="1634"/>
      <c r="GV34" s="379"/>
      <c r="GW34" s="359" t="s">
        <v>6691</v>
      </c>
      <c r="GX34" s="69"/>
      <c r="GY34" s="70" t="s">
        <v>6318</v>
      </c>
      <c r="GZ34" s="87"/>
      <c r="HA34" s="87"/>
      <c r="HB34" s="110"/>
      <c r="HC34" s="110"/>
      <c r="HD34" s="110"/>
      <c r="HE34" s="147" t="s">
        <v>6901</v>
      </c>
      <c r="HF34" s="70"/>
      <c r="HG34" s="70"/>
      <c r="HH34" s="64"/>
      <c r="HI34" s="64" t="s">
        <v>6902</v>
      </c>
      <c r="HJ34" s="218"/>
      <c r="HK34" s="359"/>
      <c r="HL34" s="318"/>
      <c r="HM34" s="87"/>
      <c r="HN34" s="64"/>
      <c r="HO34" s="87" t="s">
        <v>6903</v>
      </c>
      <c r="HP34" s="87"/>
      <c r="HQ34" s="87"/>
      <c r="HR34" s="87" t="s">
        <v>6326</v>
      </c>
      <c r="HS34" s="218"/>
      <c r="HT34" s="260"/>
      <c r="HU34" s="260"/>
      <c r="HV34" s="260"/>
      <c r="HW34" s="260"/>
      <c r="HX34" s="260"/>
      <c r="HY34" s="260"/>
      <c r="HZ34" s="404"/>
      <c r="IA34" s="260"/>
      <c r="IB34" s="274"/>
      <c r="IC34" s="197" t="s">
        <v>6318</v>
      </c>
      <c r="ID34" s="198"/>
      <c r="IE34" s="268"/>
      <c r="IF34" s="197"/>
      <c r="IG34" s="199"/>
      <c r="IH34" s="431"/>
      <c r="II34" s="234" t="s">
        <v>6424</v>
      </c>
      <c r="IJ34" s="199"/>
      <c r="IK34" s="431"/>
      <c r="IL34" s="201"/>
      <c r="IM34" s="199"/>
      <c r="IN34" s="268"/>
      <c r="IO34" s="288"/>
      <c r="IP34" s="260"/>
      <c r="IQ34" s="296"/>
      <c r="IR34" s="288"/>
      <c r="IS34" s="260"/>
      <c r="IT34" s="296"/>
      <c r="IU34" s="432"/>
      <c r="IV34" s="454" t="s">
        <v>6771</v>
      </c>
      <c r="IW34" s="470"/>
      <c r="IX34" s="197" t="s">
        <v>6314</v>
      </c>
      <c r="IY34" s="198"/>
      <c r="IZ34" s="470"/>
      <c r="JA34" s="197"/>
      <c r="JB34" s="198" t="s">
        <v>6653</v>
      </c>
      <c r="JC34" s="431"/>
      <c r="JD34" s="432" t="s">
        <v>6318</v>
      </c>
      <c r="JE34" s="199"/>
      <c r="JF34" s="431"/>
      <c r="JG34" s="201"/>
      <c r="JH34" s="70"/>
      <c r="JI34" s="268"/>
      <c r="JJ34" s="288"/>
      <c r="JK34" s="260"/>
      <c r="JL34" s="296"/>
      <c r="JM34" s="288"/>
      <c r="JN34" s="260"/>
      <c r="JO34" s="296"/>
      <c r="JP34" s="513"/>
      <c r="JQ34" s="388"/>
      <c r="JR34" s="489"/>
      <c r="JS34" s="400"/>
      <c r="JT34" s="491"/>
      <c r="JU34" s="535"/>
      <c r="JV34" s="147"/>
      <c r="JW34" s="70"/>
      <c r="JX34" s="87"/>
      <c r="JY34" s="525" t="s">
        <v>6317</v>
      </c>
      <c r="JZ34" s="87" t="s">
        <v>6317</v>
      </c>
      <c r="KA34" s="87"/>
      <c r="KB34" s="532" t="s">
        <v>6530</v>
      </c>
      <c r="KC34" s="87"/>
      <c r="KD34" s="70"/>
      <c r="KE34" s="110"/>
      <c r="KF34" s="110"/>
      <c r="KG34" s="110"/>
      <c r="KH34" s="110"/>
      <c r="KI34" s="110"/>
      <c r="KJ34" s="110"/>
      <c r="KK34" s="496" t="s">
        <v>6500</v>
      </c>
      <c r="KL34" s="70" t="s">
        <v>6500</v>
      </c>
      <c r="KM34" s="513"/>
      <c r="KN34" s="513"/>
      <c r="KO34" s="70" t="s">
        <v>6904</v>
      </c>
      <c r="KP34" s="513"/>
      <c r="KQ34" s="545" t="s">
        <v>6905</v>
      </c>
      <c r="KR34" s="70" t="s">
        <v>6906</v>
      </c>
      <c r="KS34" s="87"/>
      <c r="KT34" s="359"/>
      <c r="KU34" s="318"/>
      <c r="KV34" s="87"/>
      <c r="KW34" s="532" t="s">
        <v>6530</v>
      </c>
      <c r="KX34" s="87"/>
      <c r="KY34" s="70"/>
      <c r="KZ34" s="110"/>
      <c r="LA34" s="110"/>
      <c r="LB34" s="110"/>
      <c r="LC34" s="110"/>
      <c r="LD34" s="110"/>
      <c r="LE34" s="110"/>
      <c r="LF34" s="513"/>
      <c r="LG34" s="513"/>
      <c r="LH34" s="513"/>
      <c r="LI34" s="513"/>
      <c r="LJ34" s="513"/>
      <c r="LK34" s="513"/>
      <c r="LL34" s="87"/>
      <c r="LM34" s="70"/>
      <c r="LN34" s="87"/>
      <c r="LO34" s="513"/>
      <c r="LP34" s="87"/>
      <c r="LQ34" s="87"/>
      <c r="LR34" s="532" t="s">
        <v>6530</v>
      </c>
      <c r="LS34" s="87"/>
      <c r="LT34" s="70"/>
      <c r="LU34" s="110"/>
      <c r="LV34" s="110"/>
      <c r="LW34" s="110"/>
      <c r="LX34" s="110"/>
      <c r="LY34" s="110"/>
      <c r="LZ34" s="110"/>
      <c r="MA34" s="513"/>
      <c r="MB34" s="513"/>
      <c r="MC34" s="513"/>
      <c r="ME34" s="68"/>
      <c r="MF34" s="70"/>
      <c r="MG34" s="513"/>
      <c r="MH34" s="218"/>
      <c r="MI34" s="146"/>
      <c r="MJ34" s="69"/>
      <c r="MK34" s="143" t="s">
        <v>6502</v>
      </c>
      <c r="ML34" s="87" t="s">
        <v>1783</v>
      </c>
      <c r="MM34" s="513"/>
      <c r="MN34" s="77" t="s">
        <v>6812</v>
      </c>
      <c r="MO34" s="65"/>
      <c r="MP34" s="70"/>
      <c r="MQ34" s="68"/>
      <c r="MR34" s="70"/>
      <c r="MS34" s="70"/>
      <c r="MT34" s="110"/>
      <c r="MU34" s="110"/>
      <c r="MV34" s="110"/>
      <c r="MW34" s="110"/>
      <c r="MX34" s="110"/>
      <c r="MY34" s="128"/>
      <c r="MZ34" s="432"/>
      <c r="NA34" s="454" t="s">
        <v>6318</v>
      </c>
      <c r="NB34" s="470"/>
      <c r="NC34" s="588" t="s">
        <v>6636</v>
      </c>
      <c r="ND34" s="297"/>
      <c r="NE34" s="70"/>
      <c r="NF34" s="513"/>
      <c r="NG34" s="513"/>
      <c r="NH34" s="513"/>
      <c r="NI34" s="513"/>
      <c r="NJ34" s="513"/>
      <c r="NK34" s="70"/>
      <c r="NL34" s="513"/>
      <c r="NM34" s="70"/>
      <c r="NN34" s="70"/>
      <c r="NO34" s="110"/>
      <c r="NP34" s="110"/>
      <c r="NQ34" s="110"/>
      <c r="NR34" s="110"/>
      <c r="NS34" s="110"/>
      <c r="NT34" s="110"/>
      <c r="NU34" s="513"/>
      <c r="NV34" s="513"/>
      <c r="NW34" s="513"/>
    </row>
    <row r="35" spans="1:387" ht="14.4">
      <c r="A35" s="1639"/>
      <c r="B35" s="1647"/>
      <c r="C35" s="1657"/>
      <c r="D35" s="91"/>
      <c r="E35" s="72"/>
      <c r="F35" s="73"/>
      <c r="G35" s="97"/>
      <c r="H35" s="72"/>
      <c r="I35" s="73"/>
      <c r="J35" s="129"/>
      <c r="K35" s="125"/>
      <c r="L35" s="130"/>
      <c r="M35" s="114"/>
      <c r="N35" s="114"/>
      <c r="O35" s="114"/>
      <c r="P35" s="73"/>
      <c r="Q35" s="73"/>
      <c r="R35" s="73"/>
      <c r="S35" s="73"/>
      <c r="T35" s="144" t="s">
        <v>6817</v>
      </c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114"/>
      <c r="AF35" s="114"/>
      <c r="AG35" s="114"/>
      <c r="AH35" s="114"/>
      <c r="AI35" s="114"/>
      <c r="AJ35" s="114"/>
      <c r="AK35" s="73"/>
      <c r="AL35" s="73"/>
      <c r="AM35" s="73"/>
      <c r="AN35" s="73"/>
      <c r="AO35" s="155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114"/>
      <c r="BA35" s="114"/>
      <c r="BB35" s="114"/>
      <c r="BC35" s="114"/>
      <c r="BD35" s="114"/>
      <c r="BE35" s="114"/>
      <c r="BF35" s="73"/>
      <c r="BG35" s="144" t="s">
        <v>6907</v>
      </c>
      <c r="BH35" s="73"/>
      <c r="BI35" s="180"/>
      <c r="BJ35" s="180"/>
      <c r="BK35" s="180"/>
      <c r="BL35" s="73"/>
      <c r="BM35" s="73" t="s">
        <v>6734</v>
      </c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114"/>
      <c r="BY35" s="114"/>
      <c r="BZ35" s="114"/>
      <c r="CA35" s="114"/>
      <c r="CB35" s="114"/>
      <c r="CC35" s="114"/>
      <c r="CD35" s="97" t="s">
        <v>6331</v>
      </c>
      <c r="CE35" s="97"/>
      <c r="CF35" s="97"/>
      <c r="CG35" s="227" t="s">
        <v>6331</v>
      </c>
      <c r="CH35" s="205"/>
      <c r="CI35" s="228"/>
      <c r="CJ35" s="97"/>
      <c r="CK35" s="227" t="s">
        <v>6331</v>
      </c>
      <c r="CL35" s="250"/>
      <c r="CM35" s="97"/>
      <c r="CN35" s="97"/>
      <c r="CO35" s="97" t="s">
        <v>6331</v>
      </c>
      <c r="CP35" s="97"/>
      <c r="CQ35" s="97"/>
      <c r="CR35" s="97"/>
      <c r="CS35" s="97" t="s">
        <v>6331</v>
      </c>
      <c r="CT35" s="97"/>
      <c r="CU35" s="97"/>
      <c r="CV35" s="227"/>
      <c r="CW35" s="271"/>
      <c r="CX35" s="271"/>
      <c r="CY35" s="271"/>
      <c r="CZ35" s="271"/>
      <c r="DA35" s="271"/>
      <c r="DB35" s="271"/>
      <c r="DC35" s="72"/>
      <c r="DD35" s="73"/>
      <c r="DE35" s="73"/>
      <c r="DF35" s="73"/>
      <c r="DG35" s="73"/>
      <c r="DH35" s="73"/>
      <c r="DI35" s="320"/>
      <c r="DJ35" s="72"/>
      <c r="DK35" s="73"/>
      <c r="DL35" s="73"/>
      <c r="DM35" s="73"/>
      <c r="DN35" s="73"/>
      <c r="DO35" s="73"/>
      <c r="DP35" s="73"/>
      <c r="DQ35" s="73"/>
      <c r="DR35" s="73"/>
      <c r="DS35" s="114"/>
      <c r="DT35" s="114"/>
      <c r="DU35" s="114"/>
      <c r="DV35" s="114"/>
      <c r="DW35" s="114"/>
      <c r="DX35" s="114"/>
      <c r="DY35" s="73"/>
      <c r="DZ35" s="73"/>
      <c r="EA35" s="73"/>
      <c r="EB35" s="114"/>
      <c r="EC35" s="114"/>
      <c r="ED35" s="114"/>
      <c r="EE35" s="73"/>
      <c r="EF35" s="73"/>
      <c r="EG35" s="73"/>
      <c r="EH35" s="73"/>
      <c r="EI35" s="73"/>
      <c r="EJ35" s="73"/>
      <c r="EK35" s="73"/>
      <c r="EL35" s="144" t="s">
        <v>6516</v>
      </c>
      <c r="EM35" s="73"/>
      <c r="EN35" s="114"/>
      <c r="EO35" s="114"/>
      <c r="EP35" s="114"/>
      <c r="EQ35" s="114"/>
      <c r="ER35" s="114"/>
      <c r="ES35" s="114"/>
      <c r="ET35" s="92"/>
      <c r="EU35" s="73"/>
      <c r="EV35" s="73"/>
      <c r="EW35" s="114"/>
      <c r="EX35" s="114"/>
      <c r="EY35" s="114"/>
      <c r="EZ35" s="92"/>
      <c r="FA35" s="92"/>
      <c r="FB35" s="92"/>
      <c r="FC35" s="92"/>
      <c r="FD35" s="92"/>
      <c r="FE35" s="92"/>
      <c r="FF35" s="92"/>
      <c r="FG35" s="92"/>
      <c r="FH35" s="73"/>
      <c r="FI35" s="114"/>
      <c r="FJ35" s="114"/>
      <c r="FK35" s="114"/>
      <c r="FL35" s="114"/>
      <c r="FM35" s="114"/>
      <c r="FN35" s="114"/>
      <c r="FO35" s="73"/>
      <c r="FP35" s="73"/>
      <c r="FQ35" s="73"/>
      <c r="FR35" s="73"/>
      <c r="FS35" s="73"/>
      <c r="FT35" s="73" t="s">
        <v>6820</v>
      </c>
      <c r="FU35" s="92"/>
      <c r="FV35" s="92" t="s">
        <v>6908</v>
      </c>
      <c r="FW35" s="92"/>
      <c r="FX35" s="103" t="s">
        <v>6900</v>
      </c>
      <c r="FY35" s="92"/>
      <c r="FZ35" s="92"/>
      <c r="GA35" s="92"/>
      <c r="GB35" s="92"/>
      <c r="GC35" s="73"/>
      <c r="GD35" s="114"/>
      <c r="GE35" s="114"/>
      <c r="GF35" s="114"/>
      <c r="GG35" s="114"/>
      <c r="GH35" s="114"/>
      <c r="GI35" s="114"/>
      <c r="GJ35" s="73"/>
      <c r="GK35" s="73"/>
      <c r="GL35" s="73"/>
      <c r="GM35" s="73"/>
      <c r="GN35" s="73"/>
      <c r="GO35" s="73"/>
      <c r="GP35" s="92"/>
      <c r="GQ35" s="92"/>
      <c r="GR35" s="92"/>
      <c r="GS35" s="361" t="s">
        <v>6415</v>
      </c>
      <c r="GT35" s="370"/>
      <c r="GU35" s="92"/>
      <c r="GV35" s="360"/>
      <c r="GW35" s="374" t="s">
        <v>6909</v>
      </c>
      <c r="GX35" s="72"/>
      <c r="GY35" s="92" t="s">
        <v>6838</v>
      </c>
      <c r="GZ35" s="92"/>
      <c r="HA35" s="92"/>
      <c r="HB35" s="114"/>
      <c r="HC35" s="114"/>
      <c r="HD35" s="114"/>
      <c r="HE35" s="73"/>
      <c r="HF35" s="73"/>
      <c r="HG35" s="73"/>
      <c r="HH35" s="73"/>
      <c r="HI35" s="73"/>
      <c r="HJ35" s="254"/>
      <c r="HK35" s="361"/>
      <c r="HL35" s="370"/>
      <c r="HM35" s="92"/>
      <c r="HN35" s="103"/>
      <c r="HO35" s="92"/>
      <c r="HP35" s="92"/>
      <c r="HQ35" s="92"/>
      <c r="HR35" s="92" t="s">
        <v>6605</v>
      </c>
      <c r="HS35" s="254"/>
      <c r="HT35" s="271"/>
      <c r="HU35" s="271"/>
      <c r="HV35" s="271"/>
      <c r="HW35" s="271"/>
      <c r="HX35" s="271"/>
      <c r="HY35" s="271"/>
      <c r="HZ35" s="271"/>
      <c r="IA35" s="271"/>
      <c r="IB35" s="262"/>
      <c r="IC35" s="204" t="s">
        <v>6521</v>
      </c>
      <c r="ID35" s="205" t="s">
        <v>6591</v>
      </c>
      <c r="IE35" s="269"/>
      <c r="IF35" s="412"/>
      <c r="IG35" s="436"/>
      <c r="IH35" s="437"/>
      <c r="II35" s="445"/>
      <c r="IJ35" s="436"/>
      <c r="IK35" s="437"/>
      <c r="IL35" s="412"/>
      <c r="IM35" s="436"/>
      <c r="IN35" s="269"/>
      <c r="IO35" s="289"/>
      <c r="IP35" s="271"/>
      <c r="IQ35" s="298"/>
      <c r="IR35" s="289"/>
      <c r="IS35" s="271"/>
      <c r="IT35" s="298"/>
      <c r="IU35" s="455"/>
      <c r="IV35" s="456"/>
      <c r="IW35" s="471"/>
      <c r="IX35" s="412" t="s">
        <v>6652</v>
      </c>
      <c r="IY35" s="205"/>
      <c r="IZ35" s="471"/>
      <c r="JA35" s="204"/>
      <c r="JB35" s="205"/>
      <c r="JC35" s="437"/>
      <c r="JD35" s="412" t="s">
        <v>6776</v>
      </c>
      <c r="JE35" s="205"/>
      <c r="JF35" s="437"/>
      <c r="JG35" s="412"/>
      <c r="JH35" s="229"/>
      <c r="JI35" s="269"/>
      <c r="JJ35" s="289"/>
      <c r="JK35" s="271"/>
      <c r="JL35" s="298"/>
      <c r="JM35" s="289"/>
      <c r="JN35" s="271"/>
      <c r="JO35" s="298"/>
      <c r="JP35" s="497"/>
      <c r="JQ35" s="498"/>
      <c r="JR35" s="499"/>
      <c r="JS35" s="516"/>
      <c r="JT35" s="501"/>
      <c r="JU35" s="539"/>
      <c r="JV35" s="229"/>
      <c r="JW35" s="229"/>
      <c r="JX35" s="367"/>
      <c r="JY35" s="64" t="s">
        <v>6910</v>
      </c>
      <c r="JZ35" s="65" t="s">
        <v>6911</v>
      </c>
      <c r="KA35" s="367"/>
      <c r="KB35" s="367"/>
      <c r="KC35" s="367"/>
      <c r="KD35" s="229"/>
      <c r="KE35" s="338"/>
      <c r="KF35" s="338"/>
      <c r="KG35" s="338"/>
      <c r="KH35" s="338"/>
      <c r="KI35" s="338"/>
      <c r="KJ35" s="338"/>
      <c r="KK35" s="497"/>
      <c r="KL35" s="229"/>
      <c r="KM35" s="497"/>
      <c r="KN35" s="87"/>
      <c r="KO35" s="229"/>
      <c r="KP35" s="497"/>
      <c r="KQ35" s="229"/>
      <c r="KR35" s="229"/>
      <c r="KS35" s="367"/>
      <c r="KT35" s="361"/>
      <c r="KU35" s="318"/>
      <c r="KV35" s="367"/>
      <c r="KW35" s="367"/>
      <c r="KX35" s="367"/>
      <c r="KY35" s="229"/>
      <c r="KZ35" s="338"/>
      <c r="LA35" s="338"/>
      <c r="LB35" s="338"/>
      <c r="LC35" s="338"/>
      <c r="LD35" s="338"/>
      <c r="LE35" s="338"/>
      <c r="LF35" s="497"/>
      <c r="LG35" s="497"/>
      <c r="LH35" s="497"/>
      <c r="LI35" s="87"/>
      <c r="LJ35" s="497"/>
      <c r="LK35" s="497"/>
      <c r="LL35" s="229"/>
      <c r="LM35" s="229"/>
      <c r="LN35" s="367"/>
      <c r="LO35" s="87"/>
      <c r="LP35" s="87"/>
      <c r="LQ35" s="367"/>
      <c r="LR35" s="367"/>
      <c r="LS35" s="367"/>
      <c r="LT35" s="229"/>
      <c r="LU35" s="338"/>
      <c r="LV35" s="338"/>
      <c r="LW35" s="338"/>
      <c r="LX35" s="338"/>
      <c r="LY35" s="338"/>
      <c r="LZ35" s="338"/>
      <c r="MA35" s="497"/>
      <c r="MB35" s="497"/>
      <c r="MC35" s="497"/>
      <c r="MD35" s="543"/>
      <c r="ME35" s="497"/>
      <c r="MF35" s="229"/>
      <c r="MG35" s="497"/>
      <c r="MH35" s="573"/>
      <c r="MI35" s="368"/>
      <c r="MJ35" s="571"/>
      <c r="MK35" s="70"/>
      <c r="ML35" s="70"/>
      <c r="MM35" s="87"/>
      <c r="MN35" s="229"/>
      <c r="MO35" s="229"/>
      <c r="MP35" s="229"/>
      <c r="MQ35" s="68"/>
      <c r="MR35" s="68"/>
      <c r="MS35" s="229"/>
      <c r="MT35" s="338"/>
      <c r="MU35" s="338"/>
      <c r="MV35" s="338"/>
      <c r="MW35" s="338"/>
      <c r="MX35" s="338"/>
      <c r="MY35" s="578"/>
      <c r="MZ35" s="455"/>
      <c r="NA35" s="456" t="s">
        <v>6478</v>
      </c>
      <c r="NB35" s="471"/>
      <c r="NC35" s="361" t="s">
        <v>6912</v>
      </c>
      <c r="ND35" s="297"/>
      <c r="NE35" s="367"/>
      <c r="NF35" s="70"/>
      <c r="NG35" s="70"/>
      <c r="NH35" s="87"/>
      <c r="NI35" s="229"/>
      <c r="NJ35" s="229"/>
      <c r="NK35" s="229"/>
      <c r="NL35" s="229"/>
      <c r="NM35" s="68"/>
      <c r="NN35" s="229"/>
      <c r="NO35" s="338"/>
      <c r="NP35" s="338"/>
      <c r="NQ35" s="338"/>
      <c r="NR35" s="338"/>
      <c r="NS35" s="338"/>
      <c r="NT35" s="338"/>
      <c r="NU35" s="497"/>
      <c r="NV35" s="497"/>
      <c r="NW35" s="497"/>
    </row>
    <row r="36" spans="1:387" ht="14.4">
      <c r="A36" s="1637"/>
      <c r="B36" s="1645"/>
      <c r="C36" s="1655" t="s">
        <v>6677</v>
      </c>
      <c r="D36" s="61"/>
      <c r="E36" s="61"/>
      <c r="F36" s="61"/>
      <c r="G36" s="61"/>
      <c r="H36" s="61"/>
      <c r="I36" s="61"/>
      <c r="J36" s="108"/>
      <c r="K36" s="108"/>
      <c r="L36" s="108"/>
      <c r="M36" s="108"/>
      <c r="N36" s="108"/>
      <c r="O36" s="108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108"/>
      <c r="AF36" s="108"/>
      <c r="AG36" s="108"/>
      <c r="AH36" s="108"/>
      <c r="AI36" s="108"/>
      <c r="AJ36" s="108"/>
      <c r="AK36" s="61"/>
      <c r="AL36" s="61"/>
      <c r="AM36" s="61"/>
      <c r="AN36" s="61"/>
      <c r="AO36" s="150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108"/>
      <c r="BA36" s="108"/>
      <c r="BB36" s="108"/>
      <c r="BC36" s="108"/>
      <c r="BD36" s="108"/>
      <c r="BE36" s="108"/>
      <c r="BF36" s="61"/>
      <c r="BG36" s="61"/>
      <c r="BH36" s="61"/>
      <c r="BI36" s="173"/>
      <c r="BJ36" s="173"/>
      <c r="BK36" s="173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108"/>
      <c r="BY36" s="108"/>
      <c r="BZ36" s="108"/>
      <c r="CA36" s="108"/>
      <c r="CB36" s="108"/>
      <c r="CC36" s="108"/>
      <c r="CD36" s="61"/>
      <c r="CE36" s="61"/>
      <c r="CF36" s="61"/>
      <c r="CG36" s="61"/>
      <c r="CH36" s="61"/>
      <c r="CI36" s="61"/>
      <c r="CJ36" s="61"/>
      <c r="CK36" s="251"/>
      <c r="CL36" s="194"/>
      <c r="CM36" s="185"/>
      <c r="CN36" s="185"/>
      <c r="CO36" s="185"/>
      <c r="CP36" s="185"/>
      <c r="CQ36" s="185"/>
      <c r="CR36" s="185"/>
      <c r="CS36" s="185"/>
      <c r="CT36" s="185"/>
      <c r="CU36" s="185"/>
      <c r="CV36" s="185"/>
      <c r="CW36" s="265"/>
      <c r="CX36" s="265"/>
      <c r="CY36" s="265"/>
      <c r="CZ36" s="265"/>
      <c r="DA36" s="265"/>
      <c r="DB36" s="265"/>
      <c r="DC36" s="185"/>
      <c r="DD36" s="185"/>
      <c r="DE36" s="185"/>
      <c r="DF36" s="185"/>
      <c r="DG36" s="257"/>
      <c r="DH36" s="59"/>
      <c r="DI36" s="185"/>
      <c r="DJ36" s="61"/>
      <c r="DK36" s="61"/>
      <c r="DL36" s="61"/>
      <c r="DM36" s="61"/>
      <c r="DN36" s="61"/>
      <c r="DO36" s="61"/>
      <c r="DP36" s="61"/>
      <c r="DQ36" s="61"/>
      <c r="DR36" s="61"/>
      <c r="DS36" s="108"/>
      <c r="DT36" s="108"/>
      <c r="DU36" s="108"/>
      <c r="DV36" s="108"/>
      <c r="DW36" s="108"/>
      <c r="DX36" s="108"/>
      <c r="DY36" s="61"/>
      <c r="DZ36" s="61"/>
      <c r="EA36" s="61"/>
      <c r="EB36" s="108"/>
      <c r="EC36" s="108"/>
      <c r="ED36" s="108"/>
      <c r="EE36" s="61"/>
      <c r="EF36" s="61"/>
      <c r="EG36" s="61"/>
      <c r="EH36" s="61"/>
      <c r="EI36" s="61"/>
      <c r="EJ36" s="61"/>
      <c r="EK36" s="61"/>
      <c r="EL36" s="61"/>
      <c r="EM36" s="61"/>
      <c r="EN36" s="108"/>
      <c r="EO36" s="108"/>
      <c r="EP36" s="108"/>
      <c r="EQ36" s="108"/>
      <c r="ER36" s="108"/>
      <c r="ES36" s="108"/>
      <c r="ET36" s="61"/>
      <c r="EU36" s="61"/>
      <c r="EV36" s="61"/>
      <c r="EW36" s="108"/>
      <c r="EX36" s="108"/>
      <c r="EY36" s="108"/>
      <c r="EZ36" s="211"/>
      <c r="FA36" s="211"/>
      <c r="FB36" s="211"/>
      <c r="FC36" s="211"/>
      <c r="FD36" s="211"/>
      <c r="FE36" s="211"/>
      <c r="FF36" s="211"/>
      <c r="FG36" s="211"/>
      <c r="FH36" s="61"/>
      <c r="FI36" s="108"/>
      <c r="FJ36" s="108"/>
      <c r="FK36" s="108"/>
      <c r="FL36" s="108"/>
      <c r="FM36" s="108"/>
      <c r="FN36" s="108"/>
      <c r="FO36" s="61"/>
      <c r="FP36" s="61"/>
      <c r="FQ36" s="61"/>
      <c r="FR36" s="61"/>
      <c r="FS36" s="61"/>
      <c r="FT36" s="61"/>
      <c r="FU36" s="211"/>
      <c r="FV36" s="211"/>
      <c r="FW36" s="211"/>
      <c r="FX36" s="211"/>
      <c r="FY36" s="211"/>
      <c r="FZ36" s="211"/>
      <c r="GA36" s="211"/>
      <c r="GB36" s="211"/>
      <c r="GC36" s="61"/>
      <c r="GD36" s="108"/>
      <c r="GE36" s="108"/>
      <c r="GF36" s="108"/>
      <c r="GG36" s="108"/>
      <c r="GH36" s="108"/>
      <c r="GI36" s="108"/>
      <c r="GJ36" s="61"/>
      <c r="GK36" s="61"/>
      <c r="GL36" s="61"/>
      <c r="GM36" s="61"/>
      <c r="GN36" s="61"/>
      <c r="GO36" s="61"/>
      <c r="GP36" s="211"/>
      <c r="GQ36" s="211"/>
      <c r="GR36" s="211"/>
      <c r="GS36" s="211"/>
      <c r="GT36" s="211"/>
      <c r="GU36" s="211"/>
      <c r="GV36" s="211"/>
      <c r="GW36" s="211"/>
      <c r="GX36" s="61"/>
      <c r="GY36" s="211"/>
      <c r="GZ36" s="211"/>
      <c r="HA36" s="211"/>
      <c r="HB36" s="108"/>
      <c r="HC36" s="108"/>
      <c r="HD36" s="108"/>
      <c r="HE36" s="61"/>
      <c r="HF36" s="61"/>
      <c r="HG36" s="61"/>
      <c r="HH36" s="61"/>
      <c r="HI36" s="61"/>
      <c r="HJ36" s="61"/>
      <c r="HK36" s="211"/>
      <c r="HL36" s="211"/>
      <c r="HM36" s="211"/>
      <c r="HN36" s="211"/>
      <c r="HO36" s="211"/>
      <c r="HP36" s="211"/>
      <c r="HQ36" s="211"/>
      <c r="HR36" s="211"/>
      <c r="HS36" s="251"/>
      <c r="HT36" s="265"/>
      <c r="HU36" s="265"/>
      <c r="HV36" s="265"/>
      <c r="HW36" s="265"/>
      <c r="HX36" s="265"/>
      <c r="HY36" s="265"/>
      <c r="HZ36" s="265"/>
      <c r="IA36" s="265"/>
      <c r="IB36" s="273"/>
      <c r="IC36" s="194"/>
      <c r="ID36" s="185"/>
      <c r="IE36" s="257"/>
      <c r="IF36" s="414"/>
      <c r="IG36" s="206"/>
      <c r="IH36" s="430"/>
      <c r="II36" s="414"/>
      <c r="IJ36" s="206"/>
      <c r="IK36" s="430"/>
      <c r="IL36" s="414"/>
      <c r="IM36" s="206"/>
      <c r="IN36" s="257"/>
      <c r="IO36" s="287"/>
      <c r="IP36" s="265"/>
      <c r="IQ36" s="295"/>
      <c r="IR36" s="287"/>
      <c r="IS36" s="265"/>
      <c r="IT36" s="295"/>
      <c r="IU36" s="415"/>
      <c r="IV36" s="453"/>
      <c r="IW36" s="469"/>
      <c r="IX36" s="194"/>
      <c r="IY36" s="185"/>
      <c r="IZ36" s="257"/>
      <c r="JA36" s="414"/>
      <c r="JB36" s="206"/>
      <c r="JC36" s="430"/>
      <c r="JD36" s="414"/>
      <c r="JE36" s="206"/>
      <c r="JF36" s="430"/>
      <c r="JG36" s="414"/>
      <c r="JH36" s="230"/>
      <c r="JI36" s="257"/>
      <c r="JJ36" s="287"/>
      <c r="JK36" s="265"/>
      <c r="JL36" s="295"/>
      <c r="JM36" s="287"/>
      <c r="JN36" s="265"/>
      <c r="JO36" s="295"/>
      <c r="JP36" s="484"/>
      <c r="JQ36" s="387"/>
      <c r="JR36" s="486"/>
      <c r="JS36" s="487"/>
      <c r="JT36" s="488" t="s">
        <v>6331</v>
      </c>
      <c r="JU36" s="527"/>
      <c r="JV36" s="152"/>
      <c r="JW36" s="377"/>
      <c r="JX36" s="377"/>
      <c r="JY36" s="377"/>
      <c r="JZ36" s="377"/>
      <c r="KA36" s="377"/>
      <c r="KB36" s="377"/>
      <c r="KC36" s="377"/>
      <c r="KD36" s="230"/>
      <c r="KE36" s="339"/>
      <c r="KF36" s="339"/>
      <c r="KG36" s="339"/>
      <c r="KH36" s="339"/>
      <c r="KI36" s="339"/>
      <c r="KJ36" s="339"/>
      <c r="KK36" s="484"/>
      <c r="KL36" s="230"/>
      <c r="KM36" s="484"/>
      <c r="KN36" s="230"/>
      <c r="KO36" s="230"/>
      <c r="KP36" s="230"/>
      <c r="KQ36" s="152"/>
      <c r="KR36" s="377"/>
      <c r="KS36" s="377"/>
      <c r="KT36" s="553"/>
      <c r="KU36" s="554"/>
      <c r="KV36" s="551"/>
      <c r="KW36" s="377"/>
      <c r="KX36" s="377"/>
      <c r="KY36" s="230"/>
      <c r="KZ36" s="339"/>
      <c r="LA36" s="339"/>
      <c r="LB36" s="339"/>
      <c r="LC36" s="339"/>
      <c r="LD36" s="339"/>
      <c r="LE36" s="339"/>
      <c r="LF36" s="484"/>
      <c r="LG36" s="484"/>
      <c r="LH36" s="484"/>
      <c r="LI36" s="230"/>
      <c r="LJ36" s="230"/>
      <c r="LK36" s="230"/>
      <c r="LL36" s="152"/>
      <c r="LM36" s="377"/>
      <c r="LN36" s="377"/>
      <c r="LO36" s="377"/>
      <c r="LP36" s="377"/>
      <c r="LQ36" s="377"/>
      <c r="LR36" s="377"/>
      <c r="LS36" s="377"/>
      <c r="LT36" s="230"/>
      <c r="LU36" s="339"/>
      <c r="LV36" s="339"/>
      <c r="LW36" s="339"/>
      <c r="LX36" s="339"/>
      <c r="LY36" s="339"/>
      <c r="LZ36" s="339"/>
      <c r="MA36" s="484"/>
      <c r="MB36" s="484"/>
      <c r="MC36" s="484"/>
      <c r="MD36" s="222"/>
      <c r="ME36" s="484"/>
      <c r="MF36" s="230"/>
      <c r="MG36" s="484"/>
      <c r="MH36" s="152"/>
      <c r="MI36" s="81"/>
      <c r="MJ36" s="377"/>
      <c r="MK36" s="377"/>
      <c r="ML36" s="377"/>
      <c r="MM36" s="377"/>
      <c r="MN36" s="377"/>
      <c r="MO36" s="377"/>
      <c r="MP36" s="230"/>
      <c r="MQ36" s="230"/>
      <c r="MR36" s="230"/>
      <c r="MS36" s="230"/>
      <c r="MT36" s="339"/>
      <c r="MU36" s="339"/>
      <c r="MV36" s="339"/>
      <c r="MW36" s="339"/>
      <c r="MX36" s="339"/>
      <c r="MY36" s="577"/>
      <c r="MZ36" s="415"/>
      <c r="NA36" s="453"/>
      <c r="NB36" s="469"/>
      <c r="NC36" s="152"/>
      <c r="ND36" s="377"/>
      <c r="NE36" s="377"/>
      <c r="NF36" s="377"/>
      <c r="NG36" s="377"/>
      <c r="NH36" s="377"/>
      <c r="NI36" s="377"/>
      <c r="NJ36" s="377"/>
      <c r="NK36" s="230"/>
      <c r="NL36" s="377"/>
      <c r="NM36" s="230"/>
      <c r="NN36" s="230"/>
      <c r="NO36" s="339"/>
      <c r="NP36" s="339"/>
      <c r="NQ36" s="339"/>
      <c r="NR36" s="339"/>
      <c r="NS36" s="339"/>
      <c r="NT36" s="339"/>
      <c r="NU36" s="484"/>
      <c r="NV36" s="484"/>
      <c r="NW36" s="484"/>
    </row>
    <row r="37" spans="1:387" ht="14.4">
      <c r="A37" s="1638"/>
      <c r="B37" s="1646"/>
      <c r="C37" s="1656"/>
      <c r="D37" s="64" t="s">
        <v>6331</v>
      </c>
      <c r="E37" s="64"/>
      <c r="F37" s="64"/>
      <c r="G37" s="64" t="s">
        <v>6331</v>
      </c>
      <c r="H37" s="64"/>
      <c r="I37" s="64"/>
      <c r="J37" s="109"/>
      <c r="K37" s="109"/>
      <c r="L37" s="109"/>
      <c r="M37" s="109"/>
      <c r="N37" s="109"/>
      <c r="O37" s="109"/>
      <c r="P37" s="64" t="s">
        <v>6331</v>
      </c>
      <c r="Q37" s="64"/>
      <c r="R37" s="64"/>
      <c r="S37" s="64" t="s">
        <v>6331</v>
      </c>
      <c r="T37" s="64"/>
      <c r="U37" s="64"/>
      <c r="V37" s="64" t="s">
        <v>6331</v>
      </c>
      <c r="W37" s="64"/>
      <c r="X37" s="64"/>
      <c r="Y37" s="64" t="s">
        <v>6331</v>
      </c>
      <c r="Z37" s="64"/>
      <c r="AA37" s="64"/>
      <c r="AB37" s="64" t="s">
        <v>6331</v>
      </c>
      <c r="AC37" s="64"/>
      <c r="AD37" s="64"/>
      <c r="AE37" s="109"/>
      <c r="AF37" s="109"/>
      <c r="AG37" s="109"/>
      <c r="AH37" s="109"/>
      <c r="AI37" s="109"/>
      <c r="AJ37" s="109"/>
      <c r="AK37" s="64"/>
      <c r="AL37" s="64"/>
      <c r="AM37" s="64"/>
      <c r="AN37" s="64"/>
      <c r="AO37" s="158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109"/>
      <c r="BA37" s="109"/>
      <c r="BB37" s="109"/>
      <c r="BC37" s="109"/>
      <c r="BD37" s="109"/>
      <c r="BE37" s="109"/>
      <c r="BF37" s="64"/>
      <c r="BG37" s="64"/>
      <c r="BH37" s="64"/>
      <c r="BI37" s="174"/>
      <c r="BJ37" s="174"/>
      <c r="BK37" s="17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109"/>
      <c r="BY37" s="109"/>
      <c r="BZ37" s="109"/>
      <c r="CA37" s="109"/>
      <c r="CB37" s="109"/>
      <c r="CC37" s="109"/>
      <c r="CD37" s="70"/>
      <c r="CE37" s="70"/>
      <c r="CF37" s="70"/>
      <c r="CG37" s="70"/>
      <c r="CH37" s="70"/>
      <c r="CI37" s="70"/>
      <c r="CJ37" s="70"/>
      <c r="CK37" s="218"/>
      <c r="CL37" s="201"/>
      <c r="CM37" s="198"/>
      <c r="CN37" s="198"/>
      <c r="CO37" s="198"/>
      <c r="CP37" s="198"/>
      <c r="CQ37" s="198"/>
      <c r="CR37" s="198"/>
      <c r="CS37" s="198"/>
      <c r="CT37" s="198"/>
      <c r="CU37" s="198"/>
      <c r="CV37" s="198"/>
      <c r="CW37" s="260"/>
      <c r="CX37" s="260"/>
      <c r="CY37" s="260"/>
      <c r="CZ37" s="260"/>
      <c r="DA37" s="260"/>
      <c r="DB37" s="260"/>
      <c r="DC37" s="198" t="s">
        <v>6331</v>
      </c>
      <c r="DD37" s="198"/>
      <c r="DE37" s="198"/>
      <c r="DF37" s="198" t="s">
        <v>6331</v>
      </c>
      <c r="DG37" s="268"/>
      <c r="DH37" s="79"/>
      <c r="DI37" s="64"/>
      <c r="DJ37" s="64" t="s">
        <v>6331</v>
      </c>
      <c r="DK37" s="64"/>
      <c r="DL37" s="64"/>
      <c r="DM37" s="64" t="s">
        <v>6331</v>
      </c>
      <c r="DN37" s="64"/>
      <c r="DO37" s="64"/>
      <c r="DP37" s="64" t="s">
        <v>6331</v>
      </c>
      <c r="DQ37" s="64"/>
      <c r="DR37" s="64"/>
      <c r="DS37" s="109"/>
      <c r="DT37" s="109"/>
      <c r="DU37" s="109"/>
      <c r="DV37" s="109"/>
      <c r="DW37" s="109"/>
      <c r="DX37" s="109"/>
      <c r="DY37" s="64" t="s">
        <v>6315</v>
      </c>
      <c r="DZ37" s="64"/>
      <c r="EA37" s="64"/>
      <c r="EB37" s="109"/>
      <c r="EC37" s="109"/>
      <c r="ED37" s="109"/>
      <c r="EE37" s="313" t="s">
        <v>6328</v>
      </c>
      <c r="EF37" s="75" t="s">
        <v>6314</v>
      </c>
      <c r="EG37" s="64"/>
      <c r="EH37" s="64" t="s">
        <v>6331</v>
      </c>
      <c r="EI37" s="64"/>
      <c r="EJ37" s="64"/>
      <c r="EK37" s="64" t="s">
        <v>6331</v>
      </c>
      <c r="EL37" s="64"/>
      <c r="EM37" s="64"/>
      <c r="EN37" s="109"/>
      <c r="EO37" s="109"/>
      <c r="EP37" s="109"/>
      <c r="EQ37" s="109"/>
      <c r="ER37" s="109"/>
      <c r="ES37" s="109"/>
      <c r="ET37" s="64" t="s">
        <v>6332</v>
      </c>
      <c r="EU37" s="64"/>
      <c r="EV37" s="64"/>
      <c r="EW37" s="109"/>
      <c r="EX37" s="109"/>
      <c r="EY37" s="109"/>
      <c r="EZ37" s="64" t="s">
        <v>6331</v>
      </c>
      <c r="FA37" s="64"/>
      <c r="FB37" s="64"/>
      <c r="FC37" s="64" t="s">
        <v>6331</v>
      </c>
      <c r="FD37" s="64"/>
      <c r="FE37" s="328"/>
      <c r="FF37" s="64" t="s">
        <v>6331</v>
      </c>
      <c r="FG37" s="79"/>
      <c r="FH37" s="64"/>
      <c r="FI37" s="109"/>
      <c r="FJ37" s="109"/>
      <c r="FK37" s="109"/>
      <c r="FL37" s="109"/>
      <c r="FM37" s="109"/>
      <c r="FN37" s="109"/>
      <c r="FO37" s="64" t="s">
        <v>6331</v>
      </c>
      <c r="FP37" s="64"/>
      <c r="FQ37" s="64"/>
      <c r="FR37" s="64" t="s">
        <v>6331</v>
      </c>
      <c r="FS37" s="64"/>
      <c r="FT37" s="64"/>
      <c r="FU37" s="64" t="s">
        <v>6331</v>
      </c>
      <c r="FV37" s="64"/>
      <c r="FW37" s="64"/>
      <c r="FX37" s="64" t="s">
        <v>6331</v>
      </c>
      <c r="FY37" s="64"/>
      <c r="FZ37" s="328"/>
      <c r="GA37" s="64" t="s">
        <v>6331</v>
      </c>
      <c r="GB37" s="79"/>
      <c r="GC37" s="64"/>
      <c r="GD37" s="109"/>
      <c r="GE37" s="109"/>
      <c r="GF37" s="109"/>
      <c r="GG37" s="109"/>
      <c r="GH37" s="109"/>
      <c r="GI37" s="109"/>
      <c r="GJ37" s="64" t="s">
        <v>6331</v>
      </c>
      <c r="GK37" s="64"/>
      <c r="GL37" s="64"/>
      <c r="GM37" s="64" t="s">
        <v>6331</v>
      </c>
      <c r="GN37" s="64"/>
      <c r="GO37" s="64"/>
      <c r="GP37" s="64" t="s">
        <v>6331</v>
      </c>
      <c r="GQ37" s="64"/>
      <c r="GR37" s="64"/>
      <c r="GS37" s="64" t="s">
        <v>6331</v>
      </c>
      <c r="GT37" s="64" t="s">
        <v>6331</v>
      </c>
      <c r="GU37" s="328"/>
      <c r="GV37" s="64" t="s">
        <v>6331</v>
      </c>
      <c r="GW37" s="79"/>
      <c r="GX37" s="64"/>
      <c r="GY37" s="64" t="s">
        <v>6331</v>
      </c>
      <c r="GZ37" s="152"/>
      <c r="HA37" s="152"/>
      <c r="HB37" s="109"/>
      <c r="HC37" s="109"/>
      <c r="HD37" s="109"/>
      <c r="HE37" s="64" t="s">
        <v>6331</v>
      </c>
      <c r="HF37" s="64"/>
      <c r="HG37" s="64"/>
      <c r="HH37" s="64" t="s">
        <v>6331</v>
      </c>
      <c r="HI37" s="64"/>
      <c r="HJ37" s="64"/>
      <c r="HK37" s="64" t="s">
        <v>6331</v>
      </c>
      <c r="HL37" s="64"/>
      <c r="HM37" s="64"/>
      <c r="HN37" s="64" t="s">
        <v>6331</v>
      </c>
      <c r="HO37" s="64"/>
      <c r="HP37" s="328"/>
      <c r="HQ37" s="64" t="s">
        <v>6331</v>
      </c>
      <c r="HR37" s="79" t="s">
        <v>6326</v>
      </c>
      <c r="HS37" s="328"/>
      <c r="HT37" s="260"/>
      <c r="HU37" s="260"/>
      <c r="HV37" s="260"/>
      <c r="HW37" s="260"/>
      <c r="HX37" s="260"/>
      <c r="HY37" s="260"/>
      <c r="HZ37" s="260" t="s">
        <v>6331</v>
      </c>
      <c r="IA37" s="260"/>
      <c r="IB37" s="274"/>
      <c r="IC37" s="201" t="s">
        <v>6331</v>
      </c>
      <c r="ID37" s="198"/>
      <c r="IE37" s="268"/>
      <c r="IF37" s="201" t="s">
        <v>6331</v>
      </c>
      <c r="IG37" s="198"/>
      <c r="IH37" s="268"/>
      <c r="II37" s="201" t="s">
        <v>6331</v>
      </c>
      <c r="IJ37" s="199"/>
      <c r="IK37" s="268"/>
      <c r="IL37" s="201" t="s">
        <v>6331</v>
      </c>
      <c r="IM37" s="198" t="s">
        <v>6331</v>
      </c>
      <c r="IN37" s="268"/>
      <c r="IO37" s="288"/>
      <c r="IP37" s="260"/>
      <c r="IQ37" s="296"/>
      <c r="IR37" s="288"/>
      <c r="IS37" s="260"/>
      <c r="IT37" s="296"/>
      <c r="IU37" s="201" t="s">
        <v>6331</v>
      </c>
      <c r="IV37" s="454" t="s">
        <v>6331</v>
      </c>
      <c r="IW37" s="470"/>
      <c r="IX37" s="201" t="s">
        <v>6331</v>
      </c>
      <c r="IY37" s="198" t="s">
        <v>6331</v>
      </c>
      <c r="IZ37" s="268"/>
      <c r="JA37" s="201" t="s">
        <v>6331</v>
      </c>
      <c r="JB37" s="198" t="s">
        <v>6331</v>
      </c>
      <c r="JC37" s="268"/>
      <c r="JD37" s="201" t="s">
        <v>6331</v>
      </c>
      <c r="JE37" s="198" t="s">
        <v>6314</v>
      </c>
      <c r="JF37" s="268"/>
      <c r="JG37" s="201" t="s">
        <v>6331</v>
      </c>
      <c r="JH37" s="64" t="s">
        <v>6331</v>
      </c>
      <c r="JI37" s="268"/>
      <c r="JJ37" s="288"/>
      <c r="JK37" s="260"/>
      <c r="JL37" s="296"/>
      <c r="JM37" s="288"/>
      <c r="JN37" s="260"/>
      <c r="JO37" s="296"/>
      <c r="JP37" s="64" t="s">
        <v>6331</v>
      </c>
      <c r="JQ37" s="388" t="s">
        <v>6331</v>
      </c>
      <c r="JR37" s="489"/>
      <c r="JS37" s="502" t="s">
        <v>6331</v>
      </c>
      <c r="JT37" s="491"/>
      <c r="JU37" s="79"/>
      <c r="JV37" s="64" t="s">
        <v>6331</v>
      </c>
      <c r="JW37" s="64" t="s">
        <v>6331</v>
      </c>
      <c r="JX37" s="64"/>
      <c r="JY37" s="64" t="s">
        <v>6331</v>
      </c>
      <c r="JZ37" s="64"/>
      <c r="KA37" s="64"/>
      <c r="KB37" s="64" t="s">
        <v>6331</v>
      </c>
      <c r="KC37" s="64"/>
      <c r="KD37" s="64"/>
      <c r="KE37" s="109"/>
      <c r="KF37" s="109"/>
      <c r="KG37" s="109"/>
      <c r="KH37" s="109"/>
      <c r="KI37" s="109"/>
      <c r="KJ37" s="109"/>
      <c r="KK37" s="64" t="s">
        <v>6331</v>
      </c>
      <c r="KL37" s="64"/>
      <c r="KM37" s="525"/>
      <c r="KN37" s="64" t="s">
        <v>6331</v>
      </c>
      <c r="KO37" s="64" t="s">
        <v>6331</v>
      </c>
      <c r="KP37" s="64"/>
      <c r="KQ37" s="64" t="s">
        <v>6331</v>
      </c>
      <c r="KR37" s="64" t="s">
        <v>6331</v>
      </c>
      <c r="KS37" s="64"/>
      <c r="KT37" s="64" t="s">
        <v>6331</v>
      </c>
      <c r="KU37" s="300"/>
      <c r="KV37" s="79"/>
      <c r="KW37" s="64" t="s">
        <v>6331</v>
      </c>
      <c r="KX37" s="64"/>
      <c r="KY37" s="64"/>
      <c r="KZ37" s="109"/>
      <c r="LA37" s="109"/>
      <c r="LB37" s="109"/>
      <c r="LC37" s="109"/>
      <c r="LD37" s="109"/>
      <c r="LE37" s="109"/>
      <c r="LF37" s="64" t="s">
        <v>6331</v>
      </c>
      <c r="LG37" s="525"/>
      <c r="LH37" s="525"/>
      <c r="LI37" s="64" t="s">
        <v>6331</v>
      </c>
      <c r="LJ37" s="64"/>
      <c r="LK37" s="64"/>
      <c r="LL37" s="64" t="s">
        <v>6331</v>
      </c>
      <c r="LM37" s="64"/>
      <c r="LN37" s="64"/>
      <c r="LO37" s="64" t="s">
        <v>6331</v>
      </c>
      <c r="LP37" s="64"/>
      <c r="LQ37" s="64"/>
      <c r="LR37" s="64" t="s">
        <v>6331</v>
      </c>
      <c r="LS37" s="64"/>
      <c r="LT37" s="64"/>
      <c r="LU37" s="109"/>
      <c r="LV37" s="109"/>
      <c r="LW37" s="109"/>
      <c r="LX37" s="109"/>
      <c r="LY37" s="109"/>
      <c r="LZ37" s="109"/>
      <c r="MA37" s="64" t="s">
        <v>6331</v>
      </c>
      <c r="MB37" s="525"/>
      <c r="MC37" s="525"/>
      <c r="ME37" s="64" t="s">
        <v>6331</v>
      </c>
      <c r="MF37" s="64" t="s">
        <v>6331</v>
      </c>
      <c r="MG37" s="525"/>
      <c r="MH37" s="64" t="s">
        <v>6331</v>
      </c>
      <c r="MI37" s="70" t="s">
        <v>6331</v>
      </c>
      <c r="MJ37" s="64"/>
      <c r="MK37" s="332" t="s">
        <v>6314</v>
      </c>
      <c r="ML37" s="64" t="s">
        <v>6331</v>
      </c>
      <c r="MM37" s="169" t="s">
        <v>6913</v>
      </c>
      <c r="MN37" s="64" t="s">
        <v>6331</v>
      </c>
      <c r="MO37" s="64"/>
      <c r="MP37" s="64"/>
      <c r="MQ37" s="64" t="s">
        <v>6331</v>
      </c>
      <c r="MR37" s="64" t="s">
        <v>6331</v>
      </c>
      <c r="MS37" s="64"/>
      <c r="MT37" s="109"/>
      <c r="MU37" s="109"/>
      <c r="MV37" s="109"/>
      <c r="MW37" s="109"/>
      <c r="MX37" s="109"/>
      <c r="MY37" s="196"/>
      <c r="MZ37" s="201" t="s">
        <v>6331</v>
      </c>
      <c r="NA37" s="454" t="s">
        <v>6331</v>
      </c>
      <c r="NB37" s="470"/>
      <c r="NC37" s="64" t="s">
        <v>6331</v>
      </c>
      <c r="ND37" s="513" t="s">
        <v>6331</v>
      </c>
      <c r="NE37" s="64"/>
      <c r="NF37" s="64" t="s">
        <v>6331</v>
      </c>
      <c r="NG37" s="64"/>
      <c r="NH37" s="64"/>
      <c r="NI37" s="64" t="s">
        <v>6331</v>
      </c>
      <c r="NJ37" s="64"/>
      <c r="NK37" s="64"/>
      <c r="NL37" s="64" t="s">
        <v>6331</v>
      </c>
      <c r="NM37" s="64" t="s">
        <v>6331</v>
      </c>
      <c r="NN37" s="64"/>
      <c r="NO37" s="109"/>
      <c r="NP37" s="109"/>
      <c r="NQ37" s="109"/>
      <c r="NR37" s="109"/>
      <c r="NS37" s="109"/>
      <c r="NT37" s="109"/>
      <c r="NU37" s="64" t="s">
        <v>6331</v>
      </c>
      <c r="NV37" s="525"/>
      <c r="NW37" s="525"/>
    </row>
    <row r="38" spans="1:387" ht="14.4">
      <c r="A38" s="1638"/>
      <c r="B38" s="1646"/>
      <c r="C38" s="1656"/>
      <c r="D38" s="68"/>
      <c r="E38" s="68"/>
      <c r="F38" s="68"/>
      <c r="G38" s="68"/>
      <c r="H38" s="68"/>
      <c r="I38" s="68"/>
      <c r="J38" s="111"/>
      <c r="K38" s="111"/>
      <c r="L38" s="111"/>
      <c r="M38" s="111"/>
      <c r="N38" s="111"/>
      <c r="O38" s="111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111"/>
      <c r="AF38" s="111"/>
      <c r="AG38" s="111"/>
      <c r="AH38" s="111"/>
      <c r="AI38" s="111"/>
      <c r="AJ38" s="111"/>
      <c r="AK38" s="68"/>
      <c r="AL38" s="68"/>
      <c r="AM38" s="68"/>
      <c r="AN38" s="68"/>
      <c r="AO38" s="159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111"/>
      <c r="BA38" s="111"/>
      <c r="BB38" s="111"/>
      <c r="BC38" s="111"/>
      <c r="BD38" s="111"/>
      <c r="BE38" s="111"/>
      <c r="BF38" s="68"/>
      <c r="BG38" s="68"/>
      <c r="BH38" s="68"/>
      <c r="BI38" s="176"/>
      <c r="BJ38" s="176"/>
      <c r="BK38" s="176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111"/>
      <c r="BY38" s="111"/>
      <c r="BZ38" s="111"/>
      <c r="CA38" s="111"/>
      <c r="CB38" s="111"/>
      <c r="CC38" s="111"/>
      <c r="CD38" s="70"/>
      <c r="CE38" s="70"/>
      <c r="CF38" s="70"/>
      <c r="CG38" s="70"/>
      <c r="CH38" s="70"/>
      <c r="CI38" s="70"/>
      <c r="CJ38" s="70"/>
      <c r="CK38" s="218"/>
      <c r="CL38" s="201"/>
      <c r="CM38" s="198"/>
      <c r="CN38" s="198"/>
      <c r="CO38" s="198"/>
      <c r="CP38" s="198"/>
      <c r="CQ38" s="198"/>
      <c r="CR38" s="198"/>
      <c r="CS38" s="198"/>
      <c r="CT38" s="198"/>
      <c r="CU38" s="198"/>
      <c r="CV38" s="198"/>
      <c r="CW38" s="260"/>
      <c r="CX38" s="260"/>
      <c r="CY38" s="260"/>
      <c r="CZ38" s="260"/>
      <c r="DA38" s="260"/>
      <c r="DB38" s="260"/>
      <c r="DC38" s="198"/>
      <c r="DD38" s="198"/>
      <c r="DE38" s="198"/>
      <c r="DF38" s="198"/>
      <c r="DG38" s="268"/>
      <c r="DH38" s="80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111"/>
      <c r="DT38" s="111"/>
      <c r="DU38" s="111"/>
      <c r="DV38" s="111"/>
      <c r="DW38" s="111"/>
      <c r="DX38" s="111"/>
      <c r="DY38" s="68" t="s">
        <v>6392</v>
      </c>
      <c r="DZ38" s="68"/>
      <c r="EA38" s="68"/>
      <c r="EB38" s="111"/>
      <c r="EC38" s="111"/>
      <c r="ED38" s="111"/>
      <c r="EE38" s="313" t="s">
        <v>6739</v>
      </c>
      <c r="EF38" s="67" t="s">
        <v>6393</v>
      </c>
      <c r="EG38" s="68"/>
      <c r="EH38" s="68"/>
      <c r="EI38" s="68"/>
      <c r="EJ38" s="68"/>
      <c r="EK38" s="68"/>
      <c r="EL38" s="68"/>
      <c r="EM38" s="68"/>
      <c r="EN38" s="111"/>
      <c r="EO38" s="111"/>
      <c r="EP38" s="111"/>
      <c r="EQ38" s="111"/>
      <c r="ER38" s="111"/>
      <c r="ES38" s="111"/>
      <c r="ET38" s="68" t="s">
        <v>6396</v>
      </c>
      <c r="EU38" s="68"/>
      <c r="EV38" s="68"/>
      <c r="EW38" s="111"/>
      <c r="EX38" s="111"/>
      <c r="EY38" s="111"/>
      <c r="EZ38" s="152"/>
      <c r="FA38" s="77"/>
      <c r="FB38" s="77"/>
      <c r="FC38" s="77"/>
      <c r="FD38" s="77"/>
      <c r="FE38" s="77"/>
      <c r="FF38" s="77"/>
      <c r="FG38" s="77"/>
      <c r="FH38" s="68"/>
      <c r="FI38" s="111"/>
      <c r="FJ38" s="111"/>
      <c r="FK38" s="111"/>
      <c r="FL38" s="111"/>
      <c r="FM38" s="111"/>
      <c r="FN38" s="111"/>
      <c r="FO38" s="68"/>
      <c r="FP38" s="68"/>
      <c r="FQ38" s="68"/>
      <c r="FR38" s="68"/>
      <c r="FS38" s="68"/>
      <c r="FT38" s="68"/>
      <c r="FU38" s="152"/>
      <c r="FV38" s="77"/>
      <c r="FW38" s="77"/>
      <c r="FX38" s="77"/>
      <c r="FY38" s="77"/>
      <c r="FZ38" s="77"/>
      <c r="GA38" s="77"/>
      <c r="GB38" s="77"/>
      <c r="GC38" s="68"/>
      <c r="GD38" s="111"/>
      <c r="GE38" s="111"/>
      <c r="GF38" s="111"/>
      <c r="GG38" s="111"/>
      <c r="GH38" s="111"/>
      <c r="GI38" s="111"/>
      <c r="GJ38" s="68"/>
      <c r="GK38" s="68"/>
      <c r="GL38" s="68"/>
      <c r="GM38" s="68"/>
      <c r="GN38" s="68"/>
      <c r="GO38" s="68"/>
      <c r="GP38" s="152"/>
      <c r="GQ38" s="77"/>
      <c r="GR38" s="77"/>
      <c r="GS38" s="77"/>
      <c r="GT38" s="77"/>
      <c r="GU38" s="77"/>
      <c r="GV38" s="77"/>
      <c r="GW38" s="77"/>
      <c r="GX38" s="68"/>
      <c r="GY38" s="77"/>
      <c r="GZ38" s="77"/>
      <c r="HA38" s="77"/>
      <c r="HB38" s="111"/>
      <c r="HC38" s="111"/>
      <c r="HD38" s="111"/>
      <c r="HE38" s="68"/>
      <c r="HF38" s="68"/>
      <c r="HG38" s="68"/>
      <c r="HH38" s="68"/>
      <c r="HI38" s="68"/>
      <c r="HJ38" s="68"/>
      <c r="HK38" s="152"/>
      <c r="HL38" s="77"/>
      <c r="HM38" s="77"/>
      <c r="HN38" s="77"/>
      <c r="HO38" s="77"/>
      <c r="HP38" s="77"/>
      <c r="HQ38" s="77"/>
      <c r="HR38" s="77" t="s">
        <v>6605</v>
      </c>
      <c r="HS38" s="329"/>
      <c r="HT38" s="260"/>
      <c r="HU38" s="260"/>
      <c r="HV38" s="260"/>
      <c r="HW38" s="260"/>
      <c r="HX38" s="260"/>
      <c r="HY38" s="260"/>
      <c r="HZ38" s="260"/>
      <c r="IA38" s="260"/>
      <c r="IB38" s="274"/>
      <c r="IC38" s="201"/>
      <c r="ID38" s="198"/>
      <c r="IE38" s="268"/>
      <c r="IF38" s="197"/>
      <c r="IG38" s="199"/>
      <c r="IH38" s="431"/>
      <c r="II38" s="197"/>
      <c r="IJ38" s="199"/>
      <c r="IK38" s="431"/>
      <c r="IL38" s="197"/>
      <c r="IM38" s="199"/>
      <c r="IN38" s="268"/>
      <c r="IO38" s="288"/>
      <c r="IP38" s="260"/>
      <c r="IQ38" s="296"/>
      <c r="IR38" s="288"/>
      <c r="IS38" s="260"/>
      <c r="IT38" s="296"/>
      <c r="IU38" s="432"/>
      <c r="IV38" s="454"/>
      <c r="IW38" s="470"/>
      <c r="IX38" s="201"/>
      <c r="IY38" s="198"/>
      <c r="IZ38" s="268"/>
      <c r="JA38" s="197"/>
      <c r="JB38" s="199"/>
      <c r="JC38" s="431"/>
      <c r="JD38" s="197"/>
      <c r="JE38" s="199" t="s">
        <v>6914</v>
      </c>
      <c r="JF38" s="431"/>
      <c r="JG38" s="197"/>
      <c r="JH38" s="68"/>
      <c r="JI38" s="268"/>
      <c r="JJ38" s="288"/>
      <c r="JK38" s="260"/>
      <c r="JL38" s="296"/>
      <c r="JM38" s="288"/>
      <c r="JN38" s="260"/>
      <c r="JO38" s="296"/>
      <c r="JP38" s="503"/>
      <c r="JQ38" s="388"/>
      <c r="JR38" s="489"/>
      <c r="JS38" s="504"/>
      <c r="JT38" s="491"/>
      <c r="JU38" s="80"/>
      <c r="JV38" s="152"/>
      <c r="JW38" s="77"/>
      <c r="JX38" s="77"/>
      <c r="JY38" s="152"/>
      <c r="JZ38" s="77"/>
      <c r="KA38" s="77"/>
      <c r="KB38" s="152"/>
      <c r="KC38" s="77"/>
      <c r="KD38" s="77"/>
      <c r="KE38" s="111"/>
      <c r="KF38" s="111"/>
      <c r="KG38" s="111"/>
      <c r="KH38" s="111"/>
      <c r="KI38" s="111"/>
      <c r="KJ38" s="111"/>
      <c r="KK38" s="503"/>
      <c r="KL38" s="68"/>
      <c r="KM38" s="503"/>
      <c r="KN38" s="68"/>
      <c r="KO38" s="68"/>
      <c r="KP38" s="68"/>
      <c r="KQ38" s="152"/>
      <c r="KR38" s="77"/>
      <c r="KS38" s="77"/>
      <c r="KT38" s="549"/>
      <c r="KU38" s="555"/>
      <c r="KV38" s="366"/>
      <c r="KW38" s="152"/>
      <c r="KX38" s="77"/>
      <c r="KY38" s="77"/>
      <c r="KZ38" s="111"/>
      <c r="LA38" s="111"/>
      <c r="LB38" s="111"/>
      <c r="LC38" s="111"/>
      <c r="LD38" s="111"/>
      <c r="LE38" s="111"/>
      <c r="LF38" s="152"/>
      <c r="LG38" s="503"/>
      <c r="LH38" s="503"/>
      <c r="LI38" s="68"/>
      <c r="LJ38" s="68"/>
      <c r="LK38" s="68"/>
      <c r="LL38" s="152"/>
      <c r="LM38" s="77"/>
      <c r="LN38" s="77"/>
      <c r="LO38" s="152"/>
      <c r="LP38" s="77"/>
      <c r="LQ38" s="77"/>
      <c r="LR38" s="152"/>
      <c r="LS38" s="77"/>
      <c r="LT38" s="77"/>
      <c r="LU38" s="111"/>
      <c r="LV38" s="111"/>
      <c r="LW38" s="111"/>
      <c r="LX38" s="111"/>
      <c r="LY38" s="111"/>
      <c r="LZ38" s="111"/>
      <c r="MA38" s="152"/>
      <c r="MB38" s="503"/>
      <c r="MC38" s="503"/>
      <c r="ME38" s="152"/>
      <c r="MF38" s="68"/>
      <c r="MG38" s="503"/>
      <c r="MH38" s="70"/>
      <c r="MI38" s="70"/>
      <c r="MJ38" s="77"/>
      <c r="MK38" s="95" t="s">
        <v>6915</v>
      </c>
      <c r="ML38" s="77"/>
      <c r="MM38" s="77"/>
      <c r="MN38" s="152"/>
      <c r="MO38" s="77"/>
      <c r="MP38" s="77"/>
      <c r="MQ38" s="68"/>
      <c r="MR38" s="68"/>
      <c r="MS38" s="68"/>
      <c r="MT38" s="111"/>
      <c r="MU38" s="111"/>
      <c r="MV38" s="111"/>
      <c r="MW38" s="322"/>
      <c r="MX38" s="111"/>
      <c r="MY38" s="200"/>
      <c r="MZ38" s="197"/>
      <c r="NA38" s="454"/>
      <c r="NB38" s="470"/>
      <c r="NC38" s="70"/>
      <c r="ND38" s="513"/>
      <c r="NE38" s="77"/>
      <c r="NF38" s="70"/>
      <c r="NG38" s="77"/>
      <c r="NH38" s="70"/>
      <c r="NI38" s="152"/>
      <c r="NJ38" s="77"/>
      <c r="NK38" s="77"/>
      <c r="NL38" s="152"/>
      <c r="NM38" s="68"/>
      <c r="NN38" s="68"/>
      <c r="NO38" s="111"/>
      <c r="NP38" s="111"/>
      <c r="NQ38" s="111"/>
      <c r="NR38" s="322"/>
      <c r="NS38" s="111"/>
      <c r="NT38" s="111"/>
      <c r="NU38" s="152"/>
      <c r="NV38" s="503"/>
      <c r="NW38" s="503"/>
    </row>
    <row r="39" spans="1:387" ht="14.4">
      <c r="A39" s="1638"/>
      <c r="B39" s="1646"/>
      <c r="C39" s="1656"/>
      <c r="D39" s="70"/>
      <c r="E39" s="70"/>
      <c r="F39" s="70"/>
      <c r="G39" s="70"/>
      <c r="H39" s="70"/>
      <c r="I39" s="70"/>
      <c r="J39" s="110"/>
      <c r="K39" s="110"/>
      <c r="L39" s="110"/>
      <c r="M39" s="110"/>
      <c r="N39" s="110"/>
      <c r="O39" s="11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110"/>
      <c r="AF39" s="110"/>
      <c r="AG39" s="110"/>
      <c r="AH39" s="110"/>
      <c r="AI39" s="110"/>
      <c r="AJ39" s="110"/>
      <c r="AK39" s="70"/>
      <c r="AL39" s="70"/>
      <c r="AM39" s="70"/>
      <c r="AN39" s="70"/>
      <c r="AO39" s="154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110"/>
      <c r="BA39" s="110"/>
      <c r="BB39" s="110"/>
      <c r="BC39" s="110"/>
      <c r="BD39" s="110"/>
      <c r="BE39" s="110"/>
      <c r="BF39" s="70"/>
      <c r="BG39" s="70"/>
      <c r="BH39" s="70"/>
      <c r="BI39" s="177"/>
      <c r="BJ39" s="177"/>
      <c r="BK39" s="177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110"/>
      <c r="BY39" s="110"/>
      <c r="BZ39" s="110"/>
      <c r="CA39" s="110"/>
      <c r="CB39" s="110"/>
      <c r="CC39" s="110"/>
      <c r="CD39" s="229"/>
      <c r="CE39" s="229"/>
      <c r="CF39" s="229"/>
      <c r="CG39" s="229"/>
      <c r="CH39" s="229"/>
      <c r="CI39" s="229"/>
      <c r="CJ39" s="229"/>
      <c r="CK39" s="252"/>
      <c r="CL39" s="201"/>
      <c r="CM39" s="198"/>
      <c r="CN39" s="198"/>
      <c r="CO39" s="198"/>
      <c r="CP39" s="198"/>
      <c r="CQ39" s="198"/>
      <c r="CR39" s="198"/>
      <c r="CS39" s="198"/>
      <c r="CT39" s="198"/>
      <c r="CU39" s="198"/>
      <c r="CV39" s="198"/>
      <c r="CW39" s="260"/>
      <c r="CX39" s="260"/>
      <c r="CY39" s="260"/>
      <c r="CZ39" s="260"/>
      <c r="DA39" s="260"/>
      <c r="DB39" s="260"/>
      <c r="DC39" s="198"/>
      <c r="DD39" s="198"/>
      <c r="DE39" s="198"/>
      <c r="DF39" s="198"/>
      <c r="DG39" s="268"/>
      <c r="DH39" s="69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110"/>
      <c r="DT39" s="110"/>
      <c r="DU39" s="110"/>
      <c r="DV39" s="110"/>
      <c r="DW39" s="110"/>
      <c r="DX39" s="110"/>
      <c r="DY39" s="65" t="s">
        <v>6660</v>
      </c>
      <c r="DZ39" s="70"/>
      <c r="EA39" s="70"/>
      <c r="EB39" s="110"/>
      <c r="EC39" s="110"/>
      <c r="ED39" s="110"/>
      <c r="EE39" s="70"/>
      <c r="EF39" s="70"/>
      <c r="EG39" s="70"/>
      <c r="EH39" s="70"/>
      <c r="EI39" s="70"/>
      <c r="EJ39" s="70"/>
      <c r="EK39" s="70"/>
      <c r="EL39" s="70"/>
      <c r="EM39" s="70"/>
      <c r="EN39" s="110"/>
      <c r="EO39" s="110"/>
      <c r="EP39" s="110"/>
      <c r="EQ39" s="110"/>
      <c r="ER39" s="110"/>
      <c r="ES39" s="110"/>
      <c r="ET39" s="70"/>
      <c r="EU39" s="70"/>
      <c r="EV39" s="70"/>
      <c r="EW39" s="110"/>
      <c r="EX39" s="110"/>
      <c r="EY39" s="110"/>
      <c r="EZ39" s="87"/>
      <c r="FA39" s="87"/>
      <c r="FB39" s="87"/>
      <c r="FC39" s="87"/>
      <c r="FD39" s="87"/>
      <c r="FE39" s="87"/>
      <c r="FF39" s="87"/>
      <c r="FG39" s="87"/>
      <c r="FH39" s="70"/>
      <c r="FI39" s="110"/>
      <c r="FJ39" s="110"/>
      <c r="FK39" s="110"/>
      <c r="FL39" s="110"/>
      <c r="FM39" s="110"/>
      <c r="FN39" s="110"/>
      <c r="FO39" s="70"/>
      <c r="FP39" s="70"/>
      <c r="FQ39" s="70"/>
      <c r="FR39" s="70"/>
      <c r="FS39" s="70"/>
      <c r="FT39" s="70"/>
      <c r="FU39" s="87"/>
      <c r="FV39" s="87"/>
      <c r="FW39" s="87"/>
      <c r="FX39" s="87"/>
      <c r="FY39" s="87"/>
      <c r="FZ39" s="87"/>
      <c r="GA39" s="87"/>
      <c r="GB39" s="87"/>
      <c r="GC39" s="70"/>
      <c r="GD39" s="110"/>
      <c r="GE39" s="110"/>
      <c r="GF39" s="110"/>
      <c r="GG39" s="110"/>
      <c r="GH39" s="110"/>
      <c r="GI39" s="110"/>
      <c r="GJ39" s="70"/>
      <c r="GK39" s="70"/>
      <c r="GL39" s="70"/>
      <c r="GM39" s="70"/>
      <c r="GN39" s="70"/>
      <c r="GO39" s="70"/>
      <c r="GP39" s="87"/>
      <c r="GQ39" s="87"/>
      <c r="GR39" s="87"/>
      <c r="GS39" s="87"/>
      <c r="GT39" s="87"/>
      <c r="GU39" s="87"/>
      <c r="GV39" s="87"/>
      <c r="GW39" s="87"/>
      <c r="GX39" s="70"/>
      <c r="GY39" s="87"/>
      <c r="GZ39" s="87"/>
      <c r="HA39" s="87"/>
      <c r="HB39" s="110"/>
      <c r="HC39" s="110"/>
      <c r="HD39" s="110"/>
      <c r="HE39" s="70"/>
      <c r="HF39" s="70"/>
      <c r="HG39" s="70"/>
      <c r="HH39" s="70"/>
      <c r="HI39" s="70"/>
      <c r="HJ39" s="70"/>
      <c r="HK39" s="87"/>
      <c r="HL39" s="87"/>
      <c r="HM39" s="87"/>
      <c r="HN39" s="87"/>
      <c r="HO39" s="87"/>
      <c r="HP39" s="87"/>
      <c r="HQ39" s="87"/>
      <c r="HR39" s="87" t="s">
        <v>6916</v>
      </c>
      <c r="HS39" s="218"/>
      <c r="HT39" s="260"/>
      <c r="HU39" s="260"/>
      <c r="HV39" s="260"/>
      <c r="HW39" s="260"/>
      <c r="HX39" s="260"/>
      <c r="HY39" s="260"/>
      <c r="HZ39" s="260"/>
      <c r="IA39" s="260"/>
      <c r="IB39" s="274"/>
      <c r="IC39" s="201"/>
      <c r="ID39" s="198"/>
      <c r="IE39" s="268"/>
      <c r="IF39" s="197"/>
      <c r="IG39" s="199"/>
      <c r="IH39" s="431"/>
      <c r="II39" s="197"/>
      <c r="IJ39" s="199"/>
      <c r="IK39" s="431"/>
      <c r="IL39" s="197"/>
      <c r="IM39" s="199"/>
      <c r="IN39" s="268"/>
      <c r="IO39" s="288"/>
      <c r="IP39" s="260"/>
      <c r="IQ39" s="296"/>
      <c r="IR39" s="288"/>
      <c r="IS39" s="260"/>
      <c r="IT39" s="296"/>
      <c r="IU39" s="432"/>
      <c r="IV39" s="454"/>
      <c r="IW39" s="470"/>
      <c r="IX39" s="201"/>
      <c r="IY39" s="198"/>
      <c r="IZ39" s="268"/>
      <c r="JA39" s="197"/>
      <c r="JB39" s="199"/>
      <c r="JC39" s="431"/>
      <c r="JD39" s="197"/>
      <c r="JE39" s="199"/>
      <c r="JF39" s="431"/>
      <c r="JG39" s="197"/>
      <c r="JH39" s="70"/>
      <c r="JI39" s="268"/>
      <c r="JJ39" s="288"/>
      <c r="JK39" s="260"/>
      <c r="JL39" s="296"/>
      <c r="JM39" s="288"/>
      <c r="JN39" s="260"/>
      <c r="JO39" s="296"/>
      <c r="JP39" s="513"/>
      <c r="JQ39" s="388"/>
      <c r="JR39" s="489"/>
      <c r="JS39" s="517"/>
      <c r="JT39" s="491"/>
      <c r="JU39" s="69"/>
      <c r="JV39" s="87"/>
      <c r="JW39" s="87"/>
      <c r="JX39" s="87"/>
      <c r="JY39" s="87"/>
      <c r="JZ39" s="87"/>
      <c r="KA39" s="87"/>
      <c r="KB39" s="87"/>
      <c r="KC39" s="87"/>
      <c r="KD39" s="87"/>
      <c r="KE39" s="110"/>
      <c r="KF39" s="110"/>
      <c r="KG39" s="110"/>
      <c r="KH39" s="110"/>
      <c r="KI39" s="110"/>
      <c r="KJ39" s="110"/>
      <c r="KK39" s="513"/>
      <c r="KL39" s="70"/>
      <c r="KM39" s="513"/>
      <c r="KN39" s="70"/>
      <c r="KO39" s="70"/>
      <c r="KP39" s="70"/>
      <c r="KQ39" s="87"/>
      <c r="KR39" s="87"/>
      <c r="KS39" s="87"/>
      <c r="KT39" s="556"/>
      <c r="KU39" s="557"/>
      <c r="KV39" s="318"/>
      <c r="KW39" s="87"/>
      <c r="KX39" s="87"/>
      <c r="KY39" s="87"/>
      <c r="KZ39" s="110"/>
      <c r="LA39" s="110"/>
      <c r="LB39" s="110"/>
      <c r="LC39" s="110"/>
      <c r="LD39" s="110"/>
      <c r="LE39" s="110"/>
      <c r="LF39" s="87"/>
      <c r="LG39" s="513"/>
      <c r="LH39" s="513"/>
      <c r="LI39" s="70"/>
      <c r="LJ39" s="70"/>
      <c r="LK39" s="70"/>
      <c r="LL39" s="87"/>
      <c r="LM39" s="87"/>
      <c r="LN39" s="87"/>
      <c r="LO39" s="87"/>
      <c r="LP39" s="87"/>
      <c r="LQ39" s="87"/>
      <c r="LR39" s="87"/>
      <c r="LS39" s="87"/>
      <c r="LT39" s="87"/>
      <c r="LU39" s="110"/>
      <c r="LV39" s="110"/>
      <c r="LW39" s="110"/>
      <c r="LX39" s="110"/>
      <c r="LY39" s="110"/>
      <c r="LZ39" s="110"/>
      <c r="MA39" s="87"/>
      <c r="MB39" s="513"/>
      <c r="MC39" s="513"/>
      <c r="ME39" s="87"/>
      <c r="MF39" s="70"/>
      <c r="MG39" s="513"/>
      <c r="MH39" s="87"/>
      <c r="MI39" s="87"/>
      <c r="MJ39" s="87"/>
      <c r="MK39" s="87"/>
      <c r="ML39" s="87"/>
      <c r="MM39" s="87"/>
      <c r="MN39" s="87"/>
      <c r="MO39" s="87"/>
      <c r="MP39" s="87"/>
      <c r="MQ39" s="70"/>
      <c r="MR39" s="70"/>
      <c r="MS39" s="70"/>
      <c r="MT39" s="110"/>
      <c r="MU39" s="110"/>
      <c r="MV39" s="110"/>
      <c r="MW39" s="323"/>
      <c r="MX39" s="110"/>
      <c r="MY39" s="128"/>
      <c r="MZ39" s="197"/>
      <c r="NA39" s="454"/>
      <c r="NB39" s="470"/>
      <c r="NC39" s="87"/>
      <c r="ND39" s="87"/>
      <c r="NE39" s="87"/>
      <c r="NF39" s="87"/>
      <c r="NG39" s="87"/>
      <c r="NH39" s="87"/>
      <c r="NI39" s="87"/>
      <c r="NJ39" s="87"/>
      <c r="NK39" s="87"/>
      <c r="NL39" s="70"/>
      <c r="NM39" s="70"/>
      <c r="NN39" s="70"/>
      <c r="NO39" s="110"/>
      <c r="NP39" s="110"/>
      <c r="NQ39" s="110"/>
      <c r="NR39" s="323"/>
      <c r="NS39" s="110"/>
      <c r="NT39" s="110"/>
      <c r="NU39" s="87"/>
      <c r="NV39" s="513"/>
      <c r="NW39" s="513"/>
    </row>
    <row r="40" spans="1:387" ht="14.4">
      <c r="A40" s="1638"/>
      <c r="B40" s="1646"/>
      <c r="C40" s="1656"/>
      <c r="D40" s="70"/>
      <c r="E40" s="70"/>
      <c r="F40" s="70"/>
      <c r="G40" s="70"/>
      <c r="H40" s="70"/>
      <c r="I40" s="70"/>
      <c r="J40" s="110"/>
      <c r="K40" s="110"/>
      <c r="L40" s="110"/>
      <c r="M40" s="110"/>
      <c r="N40" s="110"/>
      <c r="O40" s="11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110"/>
      <c r="AF40" s="110"/>
      <c r="AG40" s="110"/>
      <c r="AH40" s="110"/>
      <c r="AI40" s="110"/>
      <c r="AJ40" s="110"/>
      <c r="AK40" s="70"/>
      <c r="AL40" s="70"/>
      <c r="AM40" s="70"/>
      <c r="AN40" s="70"/>
      <c r="AO40" s="154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110"/>
      <c r="BA40" s="110"/>
      <c r="BB40" s="110"/>
      <c r="BC40" s="110"/>
      <c r="BD40" s="110"/>
      <c r="BE40" s="110"/>
      <c r="BF40" s="70"/>
      <c r="BG40" s="70"/>
      <c r="BH40" s="70"/>
      <c r="BI40" s="177"/>
      <c r="BJ40" s="177"/>
      <c r="BK40" s="177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110"/>
      <c r="BY40" s="110"/>
      <c r="BZ40" s="110"/>
      <c r="CA40" s="110"/>
      <c r="CB40" s="110"/>
      <c r="CC40" s="110"/>
      <c r="CD40" s="230"/>
      <c r="CE40" s="230"/>
      <c r="CF40" s="230"/>
      <c r="CG40" s="230"/>
      <c r="CH40" s="230"/>
      <c r="CI40" s="230"/>
      <c r="CJ40" s="230"/>
      <c r="CK40" s="253"/>
      <c r="CL40" s="201"/>
      <c r="CM40" s="198"/>
      <c r="CN40" s="198"/>
      <c r="CO40" s="198"/>
      <c r="CP40" s="198"/>
      <c r="CQ40" s="198"/>
      <c r="CR40" s="198"/>
      <c r="CS40" s="198"/>
      <c r="CT40" s="198"/>
      <c r="CU40" s="198"/>
      <c r="CV40" s="198"/>
      <c r="CW40" s="260"/>
      <c r="CX40" s="260"/>
      <c r="CY40" s="260"/>
      <c r="CZ40" s="260"/>
      <c r="DA40" s="260"/>
      <c r="DB40" s="260"/>
      <c r="DC40" s="198"/>
      <c r="DD40" s="198"/>
      <c r="DE40" s="198"/>
      <c r="DF40" s="198"/>
      <c r="DG40" s="268"/>
      <c r="DH40" s="69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110"/>
      <c r="DT40" s="110"/>
      <c r="DU40" s="110"/>
      <c r="DV40" s="110"/>
      <c r="DW40" s="110"/>
      <c r="DX40" s="110"/>
      <c r="DY40" s="152" t="s">
        <v>6314</v>
      </c>
      <c r="DZ40" s="70"/>
      <c r="EA40" s="70"/>
      <c r="EB40" s="110"/>
      <c r="EC40" s="110"/>
      <c r="ED40" s="110"/>
      <c r="EE40" s="70"/>
      <c r="EF40" s="70"/>
      <c r="EG40" s="70"/>
      <c r="EH40" s="70"/>
      <c r="EI40" s="70"/>
      <c r="EJ40" s="70"/>
      <c r="EK40" s="70"/>
      <c r="EL40" s="70"/>
      <c r="EM40" s="70"/>
      <c r="EN40" s="110"/>
      <c r="EO40" s="110"/>
      <c r="EP40" s="110"/>
      <c r="EQ40" s="110"/>
      <c r="ER40" s="110"/>
      <c r="ES40" s="110"/>
      <c r="ET40" s="70"/>
      <c r="EU40" s="70"/>
      <c r="EV40" s="70"/>
      <c r="EW40" s="110"/>
      <c r="EX40" s="110"/>
      <c r="EY40" s="110"/>
      <c r="EZ40" s="87"/>
      <c r="FA40" s="87"/>
      <c r="FB40" s="87"/>
      <c r="FC40" s="87"/>
      <c r="FD40" s="87"/>
      <c r="FE40" s="87"/>
      <c r="FF40" s="87"/>
      <c r="FG40" s="87"/>
      <c r="FH40" s="70"/>
      <c r="FI40" s="110"/>
      <c r="FJ40" s="110"/>
      <c r="FK40" s="110"/>
      <c r="FL40" s="110"/>
      <c r="FM40" s="110"/>
      <c r="FN40" s="110"/>
      <c r="FO40" s="70"/>
      <c r="FP40" s="70"/>
      <c r="FQ40" s="70"/>
      <c r="FR40" s="70"/>
      <c r="FS40" s="70"/>
      <c r="FT40" s="70"/>
      <c r="FU40" s="87"/>
      <c r="FV40" s="87"/>
      <c r="FW40" s="87"/>
      <c r="FX40" s="87"/>
      <c r="FY40" s="87"/>
      <c r="FZ40" s="87"/>
      <c r="GA40" s="87"/>
      <c r="GB40" s="87"/>
      <c r="GC40" s="70"/>
      <c r="GD40" s="110"/>
      <c r="GE40" s="110"/>
      <c r="GF40" s="110"/>
      <c r="GG40" s="110"/>
      <c r="GH40" s="110"/>
      <c r="GI40" s="110"/>
      <c r="GJ40" s="70"/>
      <c r="GK40" s="70"/>
      <c r="GL40" s="70"/>
      <c r="GM40" s="70"/>
      <c r="GN40" s="70"/>
      <c r="GO40" s="70"/>
      <c r="GP40" s="87"/>
      <c r="GQ40" s="87"/>
      <c r="GR40" s="87"/>
      <c r="GS40" s="87"/>
      <c r="GT40" s="87"/>
      <c r="GU40" s="87"/>
      <c r="GV40" s="87"/>
      <c r="GW40" s="87"/>
      <c r="GX40" s="70"/>
      <c r="GY40" s="87"/>
      <c r="GZ40" s="87"/>
      <c r="HA40" s="87"/>
      <c r="HB40" s="110"/>
      <c r="HC40" s="110"/>
      <c r="HD40" s="110"/>
      <c r="HE40" s="70"/>
      <c r="HF40" s="70"/>
      <c r="HG40" s="70"/>
      <c r="HH40" s="70"/>
      <c r="HI40" s="70"/>
      <c r="HJ40" s="70"/>
      <c r="HK40" s="87"/>
      <c r="HL40" s="87"/>
      <c r="HM40" s="87"/>
      <c r="HN40" s="87"/>
      <c r="HO40" s="87"/>
      <c r="HP40" s="87"/>
      <c r="HQ40" s="87"/>
      <c r="HR40" s="87"/>
      <c r="HS40" s="218"/>
      <c r="HT40" s="260"/>
      <c r="HU40" s="260"/>
      <c r="HV40" s="260"/>
      <c r="HW40" s="260"/>
      <c r="HX40" s="260"/>
      <c r="HY40" s="260"/>
      <c r="HZ40" s="260"/>
      <c r="IA40" s="260"/>
      <c r="IB40" s="274"/>
      <c r="IC40" s="201"/>
      <c r="ID40" s="198"/>
      <c r="IE40" s="268"/>
      <c r="IF40" s="197"/>
      <c r="IG40" s="199"/>
      <c r="IH40" s="431"/>
      <c r="II40" s="197"/>
      <c r="IJ40" s="199"/>
      <c r="IK40" s="431"/>
      <c r="IL40" s="197"/>
      <c r="IM40" s="199"/>
      <c r="IN40" s="268"/>
      <c r="IO40" s="288"/>
      <c r="IP40" s="260"/>
      <c r="IQ40" s="296"/>
      <c r="IR40" s="288"/>
      <c r="IS40" s="260"/>
      <c r="IT40" s="296"/>
      <c r="IU40" s="432"/>
      <c r="IV40" s="454"/>
      <c r="IW40" s="470"/>
      <c r="IX40" s="201"/>
      <c r="IY40" s="198"/>
      <c r="IZ40" s="268"/>
      <c r="JA40" s="197"/>
      <c r="JB40" s="199"/>
      <c r="JC40" s="431"/>
      <c r="JD40" s="197"/>
      <c r="JE40" s="199"/>
      <c r="JF40" s="431"/>
      <c r="JG40" s="197"/>
      <c r="JH40" s="70"/>
      <c r="JI40" s="268"/>
      <c r="JJ40" s="288"/>
      <c r="JK40" s="260"/>
      <c r="JL40" s="296"/>
      <c r="JM40" s="288"/>
      <c r="JN40" s="260"/>
      <c r="JO40" s="296"/>
      <c r="JP40" s="513"/>
      <c r="JQ40" s="388"/>
      <c r="JR40" s="489"/>
      <c r="JS40" s="517"/>
      <c r="JT40" s="491"/>
      <c r="JU40" s="69"/>
      <c r="JV40" s="87"/>
      <c r="JW40" s="87"/>
      <c r="JX40" s="87"/>
      <c r="JY40" s="87"/>
      <c r="JZ40" s="87"/>
      <c r="KA40" s="87"/>
      <c r="KB40" s="87"/>
      <c r="KC40" s="87"/>
      <c r="KD40" s="87"/>
      <c r="KE40" s="110"/>
      <c r="KF40" s="110"/>
      <c r="KG40" s="110"/>
      <c r="KH40" s="110"/>
      <c r="KI40" s="110"/>
      <c r="KJ40" s="110"/>
      <c r="KK40" s="513"/>
      <c r="KL40" s="70"/>
      <c r="KM40" s="513"/>
      <c r="KN40" s="70"/>
      <c r="KO40" s="70"/>
      <c r="KP40" s="70"/>
      <c r="KQ40" s="87"/>
      <c r="KR40" s="87"/>
      <c r="KS40" s="87"/>
      <c r="KT40" s="558"/>
      <c r="KU40" s="555"/>
      <c r="KV40" s="318"/>
      <c r="KW40" s="87"/>
      <c r="KX40" s="87"/>
      <c r="KY40" s="87"/>
      <c r="KZ40" s="110"/>
      <c r="LA40" s="110"/>
      <c r="LB40" s="110"/>
      <c r="LC40" s="110"/>
      <c r="LD40" s="110"/>
      <c r="LE40" s="110"/>
      <c r="LF40" s="87"/>
      <c r="LG40" s="513"/>
      <c r="LH40" s="513"/>
      <c r="LI40" s="70"/>
      <c r="LJ40" s="70"/>
      <c r="LK40" s="70"/>
      <c r="LL40" s="87"/>
      <c r="LM40" s="87"/>
      <c r="LN40" s="87"/>
      <c r="LO40" s="87"/>
      <c r="LP40" s="87"/>
      <c r="LQ40" s="87"/>
      <c r="LR40" s="87"/>
      <c r="LS40" s="87"/>
      <c r="LT40" s="87"/>
      <c r="LU40" s="110"/>
      <c r="LV40" s="110"/>
      <c r="LW40" s="110"/>
      <c r="LX40" s="110"/>
      <c r="LY40" s="110"/>
      <c r="LZ40" s="110"/>
      <c r="MA40" s="87"/>
      <c r="MB40" s="513"/>
      <c r="MC40" s="513"/>
      <c r="ME40" s="87"/>
      <c r="MF40" s="70"/>
      <c r="MG40" s="513"/>
      <c r="MH40" s="87"/>
      <c r="MI40" s="87"/>
      <c r="MJ40" s="87"/>
      <c r="MK40" s="87"/>
      <c r="ML40" s="87"/>
      <c r="MM40" s="87"/>
      <c r="MN40" s="87"/>
      <c r="MO40" s="87"/>
      <c r="MP40" s="87"/>
      <c r="MQ40" s="70"/>
      <c r="MR40" s="70"/>
      <c r="MS40" s="70"/>
      <c r="MT40" s="110"/>
      <c r="MU40" s="110"/>
      <c r="MV40" s="110"/>
      <c r="MW40" s="323"/>
      <c r="MX40" s="110"/>
      <c r="MY40" s="128"/>
      <c r="MZ40" s="197"/>
      <c r="NA40" s="454"/>
      <c r="NB40" s="470"/>
      <c r="NC40" s="87"/>
      <c r="ND40" s="87"/>
      <c r="NE40" s="87"/>
      <c r="NF40" s="87"/>
      <c r="NG40" s="87"/>
      <c r="NH40" s="87"/>
      <c r="NI40" s="87"/>
      <c r="NJ40" s="87"/>
      <c r="NK40" s="87"/>
      <c r="NL40" s="70"/>
      <c r="NM40" s="70"/>
      <c r="NN40" s="70"/>
      <c r="NO40" s="110"/>
      <c r="NP40" s="110"/>
      <c r="NQ40" s="110"/>
      <c r="NR40" s="323"/>
      <c r="NS40" s="110"/>
      <c r="NT40" s="110"/>
      <c r="NU40" s="87"/>
      <c r="NV40" s="513"/>
      <c r="NW40" s="513"/>
    </row>
    <row r="41" spans="1:387" ht="14.4">
      <c r="A41" s="1639"/>
      <c r="B41" s="1647"/>
      <c r="C41" s="1657"/>
      <c r="D41" s="73"/>
      <c r="E41" s="73"/>
      <c r="F41" s="73"/>
      <c r="G41" s="73"/>
      <c r="H41" s="73"/>
      <c r="I41" s="73"/>
      <c r="J41" s="114"/>
      <c r="K41" s="114"/>
      <c r="L41" s="114"/>
      <c r="M41" s="114"/>
      <c r="N41" s="114"/>
      <c r="O41" s="114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114"/>
      <c r="AF41" s="114"/>
      <c r="AG41" s="114"/>
      <c r="AH41" s="114"/>
      <c r="AI41" s="114"/>
      <c r="AJ41" s="114"/>
      <c r="AK41" s="73"/>
      <c r="AL41" s="73"/>
      <c r="AM41" s="73"/>
      <c r="AN41" s="73"/>
      <c r="AO41" s="155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114"/>
      <c r="BA41" s="114"/>
      <c r="BB41" s="114"/>
      <c r="BC41" s="114"/>
      <c r="BD41" s="114"/>
      <c r="BE41" s="114"/>
      <c r="BF41" s="73"/>
      <c r="BG41" s="73"/>
      <c r="BH41" s="73"/>
      <c r="BI41" s="180"/>
      <c r="BJ41" s="180"/>
      <c r="BK41" s="180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114"/>
      <c r="BY41" s="114"/>
      <c r="BZ41" s="114"/>
      <c r="CA41" s="114"/>
      <c r="CB41" s="114"/>
      <c r="CC41" s="114"/>
      <c r="CD41" s="73"/>
      <c r="CE41" s="73"/>
      <c r="CF41" s="73"/>
      <c r="CG41" s="73"/>
      <c r="CH41" s="73"/>
      <c r="CI41" s="73"/>
      <c r="CJ41" s="73"/>
      <c r="CK41" s="254"/>
      <c r="CL41" s="204"/>
      <c r="CM41" s="205"/>
      <c r="CN41" s="205"/>
      <c r="CO41" s="205"/>
      <c r="CP41" s="205"/>
      <c r="CQ41" s="205"/>
      <c r="CR41" s="205"/>
      <c r="CS41" s="205"/>
      <c r="CT41" s="205"/>
      <c r="CU41" s="205"/>
      <c r="CV41" s="205"/>
      <c r="CW41" s="271"/>
      <c r="CX41" s="271"/>
      <c r="CY41" s="271"/>
      <c r="CZ41" s="271"/>
      <c r="DA41" s="271"/>
      <c r="DB41" s="271"/>
      <c r="DC41" s="205"/>
      <c r="DD41" s="205"/>
      <c r="DE41" s="205"/>
      <c r="DF41" s="205"/>
      <c r="DG41" s="269"/>
      <c r="DH41" s="72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114"/>
      <c r="DT41" s="114"/>
      <c r="DU41" s="114"/>
      <c r="DV41" s="114"/>
      <c r="DW41" s="114"/>
      <c r="DX41" s="114"/>
      <c r="DY41" s="103" t="s">
        <v>6486</v>
      </c>
      <c r="DZ41" s="73"/>
      <c r="EA41" s="73"/>
      <c r="EB41" s="114"/>
      <c r="EC41" s="114"/>
      <c r="ED41" s="114"/>
      <c r="EE41" s="73"/>
      <c r="EF41" s="73"/>
      <c r="EG41" s="73"/>
      <c r="EH41" s="73"/>
      <c r="EI41" s="73"/>
      <c r="EJ41" s="73"/>
      <c r="EK41" s="73"/>
      <c r="EL41" s="73"/>
      <c r="EM41" s="73"/>
      <c r="EN41" s="114"/>
      <c r="EO41" s="114"/>
      <c r="EP41" s="114"/>
      <c r="EQ41" s="114"/>
      <c r="ER41" s="114"/>
      <c r="ES41" s="114"/>
      <c r="ET41" s="73"/>
      <c r="EU41" s="73"/>
      <c r="EV41" s="73"/>
      <c r="EW41" s="114"/>
      <c r="EX41" s="114"/>
      <c r="EY41" s="114"/>
      <c r="EZ41" s="73"/>
      <c r="FA41" s="73"/>
      <c r="FB41" s="73"/>
      <c r="FC41" s="73"/>
      <c r="FD41" s="73"/>
      <c r="FE41" s="73"/>
      <c r="FF41" s="73"/>
      <c r="FG41" s="73"/>
      <c r="FH41" s="73"/>
      <c r="FI41" s="114"/>
      <c r="FJ41" s="114"/>
      <c r="FK41" s="114"/>
      <c r="FL41" s="114"/>
      <c r="FM41" s="114"/>
      <c r="FN41" s="114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114"/>
      <c r="GE41" s="114"/>
      <c r="GF41" s="114"/>
      <c r="GG41" s="114"/>
      <c r="GH41" s="114"/>
      <c r="GI41" s="114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92"/>
      <c r="GZ41" s="92"/>
      <c r="HA41" s="92"/>
      <c r="HB41" s="114"/>
      <c r="HC41" s="114"/>
      <c r="HD41" s="114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254"/>
      <c r="HT41" s="271"/>
      <c r="HU41" s="271"/>
      <c r="HV41" s="271"/>
      <c r="HW41" s="271"/>
      <c r="HX41" s="271"/>
      <c r="HY41" s="271"/>
      <c r="HZ41" s="271"/>
      <c r="IA41" s="271"/>
      <c r="IB41" s="262"/>
      <c r="IC41" s="204"/>
      <c r="ID41" s="205"/>
      <c r="IE41" s="269"/>
      <c r="IF41" s="204"/>
      <c r="IG41" s="205"/>
      <c r="IH41" s="269"/>
      <c r="II41" s="204"/>
      <c r="IJ41" s="436"/>
      <c r="IK41" s="269"/>
      <c r="IL41" s="204"/>
      <c r="IM41" s="205"/>
      <c r="IN41" s="269"/>
      <c r="IO41" s="289"/>
      <c r="IP41" s="271"/>
      <c r="IQ41" s="298"/>
      <c r="IR41" s="289"/>
      <c r="IS41" s="271"/>
      <c r="IT41" s="298"/>
      <c r="IU41" s="455"/>
      <c r="IV41" s="456"/>
      <c r="IW41" s="471"/>
      <c r="IX41" s="204"/>
      <c r="IY41" s="205"/>
      <c r="IZ41" s="269"/>
      <c r="JA41" s="204"/>
      <c r="JB41" s="205"/>
      <c r="JC41" s="269"/>
      <c r="JD41" s="204"/>
      <c r="JE41" s="205"/>
      <c r="JF41" s="269"/>
      <c r="JG41" s="204"/>
      <c r="JH41" s="229"/>
      <c r="JI41" s="269"/>
      <c r="JJ41" s="289"/>
      <c r="JK41" s="271"/>
      <c r="JL41" s="298"/>
      <c r="JM41" s="289"/>
      <c r="JN41" s="271"/>
      <c r="JO41" s="298"/>
      <c r="JP41" s="497"/>
      <c r="JQ41" s="498"/>
      <c r="JR41" s="499"/>
      <c r="JS41" s="505"/>
      <c r="JT41" s="501"/>
      <c r="JU41" s="531"/>
      <c r="JV41" s="229"/>
      <c r="JW41" s="229"/>
      <c r="JX41" s="229"/>
      <c r="JY41" s="229"/>
      <c r="JZ41" s="229"/>
      <c r="KA41" s="229"/>
      <c r="KB41" s="229"/>
      <c r="KC41" s="229"/>
      <c r="KD41" s="229"/>
      <c r="KE41" s="338"/>
      <c r="KF41" s="338"/>
      <c r="KG41" s="338"/>
      <c r="KH41" s="338"/>
      <c r="KI41" s="338"/>
      <c r="KJ41" s="338"/>
      <c r="KK41" s="497"/>
      <c r="KL41" s="229"/>
      <c r="KM41" s="497"/>
      <c r="KN41" s="229"/>
      <c r="KO41" s="229"/>
      <c r="KP41" s="229"/>
      <c r="KQ41" s="229"/>
      <c r="KR41" s="229"/>
      <c r="KS41" s="229"/>
      <c r="KT41" s="91"/>
      <c r="KU41" s="559"/>
      <c r="KV41" s="531"/>
      <c r="KW41" s="229"/>
      <c r="KX41" s="229"/>
      <c r="KY41" s="229"/>
      <c r="KZ41" s="338"/>
      <c r="LA41" s="338"/>
      <c r="LB41" s="338"/>
      <c r="LC41" s="338"/>
      <c r="LD41" s="338"/>
      <c r="LE41" s="338"/>
      <c r="LF41" s="229"/>
      <c r="LG41" s="497"/>
      <c r="LH41" s="497"/>
      <c r="LI41" s="229"/>
      <c r="LJ41" s="229"/>
      <c r="LK41" s="229"/>
      <c r="LL41" s="229"/>
      <c r="LM41" s="229"/>
      <c r="LN41" s="229"/>
      <c r="LO41" s="229"/>
      <c r="LP41" s="229"/>
      <c r="LQ41" s="229"/>
      <c r="LR41" s="229"/>
      <c r="LS41" s="229"/>
      <c r="LT41" s="229"/>
      <c r="LU41" s="338"/>
      <c r="LV41" s="338"/>
      <c r="LW41" s="338"/>
      <c r="LX41" s="338"/>
      <c r="LY41" s="338"/>
      <c r="LZ41" s="338"/>
      <c r="MA41" s="229"/>
      <c r="MB41" s="497"/>
      <c r="MC41" s="497"/>
      <c r="MD41" s="543"/>
      <c r="ME41" s="229"/>
      <c r="MF41" s="229"/>
      <c r="MG41" s="497"/>
      <c r="MH41" s="229"/>
      <c r="MI41" s="229"/>
      <c r="MJ41" s="229"/>
      <c r="MK41" s="229"/>
      <c r="ML41" s="229"/>
      <c r="MM41" s="229"/>
      <c r="MN41" s="229"/>
      <c r="MO41" s="229"/>
      <c r="MP41" s="229"/>
      <c r="MQ41" s="229"/>
      <c r="MR41" s="229"/>
      <c r="MS41" s="229"/>
      <c r="MT41" s="338"/>
      <c r="MU41" s="338"/>
      <c r="MV41" s="338"/>
      <c r="MW41" s="338"/>
      <c r="MX41" s="338"/>
      <c r="MY41" s="578"/>
      <c r="MZ41" s="204"/>
      <c r="NA41" s="456"/>
      <c r="NB41" s="471"/>
      <c r="NC41" s="229"/>
      <c r="ND41" s="229"/>
      <c r="NE41" s="229"/>
      <c r="NF41" s="229"/>
      <c r="NG41" s="229"/>
      <c r="NH41" s="229"/>
      <c r="NI41" s="229"/>
      <c r="NJ41" s="229"/>
      <c r="NK41" s="229"/>
      <c r="NL41" s="229"/>
      <c r="NM41" s="229"/>
      <c r="NN41" s="229"/>
      <c r="NO41" s="338"/>
      <c r="NP41" s="338"/>
      <c r="NQ41" s="338"/>
      <c r="NR41" s="338"/>
      <c r="NS41" s="338"/>
      <c r="NT41" s="338"/>
      <c r="NU41" s="229"/>
      <c r="NV41" s="497"/>
      <c r="NW41" s="497"/>
    </row>
    <row r="42" spans="1:387" ht="14.4">
      <c r="A42" s="1672"/>
      <c r="B42" s="1672"/>
      <c r="C42" s="1673"/>
      <c r="D42" s="64"/>
      <c r="E42" s="64"/>
      <c r="F42" s="64"/>
      <c r="G42" s="64"/>
      <c r="H42" s="64"/>
      <c r="I42" s="64"/>
      <c r="J42" s="109"/>
      <c r="K42" s="109"/>
      <c r="L42" s="109"/>
      <c r="M42" s="109"/>
      <c r="N42" s="109"/>
      <c r="O42" s="109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109"/>
      <c r="AF42" s="109"/>
      <c r="AG42" s="109"/>
      <c r="AH42" s="109"/>
      <c r="AI42" s="109"/>
      <c r="AJ42" s="109"/>
      <c r="AK42" s="64"/>
      <c r="AL42" s="64"/>
      <c r="AM42" s="64"/>
      <c r="AN42" s="64"/>
      <c r="AO42" s="158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109"/>
      <c r="BA42" s="109"/>
      <c r="BB42" s="109"/>
      <c r="BC42" s="109"/>
      <c r="BD42" s="109"/>
      <c r="BE42" s="109"/>
      <c r="BF42" s="64"/>
      <c r="BG42" s="64"/>
      <c r="BH42" s="64"/>
      <c r="BI42" s="174"/>
      <c r="BJ42" s="174"/>
      <c r="BK42" s="17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109"/>
      <c r="BY42" s="109"/>
      <c r="BZ42" s="109"/>
      <c r="CA42" s="109"/>
      <c r="CB42" s="109"/>
      <c r="CC42" s="109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278"/>
      <c r="CW42" s="276"/>
      <c r="CX42" s="276"/>
      <c r="CY42" s="276"/>
      <c r="CZ42" s="276"/>
      <c r="DA42" s="276"/>
      <c r="DB42" s="276"/>
      <c r="DC42" s="79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109"/>
      <c r="DT42" s="109"/>
      <c r="DU42" s="109"/>
      <c r="DV42" s="109"/>
      <c r="DW42" s="109"/>
      <c r="DX42" s="109"/>
      <c r="DY42" s="64"/>
      <c r="DZ42" s="64"/>
      <c r="EA42" s="64"/>
      <c r="EB42" s="109"/>
      <c r="EC42" s="109"/>
      <c r="ED42" s="109"/>
      <c r="EE42" s="64"/>
      <c r="EF42" s="64"/>
      <c r="EG42" s="64"/>
      <c r="EH42" s="64"/>
      <c r="EI42" s="64"/>
      <c r="EJ42" s="64"/>
      <c r="EK42" s="64"/>
      <c r="EL42" s="64"/>
      <c r="EM42" s="64"/>
      <c r="EN42" s="109"/>
      <c r="EO42" s="109"/>
      <c r="EP42" s="109"/>
      <c r="EQ42" s="109"/>
      <c r="ER42" s="109"/>
      <c r="ES42" s="109"/>
      <c r="ET42" s="64"/>
      <c r="EU42" s="64"/>
      <c r="EV42" s="64"/>
      <c r="EW42" s="109"/>
      <c r="EX42" s="109"/>
      <c r="EY42" s="109"/>
      <c r="EZ42" s="64"/>
      <c r="FA42" s="64"/>
      <c r="FB42" s="64"/>
      <c r="FC42" s="64"/>
      <c r="FD42" s="64"/>
      <c r="FE42" s="64"/>
      <c r="FF42" s="64"/>
      <c r="FG42" s="64"/>
      <c r="FH42" s="64"/>
      <c r="FI42" s="109"/>
      <c r="FJ42" s="109"/>
      <c r="FK42" s="109"/>
      <c r="FL42" s="109"/>
      <c r="FM42" s="109"/>
      <c r="FN42" s="109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109"/>
      <c r="GE42" s="109"/>
      <c r="GF42" s="109"/>
      <c r="GG42" s="109"/>
      <c r="GH42" s="109"/>
      <c r="GI42" s="109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152"/>
      <c r="GZ42" s="152"/>
      <c r="HA42" s="152"/>
      <c r="HB42" s="109"/>
      <c r="HC42" s="109"/>
      <c r="HD42" s="109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328"/>
      <c r="HT42" s="276"/>
      <c r="HU42" s="276"/>
      <c r="HV42" s="276"/>
      <c r="HW42" s="276"/>
      <c r="HX42" s="276"/>
      <c r="HY42" s="276"/>
      <c r="HZ42" s="276"/>
      <c r="IA42" s="276"/>
      <c r="IB42" s="416"/>
      <c r="IC42" s="417"/>
      <c r="ID42" s="208"/>
      <c r="IE42" s="418"/>
      <c r="IF42" s="417"/>
      <c r="IG42" s="208"/>
      <c r="IH42" s="418"/>
      <c r="II42" s="417"/>
      <c r="IJ42" s="439"/>
      <c r="IK42" s="418"/>
      <c r="IL42" s="417"/>
      <c r="IM42" s="208"/>
      <c r="IN42" s="418"/>
      <c r="IO42" s="457"/>
      <c r="IP42" s="276"/>
      <c r="IQ42" s="458"/>
      <c r="IR42" s="457"/>
      <c r="IS42" s="276"/>
      <c r="IT42" s="458"/>
      <c r="IU42" s="459"/>
      <c r="IV42" s="460"/>
      <c r="IW42" s="472"/>
      <c r="IX42" s="417"/>
      <c r="IY42" s="208"/>
      <c r="IZ42" s="418"/>
      <c r="JA42" s="417"/>
      <c r="JB42" s="208"/>
      <c r="JC42" s="418"/>
      <c r="JD42" s="417"/>
      <c r="JE42" s="208"/>
      <c r="JF42" s="418"/>
      <c r="JG42" s="417"/>
      <c r="JH42" s="230"/>
      <c r="JI42" s="418"/>
      <c r="JJ42" s="457"/>
      <c r="JK42" s="276"/>
      <c r="JL42" s="458"/>
      <c r="JM42" s="457"/>
      <c r="JN42" s="276"/>
      <c r="JO42" s="458"/>
      <c r="JP42" s="484"/>
      <c r="JQ42" s="506"/>
      <c r="JR42" s="489"/>
      <c r="JS42" s="487"/>
      <c r="JT42" s="508"/>
      <c r="JU42" s="527"/>
      <c r="JV42" s="230"/>
      <c r="JW42" s="230"/>
      <c r="JX42" s="230"/>
      <c r="JY42" s="230"/>
      <c r="JZ42" s="230"/>
      <c r="KA42" s="230"/>
      <c r="KB42" s="230"/>
      <c r="KC42" s="230"/>
      <c r="KD42" s="230"/>
      <c r="KE42" s="339"/>
      <c r="KF42" s="339"/>
      <c r="KG42" s="339"/>
      <c r="KH42" s="339"/>
      <c r="KI42" s="339"/>
      <c r="KJ42" s="339"/>
      <c r="ME42" s="230"/>
      <c r="MF42" s="230"/>
      <c r="MG42" s="484"/>
      <c r="MH42" s="230"/>
      <c r="MI42" s="230"/>
      <c r="MJ42" s="230"/>
      <c r="MK42" s="230"/>
      <c r="ML42" s="230"/>
      <c r="MM42" s="230"/>
      <c r="MN42" s="230"/>
      <c r="MO42" s="230"/>
      <c r="MP42" s="230"/>
      <c r="MQ42" s="230"/>
      <c r="MR42" s="230"/>
      <c r="MS42" s="230"/>
      <c r="MT42" s="339"/>
      <c r="MU42" s="339"/>
      <c r="MV42" s="339"/>
      <c r="MW42" s="339"/>
      <c r="MX42" s="339"/>
      <c r="MY42" s="577"/>
      <c r="MZ42" s="417"/>
      <c r="NA42" s="460"/>
      <c r="NB42" s="472"/>
      <c r="NC42" s="230"/>
      <c r="ND42" s="230"/>
      <c r="NE42" s="230"/>
      <c r="NF42" s="230"/>
      <c r="NG42" s="230"/>
      <c r="NH42" s="230"/>
      <c r="NI42" s="230"/>
      <c r="NJ42" s="230"/>
      <c r="NK42" s="230"/>
      <c r="NL42" s="230"/>
      <c r="NM42" s="230"/>
      <c r="NN42" s="230"/>
      <c r="NO42" s="339"/>
      <c r="NP42" s="339"/>
      <c r="NQ42" s="339"/>
      <c r="NR42" s="339"/>
      <c r="NS42" s="339"/>
      <c r="NT42" s="339"/>
      <c r="NU42" s="230"/>
      <c r="NV42" s="484"/>
      <c r="NW42" s="484"/>
    </row>
    <row r="43" spans="1:387" ht="14.4">
      <c r="A43" s="1674"/>
      <c r="B43" s="1674"/>
      <c r="C43" s="1675"/>
      <c r="D43" s="70"/>
      <c r="E43" s="70"/>
      <c r="F43" s="70"/>
      <c r="G43" s="70"/>
      <c r="H43" s="70"/>
      <c r="I43" s="70"/>
      <c r="J43" s="110"/>
      <c r="K43" s="110"/>
      <c r="L43" s="110"/>
      <c r="M43" s="110"/>
      <c r="N43" s="110"/>
      <c r="O43" s="11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110"/>
      <c r="AF43" s="110"/>
      <c r="AG43" s="110"/>
      <c r="AH43" s="110"/>
      <c r="AI43" s="110"/>
      <c r="AJ43" s="110"/>
      <c r="AK43" s="70"/>
      <c r="AL43" s="70"/>
      <c r="AM43" s="70"/>
      <c r="AN43" s="70"/>
      <c r="AO43" s="154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110"/>
      <c r="BA43" s="110"/>
      <c r="BB43" s="110"/>
      <c r="BC43" s="110"/>
      <c r="BD43" s="110"/>
      <c r="BE43" s="110"/>
      <c r="BF43" s="70"/>
      <c r="BG43" s="70"/>
      <c r="BH43" s="70"/>
      <c r="BI43" s="177"/>
      <c r="BJ43" s="177"/>
      <c r="BK43" s="177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110"/>
      <c r="BY43" s="110"/>
      <c r="BZ43" s="110"/>
      <c r="CA43" s="110"/>
      <c r="CB43" s="110"/>
      <c r="CC43" s="128"/>
      <c r="CD43" s="231"/>
      <c r="CE43" s="232"/>
      <c r="CF43" s="232"/>
      <c r="CG43" s="232"/>
      <c r="CH43" s="232"/>
      <c r="CI43" s="232"/>
      <c r="CJ43" s="232"/>
      <c r="CK43" s="232"/>
      <c r="CL43" s="232"/>
      <c r="CM43" s="232"/>
      <c r="CN43" s="232"/>
      <c r="CO43" s="232"/>
      <c r="CP43" s="232"/>
      <c r="CQ43" s="232"/>
      <c r="CR43" s="232"/>
      <c r="CS43" s="232"/>
      <c r="CT43" s="232"/>
      <c r="CU43" s="232"/>
      <c r="CV43" s="285"/>
      <c r="CW43" s="286"/>
      <c r="CX43" s="286"/>
      <c r="CY43" s="286"/>
      <c r="CZ43" s="286"/>
      <c r="DA43" s="286"/>
      <c r="DB43" s="286"/>
      <c r="DC43" s="69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110"/>
      <c r="DT43" s="110"/>
      <c r="DU43" s="110"/>
      <c r="DV43" s="110"/>
      <c r="DW43" s="110"/>
      <c r="DX43" s="110"/>
      <c r="DY43" s="70"/>
      <c r="DZ43" s="70"/>
      <c r="EA43" s="70"/>
      <c r="EB43" s="110"/>
      <c r="EC43" s="110"/>
      <c r="ED43" s="110"/>
      <c r="EE43" s="70"/>
      <c r="EF43" s="70"/>
      <c r="EG43" s="70"/>
      <c r="EH43" s="70"/>
      <c r="EI43" s="70"/>
      <c r="EJ43" s="70"/>
      <c r="EK43" s="70"/>
      <c r="EL43" s="70"/>
      <c r="EM43" s="70"/>
      <c r="EN43" s="110"/>
      <c r="EO43" s="110"/>
      <c r="EP43" s="110"/>
      <c r="EQ43" s="110"/>
      <c r="ER43" s="110"/>
      <c r="ES43" s="110"/>
      <c r="ET43" s="70"/>
      <c r="EU43" s="70"/>
      <c r="EV43" s="70"/>
      <c r="EW43" s="110"/>
      <c r="EX43" s="110"/>
      <c r="EY43" s="110"/>
      <c r="EZ43" s="70"/>
      <c r="FA43" s="70"/>
      <c r="FB43" s="70"/>
      <c r="FC43" s="70"/>
      <c r="FD43" s="70"/>
      <c r="FE43" s="70"/>
      <c r="FF43" s="70"/>
      <c r="FG43" s="70"/>
      <c r="FH43" s="70"/>
      <c r="FI43" s="110"/>
      <c r="FJ43" s="110"/>
      <c r="FK43" s="110"/>
      <c r="FL43" s="110"/>
      <c r="FM43" s="110"/>
      <c r="FN43" s="110"/>
      <c r="FO43" s="70"/>
      <c r="FP43" s="70"/>
      <c r="FQ43" s="70"/>
      <c r="FR43" s="70"/>
      <c r="FS43" s="70"/>
      <c r="FT43" s="70"/>
      <c r="FU43" s="70"/>
      <c r="FV43" s="70"/>
      <c r="FW43" s="70"/>
      <c r="FX43" s="70"/>
      <c r="FY43" s="70"/>
      <c r="FZ43" s="70"/>
      <c r="GA43" s="70"/>
      <c r="GB43" s="70"/>
      <c r="GC43" s="70"/>
      <c r="GD43" s="110"/>
      <c r="GE43" s="110"/>
      <c r="GF43" s="110"/>
      <c r="GG43" s="110"/>
      <c r="GH43" s="110"/>
      <c r="GI43" s="110"/>
      <c r="GJ43" s="70"/>
      <c r="GK43" s="70"/>
      <c r="GL43" s="70"/>
      <c r="GM43" s="70"/>
      <c r="GN43" s="70"/>
      <c r="GO43" s="70"/>
      <c r="GP43" s="70"/>
      <c r="GQ43" s="70"/>
      <c r="GR43" s="70"/>
      <c r="GS43" s="70"/>
      <c r="GT43" s="70"/>
      <c r="GU43" s="70"/>
      <c r="GV43" s="70"/>
      <c r="GW43" s="70"/>
      <c r="GX43" s="70"/>
      <c r="GY43" s="87"/>
      <c r="GZ43" s="87"/>
      <c r="HA43" s="87"/>
      <c r="HB43" s="110"/>
      <c r="HC43" s="110"/>
      <c r="HD43" s="110"/>
      <c r="HE43" s="70"/>
      <c r="HF43" s="70"/>
      <c r="HG43" s="70"/>
      <c r="HH43" s="70"/>
      <c r="HI43" s="70"/>
      <c r="HJ43" s="70"/>
      <c r="HK43" s="70"/>
      <c r="HL43" s="70"/>
      <c r="HM43" s="70"/>
      <c r="HN43" s="70"/>
      <c r="HO43" s="70"/>
      <c r="HP43" s="70"/>
      <c r="HQ43" s="70"/>
      <c r="HR43" s="70"/>
      <c r="HS43" s="218"/>
      <c r="HT43" s="286"/>
      <c r="HU43" s="286"/>
      <c r="HV43" s="286"/>
      <c r="HW43" s="286"/>
      <c r="HX43" s="286"/>
      <c r="HY43" s="286"/>
      <c r="HZ43" s="286"/>
      <c r="IA43" s="286"/>
      <c r="IB43" s="420"/>
      <c r="IC43" s="236"/>
      <c r="ID43" s="237"/>
      <c r="IE43" s="421"/>
      <c r="IF43" s="236"/>
      <c r="IG43" s="237"/>
      <c r="IH43" s="421"/>
      <c r="II43" s="236"/>
      <c r="IJ43" s="446"/>
      <c r="IK43" s="421"/>
      <c r="IL43" s="236"/>
      <c r="IM43" s="237"/>
      <c r="IN43" s="421"/>
      <c r="IO43" s="290"/>
      <c r="IP43" s="286"/>
      <c r="IQ43" s="311"/>
      <c r="IR43" s="290"/>
      <c r="IS43" s="286"/>
      <c r="IT43" s="311"/>
      <c r="IU43" s="467"/>
      <c r="IV43" s="468"/>
      <c r="IW43" s="476"/>
      <c r="IX43" s="236"/>
      <c r="IY43" s="237"/>
      <c r="IZ43" s="421"/>
      <c r="JA43" s="236"/>
      <c r="JB43" s="237"/>
      <c r="JC43" s="421"/>
      <c r="JD43" s="236"/>
      <c r="JE43" s="237"/>
      <c r="JF43" s="421"/>
      <c r="JG43" s="236"/>
      <c r="JH43" s="229"/>
      <c r="JI43" s="421"/>
      <c r="JJ43" s="290"/>
      <c r="JK43" s="286"/>
      <c r="JL43" s="311"/>
      <c r="JM43" s="290"/>
      <c r="JN43" s="286"/>
      <c r="JO43" s="311"/>
      <c r="JP43" s="497"/>
      <c r="JQ43" s="518"/>
      <c r="JR43" s="489"/>
      <c r="JS43" s="505"/>
      <c r="JT43" s="519"/>
      <c r="JU43" s="531"/>
      <c r="JV43" s="229"/>
      <c r="JW43" s="229"/>
      <c r="JX43" s="229"/>
      <c r="JY43" s="229"/>
      <c r="JZ43" s="229"/>
      <c r="KA43" s="229"/>
      <c r="KB43" s="229"/>
      <c r="KC43" s="229"/>
      <c r="KD43" s="229"/>
      <c r="KE43" s="338"/>
      <c r="KF43" s="338"/>
      <c r="KG43" s="338"/>
      <c r="KH43" s="338"/>
      <c r="KI43" s="338"/>
      <c r="KJ43" s="338"/>
      <c r="ME43" s="229"/>
      <c r="MF43" s="229"/>
      <c r="MG43" s="497"/>
      <c r="MH43" s="229"/>
      <c r="MI43" s="229"/>
      <c r="MJ43" s="229"/>
      <c r="MK43" s="229"/>
      <c r="ML43" s="229"/>
      <c r="MM43" s="229"/>
      <c r="MN43" s="229"/>
      <c r="MO43" s="229"/>
      <c r="MP43" s="229"/>
      <c r="MQ43" s="229"/>
      <c r="MR43" s="229"/>
      <c r="MS43" s="229"/>
      <c r="MT43" s="338"/>
      <c r="MU43" s="338"/>
      <c r="MV43" s="338"/>
      <c r="MW43" s="338"/>
      <c r="MX43" s="338"/>
      <c r="MY43" s="578"/>
      <c r="MZ43" s="236"/>
      <c r="NA43" s="468"/>
      <c r="NB43" s="476"/>
      <c r="NC43" s="229"/>
      <c r="ND43" s="229"/>
      <c r="NE43" s="229"/>
      <c r="NF43" s="229"/>
      <c r="NG43" s="229"/>
      <c r="NH43" s="229"/>
      <c r="NI43" s="229"/>
      <c r="NJ43" s="229"/>
      <c r="NK43" s="229"/>
      <c r="NL43" s="229"/>
      <c r="NM43" s="229"/>
      <c r="NN43" s="229"/>
      <c r="NO43" s="338"/>
      <c r="NP43" s="338"/>
      <c r="NQ43" s="338"/>
      <c r="NR43" s="338"/>
      <c r="NS43" s="338"/>
      <c r="NT43" s="338"/>
      <c r="NU43" s="229"/>
      <c r="NV43" s="497"/>
      <c r="NW43" s="497"/>
    </row>
    <row r="44" spans="1:387" ht="14.4">
      <c r="A44" s="1637">
        <v>1</v>
      </c>
      <c r="B44" s="1642" t="s">
        <v>6917</v>
      </c>
      <c r="C44" s="1655" t="s">
        <v>6311</v>
      </c>
      <c r="D44" s="61"/>
      <c r="E44" s="61"/>
      <c r="F44" s="61"/>
      <c r="G44" s="98"/>
      <c r="H44" s="61"/>
      <c r="I44" s="61"/>
      <c r="J44" s="131"/>
      <c r="K44" s="108"/>
      <c r="L44" s="108"/>
      <c r="M44" s="108"/>
      <c r="N44" s="108"/>
      <c r="O44" s="108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108"/>
      <c r="AF44" s="108"/>
      <c r="AG44" s="108"/>
      <c r="AH44" s="108"/>
      <c r="AI44" s="108"/>
      <c r="AJ44" s="108"/>
      <c r="AK44" s="61"/>
      <c r="AL44" s="61"/>
      <c r="AM44" s="61"/>
      <c r="AN44" s="61"/>
      <c r="AO44" s="150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108"/>
      <c r="BA44" s="108"/>
      <c r="BB44" s="108"/>
      <c r="BC44" s="108"/>
      <c r="BD44" s="108"/>
      <c r="BE44" s="108"/>
      <c r="BF44" s="61"/>
      <c r="BG44" s="61"/>
      <c r="BH44" s="61"/>
      <c r="BI44" s="173"/>
      <c r="BJ44" s="173"/>
      <c r="BK44" s="173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108"/>
      <c r="BY44" s="108"/>
      <c r="BZ44" s="108"/>
      <c r="CA44" s="108"/>
      <c r="CB44" s="108"/>
      <c r="CC44" s="126"/>
      <c r="CD44" s="233"/>
      <c r="CE44" s="195"/>
      <c r="CF44" s="195"/>
      <c r="CG44" s="195"/>
      <c r="CH44" s="195"/>
      <c r="CI44" s="195"/>
      <c r="CJ44" s="195"/>
      <c r="CK44" s="214"/>
      <c r="CL44" s="233"/>
      <c r="CM44" s="195"/>
      <c r="CN44" s="195"/>
      <c r="CO44" s="195"/>
      <c r="CP44" s="195"/>
      <c r="CQ44" s="195"/>
      <c r="CR44" s="195"/>
      <c r="CS44" s="195"/>
      <c r="CT44" s="195"/>
      <c r="CU44" s="195"/>
      <c r="CV44" s="272"/>
      <c r="CW44" s="265"/>
      <c r="CX44" s="265"/>
      <c r="CY44" s="265"/>
      <c r="CZ44" s="265"/>
      <c r="DA44" s="265"/>
      <c r="DB44" s="265"/>
      <c r="DC44" s="299"/>
      <c r="DD44" s="60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108"/>
      <c r="DT44" s="108"/>
      <c r="DU44" s="108"/>
      <c r="DV44" s="108"/>
      <c r="DW44" s="108"/>
      <c r="DX44" s="108"/>
      <c r="DY44" s="61"/>
      <c r="DZ44" s="61"/>
      <c r="EA44" s="61"/>
      <c r="EB44" s="108"/>
      <c r="EC44" s="108"/>
      <c r="ED44" s="108"/>
      <c r="EE44" s="61"/>
      <c r="EF44" s="168"/>
      <c r="EG44" s="61"/>
      <c r="EH44" s="61"/>
      <c r="EI44" s="61"/>
      <c r="EJ44" s="61"/>
      <c r="EK44" s="61"/>
      <c r="EL44" s="335" t="s">
        <v>6648</v>
      </c>
      <c r="EM44" s="61"/>
      <c r="EN44" s="108"/>
      <c r="EO44" s="108"/>
      <c r="EP44" s="108"/>
      <c r="EQ44" s="108"/>
      <c r="ER44" s="108"/>
      <c r="ES44" s="108"/>
      <c r="ET44" s="61"/>
      <c r="EU44" s="61"/>
      <c r="EV44" s="61"/>
      <c r="EW44" s="108"/>
      <c r="EX44" s="108"/>
      <c r="EY44" s="108"/>
      <c r="EZ44" s="61"/>
      <c r="FA44" s="61"/>
      <c r="FB44" s="61"/>
      <c r="FC44" s="61"/>
      <c r="FD44" s="61"/>
      <c r="FE44" s="61"/>
      <c r="FF44" s="61"/>
      <c r="FG44" s="61"/>
      <c r="FH44" s="61"/>
      <c r="FI44" s="108"/>
      <c r="FJ44" s="108"/>
      <c r="FK44" s="108"/>
      <c r="FL44" s="108"/>
      <c r="FM44" s="108"/>
      <c r="FN44" s="108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108"/>
      <c r="GE44" s="108"/>
      <c r="GF44" s="108"/>
      <c r="GG44" s="108"/>
      <c r="GH44" s="108"/>
      <c r="GI44" s="108"/>
      <c r="GJ44" s="61"/>
      <c r="GK44" s="61"/>
      <c r="GL44" s="61"/>
      <c r="GM44" s="61"/>
      <c r="GN44" s="61"/>
      <c r="GO44" s="61"/>
      <c r="GP44" s="61"/>
      <c r="GQ44" s="61"/>
      <c r="GR44" s="61"/>
      <c r="GS44" s="61"/>
      <c r="GT44" s="61"/>
      <c r="GU44" s="61"/>
      <c r="GV44" s="61"/>
      <c r="GW44" s="61"/>
      <c r="GX44" s="61"/>
      <c r="GY44" s="211"/>
      <c r="GZ44" s="211"/>
      <c r="HA44" s="211"/>
      <c r="HB44" s="108"/>
      <c r="HC44" s="108"/>
      <c r="HD44" s="108"/>
      <c r="HE44" s="61"/>
      <c r="HF44" s="61"/>
      <c r="HG44" s="61"/>
      <c r="HH44" s="61"/>
      <c r="HI44" s="61"/>
      <c r="HJ44" s="61"/>
      <c r="HK44" s="61"/>
      <c r="HL44" s="61" t="s">
        <v>6686</v>
      </c>
      <c r="HM44" s="61"/>
      <c r="HN44" s="61"/>
      <c r="HO44" s="61"/>
      <c r="HP44" s="61"/>
      <c r="HQ44" s="61"/>
      <c r="HR44" s="61"/>
      <c r="HS44" s="251"/>
      <c r="HT44" s="265"/>
      <c r="HU44" s="265"/>
      <c r="HV44" s="265"/>
      <c r="HW44" s="265"/>
      <c r="HX44" s="265"/>
      <c r="HY44" s="265"/>
      <c r="HZ44" s="265"/>
      <c r="IA44" s="265"/>
      <c r="IB44" s="273"/>
      <c r="IC44" s="194"/>
      <c r="ID44" s="185"/>
      <c r="IE44" s="257"/>
      <c r="IF44" s="194"/>
      <c r="IG44" s="185"/>
      <c r="IH44" s="257"/>
      <c r="II44" s="194"/>
      <c r="IJ44" s="206"/>
      <c r="IK44" s="257"/>
      <c r="IL44" s="194"/>
      <c r="IM44" s="185"/>
      <c r="IN44" s="257"/>
      <c r="IO44" s="287"/>
      <c r="IP44" s="265"/>
      <c r="IQ44" s="295"/>
      <c r="IR44" s="287"/>
      <c r="IS44" s="265"/>
      <c r="IT44" s="295"/>
      <c r="IU44" s="415"/>
      <c r="IV44" s="453"/>
      <c r="IW44" s="469"/>
      <c r="IX44" s="194"/>
      <c r="IY44" s="185"/>
      <c r="IZ44" s="257"/>
      <c r="JA44" s="194"/>
      <c r="JB44" s="185"/>
      <c r="JC44" s="257"/>
      <c r="JD44" s="194"/>
      <c r="JE44" s="185"/>
      <c r="JF44" s="257"/>
      <c r="JG44" s="194"/>
      <c r="JH44" s="230"/>
      <c r="JI44" s="257"/>
      <c r="JJ44" s="287"/>
      <c r="JK44" s="265"/>
      <c r="JL44" s="295"/>
      <c r="JM44" s="287"/>
      <c r="JN44" s="265"/>
      <c r="JO44" s="295"/>
      <c r="JP44" s="484"/>
      <c r="JQ44" s="387"/>
      <c r="JR44" s="486"/>
      <c r="JS44" s="487"/>
      <c r="JT44" s="488"/>
      <c r="JU44" s="527"/>
      <c r="JV44" s="230"/>
      <c r="JW44" s="230"/>
      <c r="JX44" s="230"/>
      <c r="JY44" s="230"/>
      <c r="JZ44" s="230"/>
      <c r="KA44" s="230"/>
      <c r="KB44" s="230"/>
      <c r="KC44" s="230"/>
      <c r="KD44" s="230"/>
      <c r="KE44" s="339"/>
      <c r="KF44" s="339"/>
      <c r="KG44" s="339"/>
      <c r="KH44" s="339"/>
      <c r="KI44" s="339"/>
      <c r="KJ44" s="339"/>
      <c r="KK44" s="484"/>
      <c r="KL44" s="230"/>
      <c r="KM44" s="484"/>
      <c r="KN44" s="230"/>
      <c r="KO44" s="230"/>
      <c r="KP44" s="230"/>
      <c r="KQ44" s="230"/>
      <c r="KR44" s="230"/>
      <c r="KS44" s="230"/>
      <c r="KT44" s="230"/>
      <c r="KU44" s="230"/>
      <c r="KV44" s="230"/>
      <c r="KW44" s="230"/>
      <c r="KX44" s="230"/>
      <c r="KY44" s="230"/>
      <c r="KZ44" s="339"/>
      <c r="LA44" s="339"/>
      <c r="LB44" s="339"/>
      <c r="LC44" s="339"/>
      <c r="LD44" s="339"/>
      <c r="LE44" s="339"/>
      <c r="LF44" s="230"/>
      <c r="LG44" s="484"/>
      <c r="LH44" s="484"/>
      <c r="LI44" s="230"/>
      <c r="LJ44" s="230"/>
      <c r="LK44" s="230"/>
      <c r="LL44" s="230"/>
      <c r="LM44" s="230"/>
      <c r="LN44" s="230"/>
      <c r="LO44" s="230"/>
      <c r="LP44" s="230"/>
      <c r="LQ44" s="230"/>
      <c r="LR44" s="230"/>
      <c r="LS44" s="230"/>
      <c r="LT44" s="230"/>
      <c r="LU44" s="339"/>
      <c r="LV44" s="339"/>
      <c r="LW44" s="339"/>
      <c r="LX44" s="339"/>
      <c r="LY44" s="339"/>
      <c r="LZ44" s="339"/>
      <c r="MA44" s="230"/>
      <c r="MB44" s="484"/>
      <c r="MC44" s="484"/>
      <c r="MD44" s="222"/>
      <c r="ME44" s="230"/>
      <c r="MF44" s="230"/>
      <c r="MG44" s="484"/>
      <c r="MH44" s="230"/>
      <c r="MI44" s="230"/>
      <c r="MJ44" s="230"/>
      <c r="MK44" s="230"/>
      <c r="ML44" s="230"/>
      <c r="MM44" s="230"/>
      <c r="MN44" s="230"/>
      <c r="MO44" s="230"/>
      <c r="MP44" s="230"/>
      <c r="MQ44" s="230"/>
      <c r="MR44" s="230"/>
      <c r="MS44" s="230"/>
      <c r="MT44" s="339"/>
      <c r="MU44" s="339"/>
      <c r="MV44" s="339"/>
      <c r="MW44" s="339"/>
      <c r="MX44" s="339"/>
      <c r="MY44" s="577"/>
      <c r="MZ44" s="264"/>
      <c r="NA44" s="589" t="s">
        <v>6918</v>
      </c>
      <c r="NB44" s="590"/>
      <c r="NC44" s="230"/>
      <c r="ND44" s="230"/>
      <c r="NE44" s="230"/>
      <c r="NF44" s="230"/>
      <c r="NG44" s="230"/>
      <c r="NH44" s="230"/>
      <c r="NI44" s="230"/>
      <c r="NJ44" s="230"/>
      <c r="NK44" s="230"/>
      <c r="NL44" s="230"/>
      <c r="NM44" s="230"/>
      <c r="NN44" s="230"/>
      <c r="NO44" s="339"/>
      <c r="NP44" s="339"/>
      <c r="NQ44" s="339"/>
      <c r="NR44" s="339"/>
      <c r="NS44" s="339"/>
      <c r="NT44" s="339"/>
      <c r="NU44" s="230"/>
      <c r="NV44" s="484"/>
      <c r="NW44" s="484"/>
    </row>
    <row r="45" spans="1:387" ht="14.4">
      <c r="A45" s="1682"/>
      <c r="B45" s="1643"/>
      <c r="C45" s="1656"/>
      <c r="D45" s="64" t="s">
        <v>6331</v>
      </c>
      <c r="E45" s="99" t="s">
        <v>6347</v>
      </c>
      <c r="F45" s="64"/>
      <c r="G45" s="64" t="s">
        <v>6331</v>
      </c>
      <c r="H45" s="99" t="s">
        <v>6347</v>
      </c>
      <c r="I45" s="64"/>
      <c r="J45" s="109"/>
      <c r="K45" s="132"/>
      <c r="L45" s="109"/>
      <c r="M45" s="132"/>
      <c r="N45" s="132"/>
      <c r="O45" s="109"/>
      <c r="P45" s="64" t="s">
        <v>6320</v>
      </c>
      <c r="Q45" s="145" t="s">
        <v>6919</v>
      </c>
      <c r="R45" s="64"/>
      <c r="S45" s="64" t="s">
        <v>6919</v>
      </c>
      <c r="T45" s="67" t="s">
        <v>6347</v>
      </c>
      <c r="U45" s="64"/>
      <c r="V45" s="64" t="s">
        <v>6919</v>
      </c>
      <c r="W45" s="146"/>
      <c r="X45" s="64"/>
      <c r="Y45" s="148"/>
      <c r="Z45" s="146"/>
      <c r="AA45" s="64"/>
      <c r="AB45" s="64" t="s">
        <v>6331</v>
      </c>
      <c r="AC45" s="146"/>
      <c r="AD45" s="64"/>
      <c r="AE45" s="132"/>
      <c r="AF45" s="132"/>
      <c r="AG45" s="109"/>
      <c r="AH45" s="132"/>
      <c r="AI45" s="132"/>
      <c r="AJ45" s="109"/>
      <c r="AK45" s="64" t="s">
        <v>6329</v>
      </c>
      <c r="AL45" s="99" t="s">
        <v>6919</v>
      </c>
      <c r="AM45" s="64"/>
      <c r="AN45" s="64" t="s">
        <v>6329</v>
      </c>
      <c r="AO45" s="163" t="s">
        <v>6919</v>
      </c>
      <c r="AP45" s="64"/>
      <c r="AQ45" s="146" t="s">
        <v>6919</v>
      </c>
      <c r="AR45" s="99" t="s">
        <v>6833</v>
      </c>
      <c r="AS45" s="146"/>
      <c r="AT45" s="146" t="s">
        <v>6919</v>
      </c>
      <c r="AU45" s="146"/>
      <c r="AV45" s="64"/>
      <c r="AW45" s="146" t="s">
        <v>6919</v>
      </c>
      <c r="AX45" s="146"/>
      <c r="AY45" s="64"/>
      <c r="AZ45" s="132"/>
      <c r="BA45" s="132"/>
      <c r="BB45" s="109"/>
      <c r="BC45" s="132"/>
      <c r="BD45" s="132"/>
      <c r="BE45" s="109"/>
      <c r="BF45" s="146" t="s">
        <v>6919</v>
      </c>
      <c r="BG45" s="146"/>
      <c r="BH45" s="64"/>
      <c r="BI45" s="174"/>
      <c r="BJ45" s="190"/>
      <c r="BK45" s="174"/>
      <c r="BL45" s="146"/>
      <c r="BM45" s="146"/>
      <c r="BN45" s="146"/>
      <c r="BO45" s="146"/>
      <c r="BP45" s="146"/>
      <c r="BQ45" s="146"/>
      <c r="BR45" s="81"/>
      <c r="BS45" s="64"/>
      <c r="BT45" s="146"/>
      <c r="BU45" s="146"/>
      <c r="BV45" s="81"/>
      <c r="BW45" s="64"/>
      <c r="BX45" s="132"/>
      <c r="BY45" s="132"/>
      <c r="BZ45" s="109"/>
      <c r="CA45" s="132"/>
      <c r="CB45" s="132"/>
      <c r="CC45" s="196"/>
      <c r="CD45" s="201" t="s">
        <v>6331</v>
      </c>
      <c r="CE45" s="198"/>
      <c r="CF45" s="198"/>
      <c r="CG45" s="198" t="s">
        <v>6331</v>
      </c>
      <c r="CH45" s="198"/>
      <c r="CI45" s="198"/>
      <c r="CJ45" s="198"/>
      <c r="CK45" s="220" t="s">
        <v>6331</v>
      </c>
      <c r="CL45" s="201"/>
      <c r="CM45" s="198"/>
      <c r="CN45" s="198"/>
      <c r="CO45" s="198" t="s">
        <v>6331</v>
      </c>
      <c r="CP45" s="198"/>
      <c r="CQ45" s="198"/>
      <c r="CR45" s="198"/>
      <c r="CS45" s="198" t="s">
        <v>6331</v>
      </c>
      <c r="CT45" s="198"/>
      <c r="CU45" s="166" t="s">
        <v>902</v>
      </c>
      <c r="CV45" s="220"/>
      <c r="CW45" s="260"/>
      <c r="CX45" s="260"/>
      <c r="CY45" s="260"/>
      <c r="CZ45" s="260"/>
      <c r="DA45" s="260"/>
      <c r="DB45" s="260"/>
      <c r="DC45" s="306" t="s">
        <v>6331</v>
      </c>
      <c r="DD45" s="307"/>
      <c r="DE45" s="64"/>
      <c r="DF45" s="64" t="s">
        <v>6331</v>
      </c>
      <c r="DG45" s="146"/>
      <c r="DH45" s="81"/>
      <c r="DI45" s="64"/>
      <c r="DJ45" s="64" t="s">
        <v>6331</v>
      </c>
      <c r="DK45" s="146"/>
      <c r="DL45" s="146"/>
      <c r="DM45" s="64" t="s">
        <v>6331</v>
      </c>
      <c r="DN45" s="146"/>
      <c r="DO45" s="64"/>
      <c r="DP45" s="152" t="s">
        <v>6320</v>
      </c>
      <c r="DQ45" s="99" t="s">
        <v>6320</v>
      </c>
      <c r="DR45" s="64"/>
      <c r="DS45" s="132"/>
      <c r="DT45" s="132"/>
      <c r="DU45" s="109"/>
      <c r="DV45" s="132"/>
      <c r="DW45" s="132"/>
      <c r="DX45" s="109"/>
      <c r="DY45" s="64" t="s">
        <v>6331</v>
      </c>
      <c r="DZ45" s="146"/>
      <c r="EA45" s="64"/>
      <c r="EB45" s="132"/>
      <c r="EC45" s="132"/>
      <c r="ED45" s="109"/>
      <c r="EE45" s="64" t="s">
        <v>6329</v>
      </c>
      <c r="EF45" s="99" t="s">
        <v>6329</v>
      </c>
      <c r="EG45" s="146"/>
      <c r="EH45" s="64" t="s">
        <v>6329</v>
      </c>
      <c r="EI45" s="146"/>
      <c r="EJ45" s="64"/>
      <c r="EK45" s="313" t="s">
        <v>6648</v>
      </c>
      <c r="EL45" s="67" t="s">
        <v>6666</v>
      </c>
      <c r="EM45" s="64"/>
      <c r="EN45" s="132"/>
      <c r="EO45" s="132"/>
      <c r="EP45" s="109"/>
      <c r="EQ45" s="132"/>
      <c r="ER45" s="132"/>
      <c r="ES45" s="109"/>
      <c r="ET45" s="64" t="s">
        <v>6331</v>
      </c>
      <c r="EU45" s="146"/>
      <c r="EV45" s="64"/>
      <c r="EW45" s="132"/>
      <c r="EX45" s="132"/>
      <c r="EY45" s="109"/>
      <c r="EZ45" s="64" t="s">
        <v>6331</v>
      </c>
      <c r="FA45" s="146"/>
      <c r="FB45" s="146"/>
      <c r="FC45" s="64" t="s">
        <v>6331</v>
      </c>
      <c r="FD45" s="146"/>
      <c r="FE45" s="64"/>
      <c r="FF45" s="64" t="s">
        <v>6331</v>
      </c>
      <c r="FG45" s="75" t="s">
        <v>6317</v>
      </c>
      <c r="FH45" s="64"/>
      <c r="FI45" s="132"/>
      <c r="FJ45" s="132"/>
      <c r="FK45" s="109"/>
      <c r="FL45" s="132"/>
      <c r="FM45" s="132"/>
      <c r="FN45" s="109"/>
      <c r="FO45" s="64" t="s">
        <v>6331</v>
      </c>
      <c r="FP45" s="146"/>
      <c r="FQ45" s="64"/>
      <c r="FR45" s="64" t="s">
        <v>6331</v>
      </c>
      <c r="FS45" s="146"/>
      <c r="FT45" s="64"/>
      <c r="FU45" s="64" t="s">
        <v>6331</v>
      </c>
      <c r="FV45" s="146"/>
      <c r="FW45" s="146"/>
      <c r="FX45" s="64" t="s">
        <v>6331</v>
      </c>
      <c r="FY45" s="146"/>
      <c r="FZ45" s="64"/>
      <c r="GA45" s="64" t="s">
        <v>6331</v>
      </c>
      <c r="GB45" s="146"/>
      <c r="GC45" s="64"/>
      <c r="GD45" s="132"/>
      <c r="GE45" s="132"/>
      <c r="GF45" s="109"/>
      <c r="GG45" s="132"/>
      <c r="GH45" s="132"/>
      <c r="GI45" s="109"/>
      <c r="GJ45" s="64" t="s">
        <v>6331</v>
      </c>
      <c r="GK45" s="146"/>
      <c r="GL45" s="64" t="s">
        <v>6920</v>
      </c>
      <c r="GM45" s="64" t="s">
        <v>6648</v>
      </c>
      <c r="GN45" s="146"/>
      <c r="GO45" s="64" t="s">
        <v>6920</v>
      </c>
      <c r="GP45" s="68" t="s">
        <v>6331</v>
      </c>
      <c r="GQ45" s="146" t="s">
        <v>6329</v>
      </c>
      <c r="GR45" s="146"/>
      <c r="GS45" s="64" t="s">
        <v>6331</v>
      </c>
      <c r="GT45" s="146" t="s">
        <v>6331</v>
      </c>
      <c r="GU45" s="64" t="s">
        <v>6921</v>
      </c>
      <c r="GV45" s="330" t="s">
        <v>6686</v>
      </c>
      <c r="GW45" s="146" t="s">
        <v>6686</v>
      </c>
      <c r="GX45" s="64"/>
      <c r="GY45" s="64" t="s">
        <v>6331</v>
      </c>
      <c r="GZ45" s="380" t="s">
        <v>6699</v>
      </c>
      <c r="HA45" s="152" t="s">
        <v>6922</v>
      </c>
      <c r="HB45" s="132"/>
      <c r="HC45" s="132"/>
      <c r="HD45" s="109"/>
      <c r="HE45" s="64" t="s">
        <v>6331</v>
      </c>
      <c r="HF45" s="146" t="s">
        <v>6686</v>
      </c>
      <c r="HG45" s="64" t="s">
        <v>6920</v>
      </c>
      <c r="HH45" s="330" t="s">
        <v>6923</v>
      </c>
      <c r="HI45" s="70" t="s">
        <v>6691</v>
      </c>
      <c r="HJ45" s="1635" t="s">
        <v>6924</v>
      </c>
      <c r="HK45" s="330" t="s">
        <v>6923</v>
      </c>
      <c r="HL45" s="146" t="s">
        <v>6763</v>
      </c>
      <c r="HM45" s="64" t="s">
        <v>6920</v>
      </c>
      <c r="HN45" s="64" t="s">
        <v>6331</v>
      </c>
      <c r="HO45" s="146" t="s">
        <v>6925</v>
      </c>
      <c r="HP45" s="64" t="s">
        <v>6920</v>
      </c>
      <c r="HQ45" s="64" t="s">
        <v>6331</v>
      </c>
      <c r="HR45" s="146"/>
      <c r="HS45" s="328" t="s">
        <v>6920</v>
      </c>
      <c r="HT45" s="260"/>
      <c r="HU45" s="260"/>
      <c r="HV45" s="260"/>
      <c r="HW45" s="260"/>
      <c r="HX45" s="260"/>
      <c r="HY45" s="260"/>
      <c r="HZ45" s="260" t="s">
        <v>6331</v>
      </c>
      <c r="IA45" s="260"/>
      <c r="IB45" s="274" t="s">
        <v>6920</v>
      </c>
      <c r="IC45" s="201" t="s">
        <v>6331</v>
      </c>
      <c r="ID45" s="198"/>
      <c r="IE45" s="268" t="s">
        <v>6920</v>
      </c>
      <c r="IF45" s="197" t="s">
        <v>6320</v>
      </c>
      <c r="IG45" s="198"/>
      <c r="IH45" s="268" t="s">
        <v>6920</v>
      </c>
      <c r="II45" s="201" t="s">
        <v>6331</v>
      </c>
      <c r="IJ45" s="199"/>
      <c r="IK45" s="268"/>
      <c r="IL45" s="201" t="s">
        <v>6331</v>
      </c>
      <c r="IM45" s="198" t="s">
        <v>6331</v>
      </c>
      <c r="IN45" s="268"/>
      <c r="IO45" s="288"/>
      <c r="IP45" s="260"/>
      <c r="IQ45" s="296"/>
      <c r="IR45" s="288"/>
      <c r="IS45" s="260"/>
      <c r="IT45" s="296"/>
      <c r="IU45" s="201" t="s">
        <v>6331</v>
      </c>
      <c r="IV45" s="454" t="s">
        <v>6331</v>
      </c>
      <c r="IW45" s="470"/>
      <c r="IX45" s="201" t="s">
        <v>6331</v>
      </c>
      <c r="IY45" s="198" t="s">
        <v>6331</v>
      </c>
      <c r="IZ45" s="268"/>
      <c r="JA45" s="201" t="s">
        <v>6331</v>
      </c>
      <c r="JB45" s="198" t="s">
        <v>6331</v>
      </c>
      <c r="JC45" s="268"/>
      <c r="JD45" s="201" t="s">
        <v>6331</v>
      </c>
      <c r="JE45" s="49" t="s">
        <v>6331</v>
      </c>
      <c r="JF45" s="268" t="s">
        <v>6919</v>
      </c>
      <c r="JG45" s="201" t="s">
        <v>6331</v>
      </c>
      <c r="JH45" s="146" t="s">
        <v>6331</v>
      </c>
      <c r="JI45" s="268" t="s">
        <v>6919</v>
      </c>
      <c r="JJ45" s="288"/>
      <c r="JK45" s="260"/>
      <c r="JL45" s="296"/>
      <c r="JM45" s="288"/>
      <c r="JN45" s="260"/>
      <c r="JO45" s="296"/>
      <c r="JP45" s="64" t="s">
        <v>6331</v>
      </c>
      <c r="JQ45" s="388" t="s">
        <v>6331</v>
      </c>
      <c r="JR45" s="489"/>
      <c r="JS45" s="502" t="s">
        <v>6331</v>
      </c>
      <c r="JT45" s="491" t="s">
        <v>6331</v>
      </c>
      <c r="JU45" s="79" t="s">
        <v>6919</v>
      </c>
      <c r="JV45" s="64" t="s">
        <v>6331</v>
      </c>
      <c r="JW45" s="146" t="s">
        <v>6331</v>
      </c>
      <c r="JX45" s="64" t="s">
        <v>6919</v>
      </c>
      <c r="JY45" s="64" t="s">
        <v>6331</v>
      </c>
      <c r="JZ45" s="146"/>
      <c r="KA45" s="64"/>
      <c r="KB45" s="64" t="s">
        <v>6331</v>
      </c>
      <c r="KC45" s="146"/>
      <c r="KD45" s="64"/>
      <c r="KE45" s="132"/>
      <c r="KF45" s="132"/>
      <c r="KG45" s="109"/>
      <c r="KH45" s="132"/>
      <c r="KI45" s="132"/>
      <c r="KJ45" s="109"/>
      <c r="KK45" s="64" t="s">
        <v>6331</v>
      </c>
      <c r="KL45" s="146"/>
      <c r="KM45" s="64" t="s">
        <v>6919</v>
      </c>
      <c r="KN45" s="64" t="s">
        <v>6331</v>
      </c>
      <c r="KO45" s="146" t="s">
        <v>6331</v>
      </c>
      <c r="KP45" s="64"/>
      <c r="KQ45" s="64" t="s">
        <v>6331</v>
      </c>
      <c r="KR45" s="146" t="s">
        <v>6331</v>
      </c>
      <c r="KS45" s="64" t="s">
        <v>6919</v>
      </c>
      <c r="KT45" s="64" t="s">
        <v>6331</v>
      </c>
      <c r="KU45" s="146"/>
      <c r="KV45" s="64"/>
      <c r="KW45" s="64" t="s">
        <v>6331</v>
      </c>
      <c r="KX45" s="146"/>
      <c r="KY45" s="64"/>
      <c r="KZ45" s="132"/>
      <c r="LA45" s="132"/>
      <c r="LB45" s="109"/>
      <c r="LC45" s="132"/>
      <c r="LD45" s="132"/>
      <c r="LE45" s="109"/>
      <c r="LF45" s="64" t="s">
        <v>6331</v>
      </c>
      <c r="LG45" s="560"/>
      <c r="LH45" s="64"/>
      <c r="LI45" s="563" t="s">
        <v>6926</v>
      </c>
      <c r="LJ45" s="146"/>
      <c r="LK45" s="64"/>
      <c r="LL45" s="64" t="s">
        <v>6331</v>
      </c>
      <c r="LM45" s="146"/>
      <c r="LN45" s="64"/>
      <c r="LO45" s="64" t="s">
        <v>6331</v>
      </c>
      <c r="LP45" s="146"/>
      <c r="LQ45" s="64" t="s">
        <v>6919</v>
      </c>
      <c r="LR45" s="64" t="s">
        <v>6715</v>
      </c>
      <c r="LS45" s="146"/>
      <c r="LT45" s="64" t="s">
        <v>6919</v>
      </c>
      <c r="LU45" s="132"/>
      <c r="LV45" s="132"/>
      <c r="LW45" s="109"/>
      <c r="LX45" s="132"/>
      <c r="LY45" s="132"/>
      <c r="LZ45" s="109"/>
      <c r="MA45" s="64" t="s">
        <v>6331</v>
      </c>
      <c r="MB45" s="560"/>
      <c r="MC45" s="64" t="s">
        <v>6919</v>
      </c>
      <c r="ME45" s="64" t="s">
        <v>6331</v>
      </c>
      <c r="MF45" s="146" t="s">
        <v>6331</v>
      </c>
      <c r="MG45" s="64" t="s">
        <v>6919</v>
      </c>
      <c r="MH45" s="64" t="s">
        <v>6331</v>
      </c>
      <c r="MI45" s="146" t="s">
        <v>6331</v>
      </c>
      <c r="MJ45" s="64" t="s">
        <v>6919</v>
      </c>
      <c r="MK45" s="64" t="s">
        <v>6331</v>
      </c>
      <c r="ML45" s="146" t="s">
        <v>6331</v>
      </c>
      <c r="MM45" s="64" t="s">
        <v>6919</v>
      </c>
      <c r="MN45" s="64" t="s">
        <v>6331</v>
      </c>
      <c r="MO45" s="146"/>
      <c r="MP45" s="146"/>
      <c r="MQ45" s="312" t="s">
        <v>6923</v>
      </c>
      <c r="MR45" s="146" t="s">
        <v>6331</v>
      </c>
      <c r="MS45" s="169" t="s">
        <v>6913</v>
      </c>
      <c r="MT45" s="132"/>
      <c r="MU45" s="132"/>
      <c r="MV45" s="109"/>
      <c r="MW45" s="109"/>
      <c r="MX45" s="132"/>
      <c r="MY45" s="591"/>
      <c r="MZ45" s="592" t="s">
        <v>6927</v>
      </c>
      <c r="NA45" s="560" t="s">
        <v>6928</v>
      </c>
      <c r="NB45" s="593"/>
      <c r="NC45" s="87" t="s">
        <v>6927</v>
      </c>
      <c r="ND45" s="513" t="s">
        <v>6716</v>
      </c>
      <c r="NE45" s="64"/>
      <c r="NF45" s="87" t="s">
        <v>6923</v>
      </c>
      <c r="NG45" s="146"/>
      <c r="NH45" s="146"/>
      <c r="NI45" s="87" t="s">
        <v>6717</v>
      </c>
      <c r="NJ45" s="146"/>
      <c r="NK45" s="146"/>
      <c r="NL45" s="64" t="s">
        <v>6331</v>
      </c>
      <c r="NM45" s="146" t="s">
        <v>6331</v>
      </c>
      <c r="NN45" s="64" t="s">
        <v>6919</v>
      </c>
      <c r="NO45" s="132"/>
      <c r="NP45" s="132"/>
      <c r="NQ45" s="109"/>
      <c r="NR45" s="109"/>
      <c r="NS45" s="132"/>
      <c r="NT45" s="132"/>
      <c r="NU45" s="64" t="s">
        <v>6331</v>
      </c>
      <c r="NV45" s="560"/>
      <c r="NW45" s="64" t="s">
        <v>6919</v>
      </c>
    </row>
    <row r="46" spans="1:387" ht="14.4">
      <c r="A46" s="1682"/>
      <c r="B46" s="1643"/>
      <c r="C46" s="1656"/>
      <c r="D46" s="68"/>
      <c r="E46" s="67" t="s">
        <v>6929</v>
      </c>
      <c r="F46" s="68"/>
      <c r="G46" s="68"/>
      <c r="H46" s="67" t="s">
        <v>6550</v>
      </c>
      <c r="I46" s="68"/>
      <c r="J46" s="111"/>
      <c r="K46" s="112"/>
      <c r="L46" s="112"/>
      <c r="M46" s="111"/>
      <c r="N46" s="111"/>
      <c r="O46" s="111"/>
      <c r="P46" s="77" t="s">
        <v>6930</v>
      </c>
      <c r="Q46" s="141" t="s">
        <v>6317</v>
      </c>
      <c r="R46" s="68"/>
      <c r="S46" s="68" t="s">
        <v>6931</v>
      </c>
      <c r="T46" s="66" t="s">
        <v>6353</v>
      </c>
      <c r="U46" s="68"/>
      <c r="V46" s="68" t="s">
        <v>6931</v>
      </c>
      <c r="W46" s="68"/>
      <c r="X46" s="68"/>
      <c r="Y46" s="143"/>
      <c r="Z46" s="68"/>
      <c r="AA46" s="68"/>
      <c r="AB46" s="68"/>
      <c r="AC46" s="68"/>
      <c r="AD46" s="68"/>
      <c r="AE46" s="111"/>
      <c r="AF46" s="111"/>
      <c r="AG46" s="111"/>
      <c r="AH46" s="111"/>
      <c r="AI46" s="111"/>
      <c r="AJ46" s="111"/>
      <c r="AK46" s="77" t="s">
        <v>6932</v>
      </c>
      <c r="AL46" s="68"/>
      <c r="AM46" s="68"/>
      <c r="AN46" s="68" t="s">
        <v>6559</v>
      </c>
      <c r="AO46" s="153" t="s">
        <v>6329</v>
      </c>
      <c r="AP46" s="68"/>
      <c r="AQ46" s="68"/>
      <c r="AR46" s="67" t="s">
        <v>6731</v>
      </c>
      <c r="AS46" s="68"/>
      <c r="AT46" s="143"/>
      <c r="AU46" s="68"/>
      <c r="AV46" s="68"/>
      <c r="AW46" s="1626" t="s">
        <v>6690</v>
      </c>
      <c r="AX46" s="68"/>
      <c r="AY46" s="68"/>
      <c r="AZ46" s="111"/>
      <c r="BA46" s="111"/>
      <c r="BB46" s="111"/>
      <c r="BC46" s="111"/>
      <c r="BD46" s="111"/>
      <c r="BE46" s="111"/>
      <c r="BF46" s="191" t="s">
        <v>6933</v>
      </c>
      <c r="BG46" s="68"/>
      <c r="BH46" s="68"/>
      <c r="BI46" s="176"/>
      <c r="BJ46" s="176"/>
      <c r="BK46" s="176"/>
      <c r="BL46" s="68"/>
      <c r="BM46" s="68"/>
      <c r="BN46" s="68"/>
      <c r="BO46" s="68"/>
      <c r="BP46" s="143"/>
      <c r="BQ46" s="68"/>
      <c r="BR46" s="68"/>
      <c r="BS46" s="68"/>
      <c r="BT46" s="1626"/>
      <c r="BU46" s="68"/>
      <c r="BV46" s="68"/>
      <c r="BW46" s="68"/>
      <c r="BX46" s="111"/>
      <c r="BY46" s="111"/>
      <c r="BZ46" s="111"/>
      <c r="CA46" s="111"/>
      <c r="CB46" s="111"/>
      <c r="CC46" s="200"/>
      <c r="CD46" s="234"/>
      <c r="CE46" s="198"/>
      <c r="CF46" s="198"/>
      <c r="CG46" s="235"/>
      <c r="CH46" s="198"/>
      <c r="CI46" s="198"/>
      <c r="CJ46" s="198"/>
      <c r="CK46" s="255"/>
      <c r="CL46" s="201"/>
      <c r="CM46" s="198"/>
      <c r="CN46" s="198"/>
      <c r="CO46" s="235"/>
      <c r="CP46" s="198"/>
      <c r="CQ46" s="198"/>
      <c r="CR46" s="198"/>
      <c r="CS46" s="235"/>
      <c r="CT46" s="198"/>
      <c r="CU46" s="166" t="s">
        <v>6327</v>
      </c>
      <c r="CV46" s="220"/>
      <c r="CW46" s="260"/>
      <c r="CX46" s="260"/>
      <c r="CY46" s="260"/>
      <c r="CZ46" s="260"/>
      <c r="DA46" s="260"/>
      <c r="DB46" s="260"/>
      <c r="DC46" s="308"/>
      <c r="DD46" s="80"/>
      <c r="DE46" s="68"/>
      <c r="DF46" s="143"/>
      <c r="DG46" s="68"/>
      <c r="DH46" s="68"/>
      <c r="DI46" s="68"/>
      <c r="DJ46" s="143"/>
      <c r="DK46" s="68"/>
      <c r="DL46" s="68"/>
      <c r="DM46" s="143"/>
      <c r="DN46" s="68"/>
      <c r="DO46" s="68"/>
      <c r="DP46" s="147" t="s">
        <v>6645</v>
      </c>
      <c r="DQ46" s="67" t="s">
        <v>6387</v>
      </c>
      <c r="DR46" s="68"/>
      <c r="DS46" s="111"/>
      <c r="DT46" s="111"/>
      <c r="DU46" s="111"/>
      <c r="DV46" s="111"/>
      <c r="DW46" s="111"/>
      <c r="DX46" s="111"/>
      <c r="DY46" s="143"/>
      <c r="DZ46" s="68"/>
      <c r="EA46" s="68"/>
      <c r="EB46" s="111"/>
      <c r="EC46" s="111"/>
      <c r="ED46" s="111"/>
      <c r="EE46" s="68" t="s">
        <v>6392</v>
      </c>
      <c r="EF46" s="67" t="s">
        <v>6392</v>
      </c>
      <c r="EG46" s="68"/>
      <c r="EH46" s="68" t="s">
        <v>6392</v>
      </c>
      <c r="EI46" s="68"/>
      <c r="EJ46" s="68"/>
      <c r="EK46" s="313" t="s">
        <v>6666</v>
      </c>
      <c r="EL46" s="66" t="s">
        <v>6330</v>
      </c>
      <c r="EM46" s="68"/>
      <c r="EN46" s="111"/>
      <c r="EO46" s="111"/>
      <c r="EP46" s="111"/>
      <c r="EQ46" s="111"/>
      <c r="ER46" s="111"/>
      <c r="ES46" s="111"/>
      <c r="ET46" s="143"/>
      <c r="EU46" s="68"/>
      <c r="EV46" s="68"/>
      <c r="EW46" s="111"/>
      <c r="EX46" s="111"/>
      <c r="EY46" s="111"/>
      <c r="EZ46" s="143"/>
      <c r="FA46" s="68"/>
      <c r="FB46" s="68"/>
      <c r="FC46" s="143"/>
      <c r="FD46" s="68"/>
      <c r="FE46" s="68"/>
      <c r="FF46" s="68"/>
      <c r="FG46" s="75" t="s">
        <v>6588</v>
      </c>
      <c r="FH46" s="68"/>
      <c r="FI46" s="111"/>
      <c r="FJ46" s="111"/>
      <c r="FK46" s="111"/>
      <c r="FL46" s="111"/>
      <c r="FM46" s="111"/>
      <c r="FN46" s="111"/>
      <c r="FO46" s="143"/>
      <c r="FP46" s="68"/>
      <c r="FQ46" s="68"/>
      <c r="FR46" s="143"/>
      <c r="FS46" s="68"/>
      <c r="FT46" s="68"/>
      <c r="FU46" s="143"/>
      <c r="FV46" s="68"/>
      <c r="FW46" s="68"/>
      <c r="FX46" s="143"/>
      <c r="FY46" s="68"/>
      <c r="FZ46" s="68"/>
      <c r="GA46" s="143"/>
      <c r="GB46" s="68"/>
      <c r="GC46" s="68"/>
      <c r="GD46" s="111"/>
      <c r="GE46" s="111"/>
      <c r="GF46" s="111"/>
      <c r="GG46" s="111"/>
      <c r="GH46" s="111"/>
      <c r="GI46" s="111"/>
      <c r="GJ46" s="143"/>
      <c r="GK46" s="68"/>
      <c r="GL46" s="68" t="s">
        <v>6699</v>
      </c>
      <c r="GM46" s="68" t="s">
        <v>6535</v>
      </c>
      <c r="GN46" s="68"/>
      <c r="GO46" s="68" t="s">
        <v>6699</v>
      </c>
      <c r="GP46" s="70"/>
      <c r="GQ46" s="68" t="s">
        <v>6337</v>
      </c>
      <c r="GR46" s="68"/>
      <c r="GS46" s="143"/>
      <c r="GT46" s="68"/>
      <c r="GU46" s="68"/>
      <c r="GV46" s="330" t="s">
        <v>6763</v>
      </c>
      <c r="GW46" s="68" t="s">
        <v>6763</v>
      </c>
      <c r="GX46" s="68"/>
      <c r="GY46" s="143"/>
      <c r="GZ46" s="77" t="s">
        <v>6934</v>
      </c>
      <c r="HA46" s="77"/>
      <c r="HB46" s="111"/>
      <c r="HC46" s="111"/>
      <c r="HD46" s="111"/>
      <c r="HE46" s="143"/>
      <c r="HF46" s="68" t="s">
        <v>6763</v>
      </c>
      <c r="HG46" s="68" t="s">
        <v>6699</v>
      </c>
      <c r="HH46" s="330" t="s">
        <v>6763</v>
      </c>
      <c r="HI46" s="70" t="s">
        <v>6935</v>
      </c>
      <c r="HJ46" s="1631"/>
      <c r="HK46" s="330" t="s">
        <v>6823</v>
      </c>
      <c r="HL46" s="68" t="s">
        <v>6936</v>
      </c>
      <c r="HM46" s="68" t="s">
        <v>6699</v>
      </c>
      <c r="HN46" s="143"/>
      <c r="HO46" s="68"/>
      <c r="HP46" s="68" t="s">
        <v>6699</v>
      </c>
      <c r="HQ46" s="344"/>
      <c r="HR46" s="68"/>
      <c r="HS46" s="329" t="s">
        <v>6699</v>
      </c>
      <c r="HT46" s="260"/>
      <c r="HU46" s="260"/>
      <c r="HV46" s="260"/>
      <c r="HW46" s="260"/>
      <c r="HX46" s="260"/>
      <c r="HY46" s="260"/>
      <c r="HZ46" s="405"/>
      <c r="IA46" s="260"/>
      <c r="IB46" s="274" t="s">
        <v>6699</v>
      </c>
      <c r="IC46" s="234"/>
      <c r="ID46" s="198"/>
      <c r="IE46" s="268" t="s">
        <v>6699</v>
      </c>
      <c r="IF46" s="197" t="s">
        <v>6876</v>
      </c>
      <c r="IG46" s="198"/>
      <c r="IH46" s="268" t="s">
        <v>6699</v>
      </c>
      <c r="II46" s="234"/>
      <c r="IJ46" s="199"/>
      <c r="IK46" s="268"/>
      <c r="IL46" s="234"/>
      <c r="IM46" s="198"/>
      <c r="IN46" s="268"/>
      <c r="IO46" s="288"/>
      <c r="IP46" s="260"/>
      <c r="IQ46" s="296"/>
      <c r="IR46" s="288"/>
      <c r="IS46" s="260"/>
      <c r="IT46" s="296"/>
      <c r="IU46" s="234"/>
      <c r="IV46" s="454"/>
      <c r="IW46" s="470"/>
      <c r="IX46" s="234"/>
      <c r="IY46" s="198"/>
      <c r="IZ46" s="268"/>
      <c r="JA46" s="234"/>
      <c r="JB46" s="198"/>
      <c r="JC46" s="268"/>
      <c r="JD46" s="234"/>
      <c r="JF46" s="268" t="s">
        <v>6937</v>
      </c>
      <c r="JG46" s="234"/>
      <c r="JH46" s="68"/>
      <c r="JI46" s="268" t="s">
        <v>6937</v>
      </c>
      <c r="JJ46" s="288"/>
      <c r="JK46" s="260"/>
      <c r="JL46" s="296"/>
      <c r="JM46" s="288"/>
      <c r="JN46" s="260"/>
      <c r="JO46" s="296"/>
      <c r="JP46" s="344"/>
      <c r="JQ46" s="388"/>
      <c r="JR46" s="489"/>
      <c r="JS46" s="520"/>
      <c r="JT46" s="491"/>
      <c r="JU46" s="80" t="s">
        <v>6937</v>
      </c>
      <c r="JV46" s="143"/>
      <c r="JW46" s="68"/>
      <c r="JX46" s="68" t="s">
        <v>6937</v>
      </c>
      <c r="JY46" s="143"/>
      <c r="JZ46" s="68"/>
      <c r="KA46" s="68"/>
      <c r="KB46" s="344"/>
      <c r="KC46" s="68"/>
      <c r="KD46" s="68"/>
      <c r="KE46" s="111"/>
      <c r="KF46" s="111"/>
      <c r="KG46" s="111"/>
      <c r="KH46" s="111"/>
      <c r="KI46" s="111"/>
      <c r="KJ46" s="111"/>
      <c r="KK46" s="344"/>
      <c r="KL46" s="68"/>
      <c r="KM46" s="68" t="s">
        <v>6937</v>
      </c>
      <c r="KN46" s="344"/>
      <c r="KO46" s="68"/>
      <c r="KP46" s="68"/>
      <c r="KQ46" s="143"/>
      <c r="KR46" s="68"/>
      <c r="KS46" s="68" t="s">
        <v>6937</v>
      </c>
      <c r="KT46" s="143"/>
      <c r="KU46" s="68"/>
      <c r="KV46" s="68"/>
      <c r="KW46" s="344"/>
      <c r="KX46" s="68"/>
      <c r="KY46" s="68"/>
      <c r="KZ46" s="111"/>
      <c r="LA46" s="111"/>
      <c r="LB46" s="111"/>
      <c r="LC46" s="111"/>
      <c r="LD46" s="111"/>
      <c r="LE46" s="111"/>
      <c r="LF46" s="344"/>
      <c r="LG46" s="503"/>
      <c r="LH46" s="68"/>
      <c r="LI46" s="94" t="s">
        <v>6654</v>
      </c>
      <c r="LJ46" s="68"/>
      <c r="LK46" s="68"/>
      <c r="LL46" s="143"/>
      <c r="LM46" s="68"/>
      <c r="LN46" s="68"/>
      <c r="LO46" s="143"/>
      <c r="LP46" s="68"/>
      <c r="LQ46" s="68" t="s">
        <v>6937</v>
      </c>
      <c r="LR46" s="152" t="s">
        <v>6788</v>
      </c>
      <c r="LS46" s="68"/>
      <c r="LT46" s="68" t="s">
        <v>6937</v>
      </c>
      <c r="LU46" s="111"/>
      <c r="LV46" s="111"/>
      <c r="LW46" s="111"/>
      <c r="LX46" s="111"/>
      <c r="LY46" s="111"/>
      <c r="LZ46" s="111"/>
      <c r="MA46" s="344"/>
      <c r="MB46" s="503"/>
      <c r="MC46" s="68" t="s">
        <v>6937</v>
      </c>
      <c r="ME46" s="344"/>
      <c r="MF46" s="68"/>
      <c r="MG46" s="68" t="s">
        <v>6937</v>
      </c>
      <c r="MH46" s="344"/>
      <c r="MI46" s="68"/>
      <c r="MJ46" s="68" t="s">
        <v>6937</v>
      </c>
      <c r="MK46" s="143"/>
      <c r="ML46" s="68"/>
      <c r="MM46" s="68" t="s">
        <v>6937</v>
      </c>
      <c r="MN46" s="143"/>
      <c r="MO46" s="68"/>
      <c r="MP46" s="68"/>
      <c r="MQ46" s="575" t="s">
        <v>6636</v>
      </c>
      <c r="MR46" s="68"/>
      <c r="MS46" s="68"/>
      <c r="MT46" s="111"/>
      <c r="MU46" s="111"/>
      <c r="MV46" s="111"/>
      <c r="MW46" s="581"/>
      <c r="MX46" s="111"/>
      <c r="MY46" s="200"/>
      <c r="MZ46" s="592" t="s">
        <v>6636</v>
      </c>
      <c r="NA46" s="560" t="s">
        <v>6487</v>
      </c>
      <c r="NB46" s="593"/>
      <c r="NC46" s="147" t="s">
        <v>6636</v>
      </c>
      <c r="ND46" s="65" t="s">
        <v>6636</v>
      </c>
      <c r="NE46" s="68"/>
      <c r="NF46" s="147" t="s">
        <v>6636</v>
      </c>
      <c r="NG46" s="68"/>
      <c r="NH46" s="68"/>
      <c r="NI46" s="147" t="s">
        <v>6793</v>
      </c>
      <c r="NJ46" s="68"/>
      <c r="NK46" s="68"/>
      <c r="NL46" s="68"/>
      <c r="NM46" s="68"/>
      <c r="NN46" s="68" t="s">
        <v>6937</v>
      </c>
      <c r="NO46" s="111"/>
      <c r="NP46" s="111"/>
      <c r="NQ46" s="111"/>
      <c r="NR46" s="581"/>
      <c r="NS46" s="111"/>
      <c r="NT46" s="111"/>
      <c r="NU46" s="143"/>
      <c r="NV46" s="503"/>
      <c r="NW46" s="68" t="s">
        <v>6937</v>
      </c>
    </row>
    <row r="47" spans="1:387" ht="14.4">
      <c r="A47" s="1682"/>
      <c r="B47" s="1643"/>
      <c r="C47" s="1656"/>
      <c r="D47" s="100"/>
      <c r="E47" s="70"/>
      <c r="F47" s="70"/>
      <c r="G47" s="100"/>
      <c r="H47" s="70"/>
      <c r="I47" s="70"/>
      <c r="J47" s="133"/>
      <c r="K47" s="122"/>
      <c r="L47" s="122"/>
      <c r="M47" s="110"/>
      <c r="N47" s="110"/>
      <c r="O47" s="110"/>
      <c r="P47" s="100" t="s">
        <v>6938</v>
      </c>
      <c r="Q47" s="141" t="s">
        <v>6661</v>
      </c>
      <c r="R47" s="70"/>
      <c r="S47" s="100" t="s">
        <v>6939</v>
      </c>
      <c r="T47" s="66" t="s">
        <v>6940</v>
      </c>
      <c r="U47" s="70"/>
      <c r="V47" s="100" t="s">
        <v>6941</v>
      </c>
      <c r="W47" s="70"/>
      <c r="X47" s="70"/>
      <c r="Y47" s="100"/>
      <c r="Z47" s="70"/>
      <c r="AA47" s="70"/>
      <c r="AB47" s="100"/>
      <c r="AC47" s="70"/>
      <c r="AD47" s="70"/>
      <c r="AE47" s="110"/>
      <c r="AF47" s="110"/>
      <c r="AG47" s="110"/>
      <c r="AH47" s="110"/>
      <c r="AI47" s="110"/>
      <c r="AJ47" s="110"/>
      <c r="AK47" s="70"/>
      <c r="AL47" s="70"/>
      <c r="AM47" s="70"/>
      <c r="AN47" s="100"/>
      <c r="AO47" s="157" t="s">
        <v>6559</v>
      </c>
      <c r="AP47" s="70"/>
      <c r="AQ47" s="100"/>
      <c r="AR47" s="66" t="s">
        <v>6688</v>
      </c>
      <c r="AS47" s="70"/>
      <c r="AT47" s="100"/>
      <c r="AU47" s="70"/>
      <c r="AV47" s="70"/>
      <c r="AW47" s="1627"/>
      <c r="AX47" s="70"/>
      <c r="AY47" s="70"/>
      <c r="AZ47" s="110"/>
      <c r="BA47" s="110"/>
      <c r="BB47" s="110"/>
      <c r="BC47" s="110"/>
      <c r="BD47" s="110"/>
      <c r="BE47" s="110"/>
      <c r="BF47" s="70"/>
      <c r="BG47" s="70"/>
      <c r="BH47" s="70"/>
      <c r="BI47" s="192"/>
      <c r="BJ47" s="177"/>
      <c r="BK47" s="177"/>
      <c r="BL47" s="100"/>
      <c r="BM47" s="70"/>
      <c r="BN47" s="70"/>
      <c r="BO47" s="70"/>
      <c r="BP47" s="100"/>
      <c r="BQ47" s="70"/>
      <c r="BR47" s="70"/>
      <c r="BS47" s="70"/>
      <c r="BT47" s="1627"/>
      <c r="BU47" s="70"/>
      <c r="BV47" s="70"/>
      <c r="BW47" s="70"/>
      <c r="BX47" s="110"/>
      <c r="BY47" s="110"/>
      <c r="BZ47" s="110"/>
      <c r="CA47" s="110"/>
      <c r="CB47" s="110"/>
      <c r="CC47" s="128"/>
      <c r="CD47" s="201"/>
      <c r="CE47" s="198"/>
      <c r="CF47" s="198"/>
      <c r="CG47" s="198"/>
      <c r="CH47" s="198"/>
      <c r="CI47" s="198"/>
      <c r="CJ47" s="198"/>
      <c r="CK47" s="220"/>
      <c r="CL47" s="201"/>
      <c r="CM47" s="198"/>
      <c r="CN47" s="198"/>
      <c r="CO47" s="198"/>
      <c r="CP47" s="198"/>
      <c r="CQ47" s="198"/>
      <c r="CR47" s="198"/>
      <c r="CS47" s="198"/>
      <c r="CT47" s="198"/>
      <c r="CU47" s="198"/>
      <c r="CV47" s="220"/>
      <c r="CW47" s="260"/>
      <c r="CX47" s="260"/>
      <c r="CY47" s="260"/>
      <c r="CZ47" s="260"/>
      <c r="DA47" s="260"/>
      <c r="DB47" s="260"/>
      <c r="DC47" s="306"/>
      <c r="DD47" s="69"/>
      <c r="DE47" s="70"/>
      <c r="DF47" s="100"/>
      <c r="DG47" s="70"/>
      <c r="DH47" s="70"/>
      <c r="DI47" s="70"/>
      <c r="DJ47" s="100"/>
      <c r="DK47" s="70"/>
      <c r="DL47" s="70"/>
      <c r="DM47" s="100"/>
      <c r="DN47" s="70"/>
      <c r="DO47" s="70"/>
      <c r="DP47" s="152" t="s">
        <v>6347</v>
      </c>
      <c r="DQ47" s="70"/>
      <c r="DR47" s="70"/>
      <c r="DS47" s="110"/>
      <c r="DT47" s="110"/>
      <c r="DU47" s="110"/>
      <c r="DV47" s="110"/>
      <c r="DW47" s="110"/>
      <c r="DX47" s="110"/>
      <c r="DY47" s="100"/>
      <c r="DZ47" s="70"/>
      <c r="EA47" s="70"/>
      <c r="EB47" s="110"/>
      <c r="EC47" s="110"/>
      <c r="ED47" s="110"/>
      <c r="EE47" s="65" t="s">
        <v>6803</v>
      </c>
      <c r="EF47" s="66" t="s">
        <v>6814</v>
      </c>
      <c r="EG47" s="70"/>
      <c r="EH47" s="65" t="s">
        <v>6814</v>
      </c>
      <c r="EI47" s="70"/>
      <c r="EJ47" s="70"/>
      <c r="EK47" s="313" t="s">
        <v>6330</v>
      </c>
      <c r="EL47" s="66" t="s">
        <v>6313</v>
      </c>
      <c r="EM47" s="70"/>
      <c r="EN47" s="110"/>
      <c r="EO47" s="110"/>
      <c r="EP47" s="110"/>
      <c r="EQ47" s="110"/>
      <c r="ER47" s="110"/>
      <c r="ES47" s="110"/>
      <c r="ET47" s="100"/>
      <c r="EU47" s="70"/>
      <c r="EV47" s="70"/>
      <c r="EW47" s="110"/>
      <c r="EX47" s="110"/>
      <c r="EY47" s="110"/>
      <c r="EZ47" s="100"/>
      <c r="FA47" s="70"/>
      <c r="FB47" s="70"/>
      <c r="FC47" s="100"/>
      <c r="FD47" s="70"/>
      <c r="FE47" s="70"/>
      <c r="FF47" s="70"/>
      <c r="FG47" s="70"/>
      <c r="FH47" s="70"/>
      <c r="FI47" s="110"/>
      <c r="FJ47" s="110"/>
      <c r="FK47" s="110"/>
      <c r="FL47" s="110"/>
      <c r="FM47" s="110"/>
      <c r="FN47" s="110"/>
      <c r="FO47" s="100"/>
      <c r="FP47" s="70"/>
      <c r="FQ47" s="70"/>
      <c r="FR47" s="100"/>
      <c r="FS47" s="70"/>
      <c r="FT47" s="70"/>
      <c r="FU47" s="100"/>
      <c r="FV47" s="70"/>
      <c r="FW47" s="70"/>
      <c r="FX47" s="100"/>
      <c r="FY47" s="70"/>
      <c r="FZ47" s="70"/>
      <c r="GA47" s="70"/>
      <c r="GB47" s="70"/>
      <c r="GC47" s="70"/>
      <c r="GD47" s="110"/>
      <c r="GE47" s="110"/>
      <c r="GF47" s="110"/>
      <c r="GG47" s="110"/>
      <c r="GH47" s="110"/>
      <c r="GI47" s="110"/>
      <c r="GJ47" s="70"/>
      <c r="GK47" s="70"/>
      <c r="GL47" s="70"/>
      <c r="GM47" s="70"/>
      <c r="GN47" s="70"/>
      <c r="GO47" s="70"/>
      <c r="GP47" s="70"/>
      <c r="GQ47" s="70" t="s">
        <v>6415</v>
      </c>
      <c r="GR47" s="70"/>
      <c r="GS47" s="100"/>
      <c r="GT47" s="70"/>
      <c r="GU47" s="70"/>
      <c r="GV47" s="147" t="s">
        <v>6942</v>
      </c>
      <c r="GW47" s="70" t="s">
        <v>6942</v>
      </c>
      <c r="GX47" s="70"/>
      <c r="GY47" s="64"/>
      <c r="GZ47" s="87"/>
      <c r="HA47" s="87"/>
      <c r="HB47" s="110"/>
      <c r="HC47" s="110"/>
      <c r="HD47" s="110"/>
      <c r="HE47" s="64"/>
      <c r="HF47" s="70"/>
      <c r="HG47" s="70"/>
      <c r="HH47" s="147" t="s">
        <v>6943</v>
      </c>
      <c r="HI47" s="70"/>
      <c r="HJ47" s="1631"/>
      <c r="HK47" s="147" t="s">
        <v>6647</v>
      </c>
      <c r="HL47" s="70" t="s">
        <v>6703</v>
      </c>
      <c r="HM47" s="70"/>
      <c r="HN47" s="64"/>
      <c r="HO47" s="70"/>
      <c r="HP47" s="70"/>
      <c r="HQ47" s="64"/>
      <c r="HR47" s="70"/>
      <c r="HS47" s="328" t="s">
        <v>6919</v>
      </c>
      <c r="HT47" s="260"/>
      <c r="HU47" s="260"/>
      <c r="HV47" s="260"/>
      <c r="HW47" s="260"/>
      <c r="HX47" s="260"/>
      <c r="HY47" s="260"/>
      <c r="HZ47" s="260"/>
      <c r="IA47" s="260"/>
      <c r="IB47" s="274"/>
      <c r="IC47" s="201"/>
      <c r="ID47" s="198"/>
      <c r="IE47" s="268"/>
      <c r="IF47" s="197" t="s">
        <v>6347</v>
      </c>
      <c r="IG47" s="198"/>
      <c r="IH47" s="268"/>
      <c r="II47" s="201"/>
      <c r="IJ47" s="199"/>
      <c r="IK47" s="268"/>
      <c r="IL47" s="201"/>
      <c r="IM47" s="198"/>
      <c r="IN47" s="268"/>
      <c r="IO47" s="288"/>
      <c r="IP47" s="260"/>
      <c r="IQ47" s="296"/>
      <c r="IR47" s="288"/>
      <c r="IS47" s="260"/>
      <c r="IT47" s="296"/>
      <c r="IU47" s="201"/>
      <c r="IV47" s="454"/>
      <c r="IW47" s="470"/>
      <c r="IX47" s="201"/>
      <c r="IY47" s="198"/>
      <c r="IZ47" s="268"/>
      <c r="JA47" s="201"/>
      <c r="JB47" s="198"/>
      <c r="JC47" s="268"/>
      <c r="JD47" s="201"/>
      <c r="JF47" s="268"/>
      <c r="JG47" s="201"/>
      <c r="JH47" s="70"/>
      <c r="JI47" s="268"/>
      <c r="JJ47" s="288"/>
      <c r="JK47" s="260"/>
      <c r="JL47" s="296"/>
      <c r="JM47" s="288"/>
      <c r="JN47" s="260"/>
      <c r="JO47" s="296"/>
      <c r="JP47" s="64"/>
      <c r="JQ47" s="388"/>
      <c r="JR47" s="489"/>
      <c r="JS47" s="502"/>
      <c r="JT47" s="491"/>
      <c r="JU47" s="69"/>
      <c r="JV47" s="64"/>
      <c r="JW47" s="70"/>
      <c r="JX47" s="70"/>
      <c r="JY47" s="64"/>
      <c r="JZ47" s="70"/>
      <c r="KA47" s="70"/>
      <c r="KB47" s="64"/>
      <c r="KC47" s="70"/>
      <c r="KD47" s="64"/>
      <c r="KE47" s="110"/>
      <c r="KF47" s="110"/>
      <c r="KG47" s="110"/>
      <c r="KH47" s="110"/>
      <c r="KI47" s="110"/>
      <c r="KJ47" s="110"/>
      <c r="KK47" s="64"/>
      <c r="KL47" s="70"/>
      <c r="KM47" s="513"/>
      <c r="KN47" s="64"/>
      <c r="KO47" s="70"/>
      <c r="KP47" s="70"/>
      <c r="KQ47" s="64"/>
      <c r="KR47" s="70"/>
      <c r="KS47" s="70"/>
      <c r="KT47" s="64"/>
      <c r="KU47" s="70"/>
      <c r="KV47" s="70"/>
      <c r="KW47" s="64"/>
      <c r="KX47" s="70"/>
      <c r="KY47" s="64"/>
      <c r="KZ47" s="110"/>
      <c r="LA47" s="110"/>
      <c r="LB47" s="110"/>
      <c r="LC47" s="110"/>
      <c r="LD47" s="110"/>
      <c r="LE47" s="110"/>
      <c r="LF47" s="64"/>
      <c r="LG47" s="513"/>
      <c r="LH47" s="513"/>
      <c r="LI47" s="64"/>
      <c r="LJ47" s="70"/>
      <c r="LK47" s="70"/>
      <c r="LL47" s="64"/>
      <c r="LM47" s="70"/>
      <c r="LN47" s="70"/>
      <c r="LO47" s="64"/>
      <c r="LP47" s="70"/>
      <c r="LQ47" s="70"/>
      <c r="LR47" s="64"/>
      <c r="LS47" s="70"/>
      <c r="LT47" s="64"/>
      <c r="LU47" s="110"/>
      <c r="LV47" s="110"/>
      <c r="LW47" s="110"/>
      <c r="LX47" s="110"/>
      <c r="LY47" s="110"/>
      <c r="LZ47" s="110"/>
      <c r="MA47" s="64"/>
      <c r="MB47" s="513"/>
      <c r="MC47" s="513"/>
      <c r="ME47" s="64"/>
      <c r="MF47" s="70"/>
      <c r="MG47" s="513"/>
      <c r="MH47" s="64"/>
      <c r="MI47" s="70"/>
      <c r="MJ47" s="513"/>
      <c r="MK47" s="64"/>
      <c r="ML47" s="70"/>
      <c r="MM47" s="70"/>
      <c r="MN47" s="64"/>
      <c r="MO47" s="70"/>
      <c r="MP47" s="64"/>
      <c r="MQ47" s="563" t="s">
        <v>6647</v>
      </c>
      <c r="MR47" s="70"/>
      <c r="MS47" s="70"/>
      <c r="MT47" s="110"/>
      <c r="MU47" s="110"/>
      <c r="MV47" s="110"/>
      <c r="MW47" s="109"/>
      <c r="MX47" s="110"/>
      <c r="MY47" s="128"/>
      <c r="MZ47" s="592" t="s">
        <v>6944</v>
      </c>
      <c r="NA47" s="560" t="s">
        <v>6546</v>
      </c>
      <c r="NB47" s="593"/>
      <c r="NC47" s="77" t="s">
        <v>6945</v>
      </c>
      <c r="ND47" s="87" t="s">
        <v>6811</v>
      </c>
      <c r="NE47" s="513"/>
      <c r="NF47" s="70" t="s">
        <v>6946</v>
      </c>
      <c r="NG47" s="546" t="s">
        <v>6947</v>
      </c>
      <c r="NH47" s="70"/>
      <c r="NI47" s="77" t="s">
        <v>6803</v>
      </c>
      <c r="NJ47" s="547" t="s">
        <v>6948</v>
      </c>
      <c r="NK47" s="64"/>
      <c r="NL47" s="70"/>
      <c r="NM47" s="70"/>
      <c r="NN47" s="70"/>
      <c r="NO47" s="110"/>
      <c r="NP47" s="110"/>
      <c r="NQ47" s="110"/>
      <c r="NR47" s="109"/>
      <c r="NS47" s="110"/>
      <c r="NT47" s="110"/>
      <c r="NU47" s="64"/>
      <c r="NV47" s="513"/>
      <c r="NW47" s="513"/>
    </row>
    <row r="48" spans="1:387" ht="14.4">
      <c r="A48" s="1682"/>
      <c r="B48" s="1643"/>
      <c r="C48" s="1656"/>
      <c r="D48" s="68"/>
      <c r="E48" s="70"/>
      <c r="F48" s="70"/>
      <c r="G48" s="68"/>
      <c r="H48" s="70"/>
      <c r="I48" s="70"/>
      <c r="J48" s="111"/>
      <c r="K48" s="110"/>
      <c r="L48" s="110"/>
      <c r="M48" s="110"/>
      <c r="N48" s="110"/>
      <c r="O48" s="110"/>
      <c r="P48" s="68" t="s">
        <v>6930</v>
      </c>
      <c r="Q48" s="141" t="s">
        <v>6347</v>
      </c>
      <c r="R48" s="70"/>
      <c r="S48" s="68"/>
      <c r="T48" s="70"/>
      <c r="U48" s="70"/>
      <c r="V48" s="68"/>
      <c r="W48" s="70"/>
      <c r="X48" s="70"/>
      <c r="Y48" s="68"/>
      <c r="Z48" s="70"/>
      <c r="AA48" s="70"/>
      <c r="AB48" s="68"/>
      <c r="AC48" s="70"/>
      <c r="AD48" s="70"/>
      <c r="AE48" s="110"/>
      <c r="AF48" s="110"/>
      <c r="AG48" s="110"/>
      <c r="AH48" s="110"/>
      <c r="AI48" s="110"/>
      <c r="AJ48" s="110"/>
      <c r="AK48" s="70"/>
      <c r="AL48" s="70"/>
      <c r="AM48" s="70"/>
      <c r="AN48" s="68"/>
      <c r="AO48" s="154"/>
      <c r="AP48" s="70"/>
      <c r="AQ48" s="68"/>
      <c r="AR48" s="66" t="s">
        <v>6731</v>
      </c>
      <c r="AS48" s="70"/>
      <c r="AT48" s="68"/>
      <c r="AU48" s="70"/>
      <c r="AV48" s="70"/>
      <c r="AW48" s="68"/>
      <c r="AX48" s="70"/>
      <c r="AY48" s="70"/>
      <c r="AZ48" s="110"/>
      <c r="BA48" s="110"/>
      <c r="BB48" s="110"/>
      <c r="BC48" s="110"/>
      <c r="BD48" s="110"/>
      <c r="BE48" s="110"/>
      <c r="BF48" s="70"/>
      <c r="BG48" s="70"/>
      <c r="BH48" s="70"/>
      <c r="BI48" s="176"/>
      <c r="BJ48" s="177"/>
      <c r="BK48" s="177"/>
      <c r="BL48" s="68"/>
      <c r="BM48" s="70"/>
      <c r="BN48" s="70"/>
      <c r="BO48" s="70"/>
      <c r="BP48" s="68"/>
      <c r="BQ48" s="70"/>
      <c r="BR48" s="70"/>
      <c r="BS48" s="70"/>
      <c r="BT48" s="68"/>
      <c r="BU48" s="70"/>
      <c r="BV48" s="70"/>
      <c r="BW48" s="70"/>
      <c r="BX48" s="110"/>
      <c r="BY48" s="110"/>
      <c r="BZ48" s="110"/>
      <c r="CA48" s="110"/>
      <c r="CB48" s="110"/>
      <c r="CC48" s="128"/>
      <c r="CD48" s="201"/>
      <c r="CE48" s="198"/>
      <c r="CF48" s="198"/>
      <c r="CG48" s="198"/>
      <c r="CH48" s="198"/>
      <c r="CI48" s="198"/>
      <c r="CJ48" s="198"/>
      <c r="CK48" s="220"/>
      <c r="CL48" s="201"/>
      <c r="CM48" s="198"/>
      <c r="CN48" s="198"/>
      <c r="CO48" s="198"/>
      <c r="CP48" s="198"/>
      <c r="CQ48" s="198"/>
      <c r="CR48" s="198"/>
      <c r="CS48" s="198"/>
      <c r="CT48" s="198"/>
      <c r="CU48" s="198"/>
      <c r="CV48" s="220"/>
      <c r="CW48" s="260"/>
      <c r="CX48" s="260"/>
      <c r="CY48" s="260"/>
      <c r="CZ48" s="260"/>
      <c r="DA48" s="260"/>
      <c r="DB48" s="260"/>
      <c r="DC48" s="309"/>
      <c r="DD48" s="69"/>
      <c r="DE48" s="70"/>
      <c r="DF48" s="68"/>
      <c r="DG48" s="70"/>
      <c r="DH48" s="70"/>
      <c r="DI48" s="70"/>
      <c r="DJ48" s="68"/>
      <c r="DK48" s="70"/>
      <c r="DL48" s="70"/>
      <c r="DM48" s="68"/>
      <c r="DN48" s="70"/>
      <c r="DO48" s="70"/>
      <c r="DP48" s="87" t="s">
        <v>6579</v>
      </c>
      <c r="DQ48" s="70"/>
      <c r="DR48" s="70"/>
      <c r="DS48" s="110"/>
      <c r="DT48" s="110"/>
      <c r="DU48" s="110"/>
      <c r="DV48" s="110"/>
      <c r="DW48" s="110"/>
      <c r="DX48" s="110"/>
      <c r="DY48" s="68"/>
      <c r="DZ48" s="70"/>
      <c r="EA48" s="70"/>
      <c r="EB48" s="110"/>
      <c r="EC48" s="110"/>
      <c r="ED48" s="110"/>
      <c r="EE48" s="68"/>
      <c r="EF48" s="70"/>
      <c r="EG48" s="70"/>
      <c r="EH48" s="68"/>
      <c r="EI48" s="70"/>
      <c r="EJ48" s="70"/>
      <c r="EK48" s="329"/>
      <c r="EL48" s="166" t="s">
        <v>6666</v>
      </c>
      <c r="EM48" s="69"/>
      <c r="EN48" s="110"/>
      <c r="EO48" s="110"/>
      <c r="EP48" s="110"/>
      <c r="EQ48" s="110"/>
      <c r="ER48" s="110"/>
      <c r="ES48" s="110"/>
      <c r="ET48" s="68"/>
      <c r="EU48" s="70"/>
      <c r="EV48" s="70"/>
      <c r="EW48" s="110"/>
      <c r="EX48" s="110"/>
      <c r="EY48" s="110"/>
      <c r="EZ48" s="68"/>
      <c r="FA48" s="70"/>
      <c r="FB48" s="70"/>
      <c r="FC48" s="68"/>
      <c r="FD48" s="70"/>
      <c r="FE48" s="70"/>
      <c r="FF48" s="68"/>
      <c r="FG48" s="70"/>
      <c r="FH48" s="70"/>
      <c r="FI48" s="110"/>
      <c r="FJ48" s="110"/>
      <c r="FK48" s="110"/>
      <c r="FL48" s="110"/>
      <c r="FM48" s="110"/>
      <c r="FN48" s="110"/>
      <c r="FO48" s="68"/>
      <c r="FP48" s="70"/>
      <c r="FQ48" s="70"/>
      <c r="FR48" s="68"/>
      <c r="FS48" s="70"/>
      <c r="FT48" s="70"/>
      <c r="FU48" s="68"/>
      <c r="FV48" s="70"/>
      <c r="FW48" s="70"/>
      <c r="FX48" s="68"/>
      <c r="FY48" s="70"/>
      <c r="FZ48" s="70"/>
      <c r="GA48" s="68"/>
      <c r="GB48" s="70"/>
      <c r="GC48" s="70"/>
      <c r="GD48" s="110"/>
      <c r="GE48" s="110"/>
      <c r="GF48" s="110"/>
      <c r="GG48" s="110"/>
      <c r="GH48" s="110"/>
      <c r="GI48" s="110"/>
      <c r="GJ48" s="68"/>
      <c r="GK48" s="70"/>
      <c r="GL48" s="70"/>
      <c r="GM48" s="68"/>
      <c r="GN48" s="70"/>
      <c r="GO48" s="70"/>
      <c r="GP48" s="70"/>
      <c r="GQ48" s="70"/>
      <c r="GR48" s="70"/>
      <c r="GS48" s="68"/>
      <c r="GT48" s="70"/>
      <c r="GU48" s="70"/>
      <c r="GV48" s="68"/>
      <c r="GW48" s="70"/>
      <c r="GX48" s="70"/>
      <c r="GY48" s="349"/>
      <c r="GZ48" s="87"/>
      <c r="HA48" s="87"/>
      <c r="HB48" s="110"/>
      <c r="HC48" s="110"/>
      <c r="HD48" s="110"/>
      <c r="HE48" s="344"/>
      <c r="HF48" s="70"/>
      <c r="HG48" s="70"/>
      <c r="HH48" s="68"/>
      <c r="HI48" s="70"/>
      <c r="HJ48" s="1631"/>
      <c r="HK48" s="344"/>
      <c r="HL48" s="70" t="s">
        <v>6647</v>
      </c>
      <c r="HM48" s="70"/>
      <c r="HN48" s="68"/>
      <c r="HO48" s="70"/>
      <c r="HP48" s="70"/>
      <c r="HQ48" s="344"/>
      <c r="HR48" s="70"/>
      <c r="HS48" s="329" t="s">
        <v>6937</v>
      </c>
      <c r="HT48" s="260"/>
      <c r="HU48" s="260"/>
      <c r="HV48" s="260"/>
      <c r="HW48" s="260"/>
      <c r="HX48" s="260"/>
      <c r="HY48" s="260"/>
      <c r="HZ48" s="405"/>
      <c r="IA48" s="260"/>
      <c r="IB48" s="274"/>
      <c r="IC48" s="234"/>
      <c r="ID48" s="198"/>
      <c r="IE48" s="268"/>
      <c r="IF48" s="197" t="s">
        <v>6876</v>
      </c>
      <c r="IG48" s="198"/>
      <c r="IH48" s="268"/>
      <c r="II48" s="201"/>
      <c r="IJ48" s="199"/>
      <c r="IK48" s="268"/>
      <c r="IL48" s="234"/>
      <c r="IM48" s="198"/>
      <c r="IN48" s="268"/>
      <c r="IO48" s="288"/>
      <c r="IP48" s="260"/>
      <c r="IQ48" s="296"/>
      <c r="IR48" s="288"/>
      <c r="IS48" s="260"/>
      <c r="IT48" s="296"/>
      <c r="IU48" s="234"/>
      <c r="IV48" s="454"/>
      <c r="IW48" s="470"/>
      <c r="IX48" s="234"/>
      <c r="IY48" s="198"/>
      <c r="IZ48" s="268"/>
      <c r="JA48" s="197"/>
      <c r="JB48" s="198"/>
      <c r="JC48" s="268"/>
      <c r="JD48" s="201"/>
      <c r="JF48" s="268"/>
      <c r="JG48" s="234"/>
      <c r="JH48" s="70"/>
      <c r="JI48" s="268"/>
      <c r="JJ48" s="288"/>
      <c r="JK48" s="260"/>
      <c r="JL48" s="296"/>
      <c r="JM48" s="288"/>
      <c r="JN48" s="260"/>
      <c r="JO48" s="296"/>
      <c r="JP48" s="344"/>
      <c r="JQ48" s="388"/>
      <c r="JR48" s="489"/>
      <c r="JS48" s="520"/>
      <c r="JT48" s="491"/>
      <c r="JU48" s="69"/>
      <c r="JV48" s="77"/>
      <c r="JW48" s="70"/>
      <c r="JX48" s="70"/>
      <c r="JY48" s="68"/>
      <c r="JZ48" s="70"/>
      <c r="KA48" s="70"/>
      <c r="KB48" s="344"/>
      <c r="KC48" s="70"/>
      <c r="KD48" s="68"/>
      <c r="KE48" s="110"/>
      <c r="KF48" s="110"/>
      <c r="KG48" s="110"/>
      <c r="KH48" s="110"/>
      <c r="KI48" s="110"/>
      <c r="KJ48" s="110"/>
      <c r="KK48" s="344"/>
      <c r="KL48" s="70"/>
      <c r="KM48" s="513"/>
      <c r="KN48" s="344"/>
      <c r="KO48" s="70"/>
      <c r="KP48" s="70"/>
      <c r="KQ48" s="77"/>
      <c r="KR48" s="70"/>
      <c r="KS48" s="70"/>
      <c r="KT48" s="68"/>
      <c r="KU48" s="70"/>
      <c r="KV48" s="70"/>
      <c r="KW48" s="344"/>
      <c r="KX48" s="70"/>
      <c r="KY48" s="68"/>
      <c r="KZ48" s="110"/>
      <c r="LA48" s="110"/>
      <c r="LB48" s="110"/>
      <c r="LC48" s="110"/>
      <c r="LD48" s="110"/>
      <c r="LE48" s="110"/>
      <c r="LF48" s="344"/>
      <c r="LG48" s="513"/>
      <c r="LH48" s="513"/>
      <c r="LI48" s="344"/>
      <c r="LJ48" s="70"/>
      <c r="LK48" s="70"/>
      <c r="LL48" s="77"/>
      <c r="LM48" s="70"/>
      <c r="LN48" s="70"/>
      <c r="LO48" s="68"/>
      <c r="LP48" s="70"/>
      <c r="LQ48" s="70"/>
      <c r="LR48" s="344"/>
      <c r="LS48" s="70"/>
      <c r="LT48" s="68"/>
      <c r="LU48" s="110"/>
      <c r="LV48" s="110"/>
      <c r="LW48" s="110"/>
      <c r="LX48" s="110"/>
      <c r="LY48" s="110"/>
      <c r="LZ48" s="110"/>
      <c r="MA48" s="344"/>
      <c r="MB48" s="513"/>
      <c r="MC48" s="513"/>
      <c r="ME48" s="344"/>
      <c r="MF48" s="70"/>
      <c r="MG48" s="513"/>
      <c r="MH48" s="344"/>
      <c r="MI48" s="70"/>
      <c r="MJ48" s="513"/>
      <c r="MK48" s="68"/>
      <c r="ML48" s="70"/>
      <c r="MM48" s="70"/>
      <c r="MN48" s="344"/>
      <c r="MO48" s="70"/>
      <c r="MP48" s="68"/>
      <c r="MQ48" s="344"/>
      <c r="MR48" s="70"/>
      <c r="MS48" s="70"/>
      <c r="MT48" s="110"/>
      <c r="MU48" s="110"/>
      <c r="MV48" s="110"/>
      <c r="MW48" s="581"/>
      <c r="MX48" s="110"/>
      <c r="MY48" s="128"/>
      <c r="MZ48" s="594"/>
      <c r="NA48" s="560" t="s">
        <v>6636</v>
      </c>
      <c r="NB48" s="593"/>
      <c r="NC48" s="87" t="s">
        <v>6923</v>
      </c>
      <c r="ND48" s="70"/>
      <c r="NE48" s="513"/>
      <c r="NF48" s="68"/>
      <c r="NG48" s="70"/>
      <c r="NH48" s="70"/>
      <c r="NI48" s="344"/>
      <c r="NJ48" s="70"/>
      <c r="NK48" s="68"/>
      <c r="NL48" s="344"/>
      <c r="NM48" s="70"/>
      <c r="NN48" s="70"/>
      <c r="NO48" s="110"/>
      <c r="NP48" s="110"/>
      <c r="NQ48" s="110"/>
      <c r="NR48" s="581"/>
      <c r="NS48" s="110"/>
      <c r="NT48" s="110"/>
      <c r="NU48" s="344"/>
      <c r="NV48" s="513"/>
      <c r="NW48" s="513"/>
    </row>
    <row r="49" spans="1:387" ht="14.4">
      <c r="A49" s="1682"/>
      <c r="B49" s="1643"/>
      <c r="C49" s="1657"/>
      <c r="D49" s="70"/>
      <c r="E49" s="70"/>
      <c r="F49" s="70"/>
      <c r="G49" s="70"/>
      <c r="H49" s="70"/>
      <c r="I49" s="70"/>
      <c r="J49" s="110"/>
      <c r="K49" s="110"/>
      <c r="L49" s="110"/>
      <c r="M49" s="110"/>
      <c r="N49" s="110"/>
      <c r="O49" s="110"/>
      <c r="P49" s="70"/>
      <c r="Q49" s="141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110"/>
      <c r="AF49" s="110"/>
      <c r="AG49" s="110"/>
      <c r="AH49" s="110"/>
      <c r="AI49" s="110"/>
      <c r="AJ49" s="110"/>
      <c r="AK49" s="70"/>
      <c r="AL49" s="70"/>
      <c r="AM49" s="70"/>
      <c r="AN49" s="70"/>
      <c r="AO49" s="154"/>
      <c r="AP49" s="70"/>
      <c r="AQ49" s="70"/>
      <c r="AR49" s="66"/>
      <c r="AS49" s="70"/>
      <c r="AT49" s="70"/>
      <c r="AU49" s="70"/>
      <c r="AV49" s="70"/>
      <c r="AW49" s="70"/>
      <c r="AX49" s="70"/>
      <c r="AY49" s="70"/>
      <c r="AZ49" s="110"/>
      <c r="BA49" s="110"/>
      <c r="BB49" s="110"/>
      <c r="BC49" s="110"/>
      <c r="BD49" s="110"/>
      <c r="BE49" s="110"/>
      <c r="BF49" s="70"/>
      <c r="BG49" s="70"/>
      <c r="BH49" s="70"/>
      <c r="BI49" s="177"/>
      <c r="BJ49" s="177"/>
      <c r="BK49" s="177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110"/>
      <c r="BY49" s="110"/>
      <c r="BZ49" s="110"/>
      <c r="CA49" s="110"/>
      <c r="CB49" s="110"/>
      <c r="CC49" s="128"/>
      <c r="CD49" s="236"/>
      <c r="CE49" s="237"/>
      <c r="CF49" s="237"/>
      <c r="CG49" s="237"/>
      <c r="CH49" s="237"/>
      <c r="CI49" s="237"/>
      <c r="CJ49" s="237"/>
      <c r="CK49" s="256"/>
      <c r="CL49" s="236"/>
      <c r="CM49" s="237"/>
      <c r="CN49" s="237"/>
      <c r="CO49" s="237"/>
      <c r="CP49" s="237"/>
      <c r="CQ49" s="237"/>
      <c r="CR49" s="237"/>
      <c r="CS49" s="237"/>
      <c r="CT49" s="237"/>
      <c r="CU49" s="237"/>
      <c r="CV49" s="256"/>
      <c r="CW49" s="286"/>
      <c r="CX49" s="286"/>
      <c r="CY49" s="286"/>
      <c r="CZ49" s="286"/>
      <c r="DA49" s="286"/>
      <c r="DB49" s="286"/>
      <c r="DC49" s="302"/>
      <c r="DD49" s="69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87"/>
      <c r="DQ49" s="70"/>
      <c r="DR49" s="70"/>
      <c r="DS49" s="110"/>
      <c r="DT49" s="110"/>
      <c r="DU49" s="110"/>
      <c r="DV49" s="110"/>
      <c r="DW49" s="110"/>
      <c r="DX49" s="110"/>
      <c r="DY49" s="70"/>
      <c r="DZ49" s="70"/>
      <c r="EA49" s="70"/>
      <c r="EB49" s="110"/>
      <c r="EC49" s="110"/>
      <c r="ED49" s="110"/>
      <c r="EE49" s="70"/>
      <c r="EF49" s="70"/>
      <c r="EG49" s="70"/>
      <c r="EH49" s="70"/>
      <c r="EI49" s="70"/>
      <c r="EJ49" s="70"/>
      <c r="EK49" s="218"/>
      <c r="EL49" s="336"/>
      <c r="EM49" s="69"/>
      <c r="EN49" s="110"/>
      <c r="EO49" s="110"/>
      <c r="EP49" s="110"/>
      <c r="EQ49" s="110"/>
      <c r="ER49" s="110"/>
      <c r="ES49" s="110"/>
      <c r="ET49" s="70"/>
      <c r="EU49" s="70"/>
      <c r="EV49" s="70"/>
      <c r="EW49" s="110"/>
      <c r="EX49" s="110"/>
      <c r="EY49" s="110"/>
      <c r="EZ49" s="70"/>
      <c r="FA49" s="70"/>
      <c r="FB49" s="70"/>
      <c r="FC49" s="70"/>
      <c r="FD49" s="70"/>
      <c r="FE49" s="70"/>
      <c r="FF49" s="70"/>
      <c r="FG49" s="70"/>
      <c r="FH49" s="70"/>
      <c r="FI49" s="110"/>
      <c r="FJ49" s="110"/>
      <c r="FK49" s="110"/>
      <c r="FL49" s="110"/>
      <c r="FM49" s="110"/>
      <c r="FN49" s="110"/>
      <c r="FO49" s="70"/>
      <c r="FP49" s="70"/>
      <c r="FQ49" s="70"/>
      <c r="FR49" s="70"/>
      <c r="FS49" s="70"/>
      <c r="FT49" s="70"/>
      <c r="FU49" s="70"/>
      <c r="FV49" s="70"/>
      <c r="FW49" s="70"/>
      <c r="FX49" s="70"/>
      <c r="FY49" s="70"/>
      <c r="FZ49" s="70"/>
      <c r="GA49" s="70"/>
      <c r="GB49" s="70"/>
      <c r="GC49" s="70"/>
      <c r="GD49" s="110"/>
      <c r="GE49" s="110"/>
      <c r="GF49" s="110"/>
      <c r="GG49" s="110"/>
      <c r="GH49" s="110"/>
      <c r="GI49" s="110"/>
      <c r="GJ49" s="70"/>
      <c r="GK49" s="70"/>
      <c r="GL49" s="70"/>
      <c r="GM49" s="70"/>
      <c r="GN49" s="70"/>
      <c r="GO49" s="70"/>
      <c r="GP49" s="70"/>
      <c r="GQ49" s="70"/>
      <c r="GR49" s="70"/>
      <c r="GS49" s="70"/>
      <c r="GT49" s="70"/>
      <c r="GU49" s="70"/>
      <c r="GV49" s="70"/>
      <c r="GW49" s="70"/>
      <c r="GX49" s="70"/>
      <c r="GY49" s="349"/>
      <c r="GZ49" s="87"/>
      <c r="HA49" s="87"/>
      <c r="HB49" s="110"/>
      <c r="HC49" s="110"/>
      <c r="HD49" s="110"/>
      <c r="HE49" s="76"/>
      <c r="HF49" s="70"/>
      <c r="HG49" s="70"/>
      <c r="HH49" s="70"/>
      <c r="HI49" s="70"/>
      <c r="HJ49" s="373"/>
      <c r="HK49" s="76"/>
      <c r="HL49" s="70" t="s">
        <v>6923</v>
      </c>
      <c r="HM49" s="70"/>
      <c r="HN49" s="70"/>
      <c r="HO49" s="70"/>
      <c r="HP49" s="70"/>
      <c r="HQ49" s="76"/>
      <c r="HR49" s="70"/>
      <c r="HS49" s="218"/>
      <c r="HT49" s="260"/>
      <c r="HU49" s="260"/>
      <c r="HV49" s="260"/>
      <c r="HW49" s="260"/>
      <c r="HX49" s="260"/>
      <c r="HY49" s="260"/>
      <c r="HZ49" s="260"/>
      <c r="IA49" s="260"/>
      <c r="IB49" s="274"/>
      <c r="IC49" s="201"/>
      <c r="ID49" s="198"/>
      <c r="IE49" s="268"/>
      <c r="IF49" s="201"/>
      <c r="IG49" s="198"/>
      <c r="IH49" s="268"/>
      <c r="II49" s="201"/>
      <c r="IJ49" s="199"/>
      <c r="IK49" s="268"/>
      <c r="IL49" s="201"/>
      <c r="IM49" s="198"/>
      <c r="IN49" s="268"/>
      <c r="IO49" s="288"/>
      <c r="IP49" s="260"/>
      <c r="IQ49" s="296"/>
      <c r="IR49" s="288"/>
      <c r="IS49" s="260"/>
      <c r="IT49" s="296"/>
      <c r="IU49" s="201"/>
      <c r="IV49" s="454"/>
      <c r="IW49" s="470"/>
      <c r="IX49" s="201"/>
      <c r="IY49" s="198"/>
      <c r="IZ49" s="268"/>
      <c r="JA49" s="201"/>
      <c r="JB49" s="198"/>
      <c r="JC49" s="268"/>
      <c r="JD49" s="201"/>
      <c r="JE49" s="198"/>
      <c r="JF49" s="268"/>
      <c r="JG49" s="201"/>
      <c r="JH49" s="70"/>
      <c r="JI49" s="268"/>
      <c r="JJ49" s="288"/>
      <c r="JK49" s="260"/>
      <c r="JL49" s="296"/>
      <c r="JM49" s="288"/>
      <c r="JN49" s="260"/>
      <c r="JO49" s="296"/>
      <c r="JP49" s="76"/>
      <c r="JQ49" s="388"/>
      <c r="JR49" s="489"/>
      <c r="JS49" s="521"/>
      <c r="JT49" s="491"/>
      <c r="JU49" s="69"/>
      <c r="JV49" s="87"/>
      <c r="JW49" s="70"/>
      <c r="JX49" s="70"/>
      <c r="JY49" s="70"/>
      <c r="JZ49" s="70"/>
      <c r="KA49" s="70"/>
      <c r="KB49" s="76"/>
      <c r="KC49" s="70"/>
      <c r="KD49" s="70"/>
      <c r="KE49" s="110"/>
      <c r="KF49" s="110"/>
      <c r="KG49" s="110"/>
      <c r="KH49" s="110"/>
      <c r="KI49" s="110"/>
      <c r="KJ49" s="110"/>
      <c r="KK49" s="344"/>
      <c r="KL49" s="70"/>
      <c r="KM49" s="513"/>
      <c r="KN49" s="344"/>
      <c r="KO49" s="70"/>
      <c r="KP49" s="70"/>
      <c r="KQ49" s="77"/>
      <c r="KR49" s="70"/>
      <c r="KS49" s="70"/>
      <c r="KT49" s="68"/>
      <c r="KU49" s="70"/>
      <c r="KV49" s="70"/>
      <c r="KW49" s="344"/>
      <c r="KX49" s="70"/>
      <c r="KY49" s="68"/>
      <c r="KZ49" s="110"/>
      <c r="LA49" s="110"/>
      <c r="LB49" s="110"/>
      <c r="LC49" s="110"/>
      <c r="LD49" s="110"/>
      <c r="LE49" s="110"/>
      <c r="LF49" s="344"/>
      <c r="LG49" s="513"/>
      <c r="LH49" s="513"/>
      <c r="LI49" s="344"/>
      <c r="LJ49" s="70"/>
      <c r="LK49" s="70"/>
      <c r="LL49" s="77"/>
      <c r="LM49" s="70"/>
      <c r="LN49" s="70"/>
      <c r="LO49" s="68"/>
      <c r="LP49" s="70"/>
      <c r="LQ49" s="70"/>
      <c r="LR49" s="344"/>
      <c r="LS49" s="70"/>
      <c r="LT49" s="68"/>
      <c r="LU49" s="110"/>
      <c r="LV49" s="110"/>
      <c r="LW49" s="110"/>
      <c r="LX49" s="110"/>
      <c r="LY49" s="110"/>
      <c r="LZ49" s="110"/>
      <c r="MA49" s="344"/>
      <c r="MB49" s="513"/>
      <c r="MC49" s="513"/>
      <c r="ME49" s="70"/>
      <c r="MF49" s="229"/>
      <c r="MG49" s="497"/>
      <c r="MH49" s="70"/>
      <c r="MI49" s="229"/>
      <c r="MJ49" s="497"/>
      <c r="MK49" s="70"/>
      <c r="ML49" s="229"/>
      <c r="MM49" s="229"/>
      <c r="MN49" s="70"/>
      <c r="MO49" s="229"/>
      <c r="MP49" s="229"/>
      <c r="MQ49" s="70"/>
      <c r="MR49" s="229"/>
      <c r="MS49" s="229"/>
      <c r="MT49" s="338"/>
      <c r="MU49" s="338"/>
      <c r="MV49" s="338"/>
      <c r="MW49" s="110"/>
      <c r="MX49" s="338"/>
      <c r="MY49" s="578"/>
      <c r="MZ49" s="270"/>
      <c r="NA49" s="595" t="s">
        <v>6944</v>
      </c>
      <c r="NB49" s="596"/>
      <c r="NC49" s="70" t="s">
        <v>6949</v>
      </c>
      <c r="ND49" s="65"/>
      <c r="NE49" s="497"/>
      <c r="NF49" s="70"/>
      <c r="NG49" s="229"/>
      <c r="NH49" s="229"/>
      <c r="NI49" s="70"/>
      <c r="NJ49" s="229"/>
      <c r="NK49" s="229"/>
      <c r="NL49" s="70"/>
      <c r="NM49" s="229"/>
      <c r="NN49" s="229"/>
      <c r="NO49" s="110"/>
      <c r="NP49" s="110"/>
      <c r="NQ49" s="110"/>
      <c r="NR49" s="110"/>
      <c r="NS49" s="110"/>
      <c r="NT49" s="110"/>
      <c r="NU49" s="70"/>
      <c r="NV49" s="497"/>
      <c r="NW49" s="497"/>
    </row>
    <row r="50" spans="1:387" ht="14.4">
      <c r="A50" s="1683"/>
      <c r="B50" s="1644"/>
      <c r="C50" s="1657"/>
      <c r="D50" s="73"/>
      <c r="E50" s="73"/>
      <c r="F50" s="73"/>
      <c r="G50" s="73"/>
      <c r="H50" s="73"/>
      <c r="I50" s="73"/>
      <c r="J50" s="114"/>
      <c r="K50" s="114"/>
      <c r="L50" s="114"/>
      <c r="M50" s="114"/>
      <c r="N50" s="114"/>
      <c r="O50" s="114"/>
      <c r="P50" s="73"/>
      <c r="Q50" s="144" t="s">
        <v>6483</v>
      </c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114"/>
      <c r="AF50" s="114"/>
      <c r="AG50" s="114"/>
      <c r="AH50" s="114"/>
      <c r="AI50" s="114"/>
      <c r="AJ50" s="114"/>
      <c r="AK50" s="73"/>
      <c r="AL50" s="73"/>
      <c r="AM50" s="73"/>
      <c r="AN50" s="73"/>
      <c r="AO50" s="155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114"/>
      <c r="BA50" s="114"/>
      <c r="BB50" s="114"/>
      <c r="BC50" s="114"/>
      <c r="BD50" s="114"/>
      <c r="BE50" s="114"/>
      <c r="BF50" s="73"/>
      <c r="BG50" s="73"/>
      <c r="BH50" s="73"/>
      <c r="BI50" s="180"/>
      <c r="BJ50" s="180"/>
      <c r="BK50" s="180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114"/>
      <c r="BY50" s="114"/>
      <c r="BZ50" s="114"/>
      <c r="CA50" s="114"/>
      <c r="CB50" s="114"/>
      <c r="CC50" s="130"/>
      <c r="CD50" s="202"/>
      <c r="CE50" s="203"/>
      <c r="CF50" s="203"/>
      <c r="CG50" s="203"/>
      <c r="CH50" s="203"/>
      <c r="CI50" s="203"/>
      <c r="CJ50" s="203"/>
      <c r="CK50" s="221"/>
      <c r="CL50" s="202"/>
      <c r="CM50" s="203"/>
      <c r="CN50" s="203"/>
      <c r="CO50" s="203"/>
      <c r="CP50" s="203"/>
      <c r="CQ50" s="203"/>
      <c r="CR50" s="203"/>
      <c r="CS50" s="203"/>
      <c r="CT50" s="203"/>
      <c r="CU50" s="203"/>
      <c r="CV50" s="221"/>
      <c r="CW50" s="271"/>
      <c r="CX50" s="271"/>
      <c r="CY50" s="271"/>
      <c r="CZ50" s="271"/>
      <c r="DA50" s="271"/>
      <c r="DB50" s="271"/>
      <c r="DC50" s="303"/>
      <c r="DD50" s="72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114"/>
      <c r="DT50" s="114"/>
      <c r="DU50" s="114"/>
      <c r="DV50" s="114"/>
      <c r="DW50" s="114"/>
      <c r="DX50" s="114"/>
      <c r="DY50" s="73"/>
      <c r="DZ50" s="73"/>
      <c r="EA50" s="73"/>
      <c r="EB50" s="114"/>
      <c r="EC50" s="114"/>
      <c r="ED50" s="114"/>
      <c r="EE50" s="73"/>
      <c r="EF50" s="73"/>
      <c r="EG50" s="73"/>
      <c r="EH50" s="73"/>
      <c r="EI50" s="73"/>
      <c r="EJ50" s="73"/>
      <c r="EK50" s="73"/>
      <c r="EL50" s="337" t="s">
        <v>6675</v>
      </c>
      <c r="EM50" s="73"/>
      <c r="EN50" s="114"/>
      <c r="EO50" s="114"/>
      <c r="EP50" s="114"/>
      <c r="EQ50" s="114"/>
      <c r="ER50" s="114"/>
      <c r="ES50" s="114"/>
      <c r="ET50" s="73"/>
      <c r="EU50" s="73"/>
      <c r="EV50" s="73"/>
      <c r="EW50" s="114"/>
      <c r="EX50" s="114"/>
      <c r="EY50" s="114"/>
      <c r="EZ50" s="73"/>
      <c r="FA50" s="73"/>
      <c r="FB50" s="73"/>
      <c r="FC50" s="73"/>
      <c r="FD50" s="73"/>
      <c r="FE50" s="73"/>
      <c r="FF50" s="73"/>
      <c r="FG50" s="73"/>
      <c r="FH50" s="73"/>
      <c r="FI50" s="114"/>
      <c r="FJ50" s="114"/>
      <c r="FK50" s="114"/>
      <c r="FL50" s="114"/>
      <c r="FM50" s="114"/>
      <c r="FN50" s="114"/>
      <c r="FO50" s="73"/>
      <c r="FP50" s="73"/>
      <c r="FQ50" s="73"/>
      <c r="FR50" s="73"/>
      <c r="FS50" s="73"/>
      <c r="FT50" s="73"/>
      <c r="FU50" s="73"/>
      <c r="FV50" s="73"/>
      <c r="FW50" s="73"/>
      <c r="FX50" s="73"/>
      <c r="FY50" s="73"/>
      <c r="FZ50" s="73"/>
      <c r="GA50" s="73"/>
      <c r="GB50" s="73"/>
      <c r="GC50" s="73"/>
      <c r="GD50" s="114"/>
      <c r="GE50" s="114"/>
      <c r="GF50" s="114"/>
      <c r="GG50" s="114"/>
      <c r="GH50" s="114"/>
      <c r="GI50" s="114"/>
      <c r="GJ50" s="73"/>
      <c r="GK50" s="73"/>
      <c r="GL50" s="73"/>
      <c r="GM50" s="73"/>
      <c r="GN50" s="73"/>
      <c r="GO50" s="73"/>
      <c r="GP50" s="73"/>
      <c r="GQ50" s="73"/>
      <c r="GR50" s="73"/>
      <c r="GS50" s="73"/>
      <c r="GT50" s="73"/>
      <c r="GU50" s="73"/>
      <c r="GV50" s="73"/>
      <c r="GW50" s="73"/>
      <c r="GX50" s="73"/>
      <c r="GY50" s="92"/>
      <c r="GZ50" s="92"/>
      <c r="HA50" s="92"/>
      <c r="HB50" s="114"/>
      <c r="HC50" s="114"/>
      <c r="HD50" s="114"/>
      <c r="HE50" s="73"/>
      <c r="HF50" s="73"/>
      <c r="HG50" s="73"/>
      <c r="HH50" s="73"/>
      <c r="HI50" s="73"/>
      <c r="HJ50" s="73"/>
      <c r="HK50" s="73"/>
      <c r="HL50" s="73" t="s">
        <v>6950</v>
      </c>
      <c r="HM50" s="73"/>
      <c r="HN50" s="73"/>
      <c r="HO50" s="73"/>
      <c r="HP50" s="73"/>
      <c r="HQ50" s="73"/>
      <c r="HR50" s="73"/>
      <c r="HS50" s="254"/>
      <c r="HT50" s="271"/>
      <c r="HU50" s="271"/>
      <c r="HV50" s="271"/>
      <c r="HW50" s="271"/>
      <c r="HX50" s="271"/>
      <c r="HY50" s="271"/>
      <c r="HZ50" s="271"/>
      <c r="IA50" s="271"/>
      <c r="IB50" s="262"/>
      <c r="IC50" s="204"/>
      <c r="ID50" s="205" t="s">
        <v>6318</v>
      </c>
      <c r="IE50" s="269"/>
      <c r="IF50" s="204"/>
      <c r="IG50" s="205"/>
      <c r="IH50" s="269"/>
      <c r="II50" s="204"/>
      <c r="IJ50" s="436"/>
      <c r="IK50" s="269"/>
      <c r="IL50" s="204"/>
      <c r="IM50" s="205"/>
      <c r="IN50" s="269"/>
      <c r="IO50" s="289"/>
      <c r="IP50" s="271"/>
      <c r="IQ50" s="298"/>
      <c r="IR50" s="289"/>
      <c r="IS50" s="271"/>
      <c r="IT50" s="298"/>
      <c r="IU50" s="204"/>
      <c r="IV50" s="456"/>
      <c r="IW50" s="471"/>
      <c r="IX50" s="204"/>
      <c r="IY50" s="205"/>
      <c r="IZ50" s="269"/>
      <c r="JA50" s="204"/>
      <c r="JB50" s="205"/>
      <c r="JC50" s="269"/>
      <c r="JD50" s="204"/>
      <c r="JE50" s="205"/>
      <c r="JF50" s="269"/>
      <c r="JG50" s="204"/>
      <c r="JH50" s="229"/>
      <c r="JI50" s="269"/>
      <c r="JJ50" s="289"/>
      <c r="JK50" s="271"/>
      <c r="JL50" s="298"/>
      <c r="JM50" s="289"/>
      <c r="JN50" s="271"/>
      <c r="JO50" s="298"/>
      <c r="JP50" s="70"/>
      <c r="JQ50" s="498"/>
      <c r="JR50" s="499"/>
      <c r="JS50" s="517"/>
      <c r="JT50" s="501"/>
      <c r="JU50" s="531"/>
      <c r="JV50" s="229"/>
      <c r="JW50" s="229"/>
      <c r="JX50" s="229"/>
      <c r="JY50" s="70"/>
      <c r="JZ50" s="229"/>
      <c r="KA50" s="229"/>
      <c r="KB50" s="70"/>
      <c r="KC50" s="229"/>
      <c r="KD50" s="229"/>
      <c r="KE50" s="338"/>
      <c r="KF50" s="338"/>
      <c r="KG50" s="338"/>
      <c r="KH50" s="338"/>
      <c r="KI50" s="338"/>
      <c r="KJ50" s="338"/>
      <c r="KK50" s="344"/>
      <c r="KL50" s="70"/>
      <c r="KM50" s="513"/>
      <c r="KN50" s="344"/>
      <c r="KO50" s="70"/>
      <c r="KP50" s="70"/>
      <c r="KQ50" s="77"/>
      <c r="KR50" s="70"/>
      <c r="KS50" s="70"/>
      <c r="KT50" s="68"/>
      <c r="KU50" s="70"/>
      <c r="KV50" s="70"/>
      <c r="KW50" s="344"/>
      <c r="KX50" s="70"/>
      <c r="KY50" s="68"/>
      <c r="KZ50" s="110"/>
      <c r="LA50" s="110"/>
      <c r="LB50" s="110"/>
      <c r="LC50" s="110"/>
      <c r="LD50" s="110"/>
      <c r="LE50" s="110"/>
      <c r="LF50" s="344"/>
      <c r="LG50" s="513"/>
      <c r="LH50" s="513"/>
      <c r="LI50" s="344"/>
      <c r="LJ50" s="70"/>
      <c r="LK50" s="70"/>
      <c r="LL50" s="77"/>
      <c r="LM50" s="70"/>
      <c r="LN50" s="70"/>
      <c r="LO50" s="68"/>
      <c r="LP50" s="70"/>
      <c r="LQ50" s="70"/>
      <c r="LR50" s="344"/>
      <c r="LS50" s="70"/>
      <c r="LT50" s="68"/>
      <c r="LU50" s="110"/>
      <c r="LV50" s="110"/>
      <c r="LW50" s="110"/>
      <c r="LX50" s="110"/>
      <c r="LY50" s="110"/>
      <c r="LZ50" s="110"/>
      <c r="MA50" s="344"/>
      <c r="MB50" s="513"/>
      <c r="MC50" s="513"/>
      <c r="MD50" s="543"/>
      <c r="ME50" s="101"/>
      <c r="MF50" s="230"/>
      <c r="MG50" s="484"/>
      <c r="MH50" s="101"/>
      <c r="MI50" s="230"/>
      <c r="MJ50" s="484"/>
      <c r="MK50" s="101"/>
      <c r="ML50" s="230"/>
      <c r="MM50" s="230"/>
      <c r="MN50" s="101"/>
      <c r="MO50" s="230"/>
      <c r="MP50" s="230"/>
      <c r="MQ50" s="101"/>
      <c r="MR50" s="230"/>
      <c r="MS50" s="230"/>
      <c r="MT50" s="339"/>
      <c r="MU50" s="339"/>
      <c r="MV50" s="339"/>
      <c r="MW50" s="134"/>
      <c r="MX50" s="339"/>
      <c r="MY50" s="577"/>
      <c r="MZ50" s="264"/>
      <c r="NA50" s="589"/>
      <c r="NB50" s="590"/>
      <c r="NC50" s="101"/>
      <c r="ND50" s="293" t="s">
        <v>6951</v>
      </c>
      <c r="NE50" s="484"/>
      <c r="NF50" s="101"/>
      <c r="NG50" s="230"/>
      <c r="NH50" s="230"/>
      <c r="NI50" s="101"/>
      <c r="NJ50" s="230"/>
      <c r="NK50" s="230"/>
      <c r="NL50" s="101"/>
      <c r="NM50" s="230"/>
      <c r="NN50" s="253"/>
      <c r="NO50" s="607"/>
      <c r="NP50" s="108"/>
      <c r="NQ50" s="108"/>
      <c r="NR50" s="134"/>
      <c r="NS50" s="108"/>
      <c r="NT50" s="608"/>
      <c r="NU50" s="299"/>
      <c r="NV50" s="484"/>
      <c r="NW50" s="484"/>
    </row>
    <row r="51" spans="1:387" ht="14.4">
      <c r="A51" s="1637"/>
      <c r="B51" s="1648"/>
      <c r="C51" s="1663" t="s">
        <v>6529</v>
      </c>
      <c r="D51" s="101"/>
      <c r="E51" s="61"/>
      <c r="F51" s="61"/>
      <c r="G51" s="101"/>
      <c r="H51" s="61"/>
      <c r="I51" s="61"/>
      <c r="J51" s="134"/>
      <c r="K51" s="108"/>
      <c r="L51" s="108"/>
      <c r="M51" s="108"/>
      <c r="N51" s="108"/>
      <c r="O51" s="108"/>
      <c r="P51" s="101"/>
      <c r="Q51" s="61"/>
      <c r="R51" s="61"/>
      <c r="S51" s="101"/>
      <c r="T51" s="61"/>
      <c r="U51" s="61"/>
      <c r="V51" s="101"/>
      <c r="W51" s="61"/>
      <c r="X51" s="61"/>
      <c r="Y51" s="101"/>
      <c r="Z51" s="61"/>
      <c r="AA51" s="61"/>
      <c r="AB51" s="101"/>
      <c r="AC51" s="61"/>
      <c r="AD51" s="61"/>
      <c r="AE51" s="108"/>
      <c r="AF51" s="108"/>
      <c r="AG51" s="108"/>
      <c r="AH51" s="108"/>
      <c r="AI51" s="108"/>
      <c r="AJ51" s="108"/>
      <c r="AK51" s="61"/>
      <c r="AL51" s="61"/>
      <c r="AM51" s="61"/>
      <c r="AN51" s="101"/>
      <c r="AO51" s="150"/>
      <c r="AP51" s="61"/>
      <c r="AQ51" s="101"/>
      <c r="AR51" s="61"/>
      <c r="AS51" s="61"/>
      <c r="AT51" s="101"/>
      <c r="AU51" s="61"/>
      <c r="AV51" s="61"/>
      <c r="AW51" s="101"/>
      <c r="AX51" s="61"/>
      <c r="AY51" s="61"/>
      <c r="AZ51" s="108"/>
      <c r="BA51" s="108"/>
      <c r="BB51" s="108"/>
      <c r="BC51" s="108"/>
      <c r="BD51" s="108"/>
      <c r="BE51" s="108"/>
      <c r="BF51" s="61"/>
      <c r="BG51" s="61"/>
      <c r="BH51" s="61"/>
      <c r="BI51" s="193"/>
      <c r="BJ51" s="173"/>
      <c r="BK51" s="173"/>
      <c r="BL51" s="101"/>
      <c r="BM51" s="61"/>
      <c r="BN51" s="61"/>
      <c r="BO51" s="61"/>
      <c r="BP51" s="101"/>
      <c r="BQ51" s="61"/>
      <c r="BR51" s="61"/>
      <c r="BS51" s="61"/>
      <c r="BT51" s="101"/>
      <c r="BU51" s="61"/>
      <c r="BV51" s="61"/>
      <c r="BW51" s="61"/>
      <c r="BX51" s="108"/>
      <c r="BY51" s="108"/>
      <c r="BZ51" s="108"/>
      <c r="CA51" s="108"/>
      <c r="CB51" s="108"/>
      <c r="CC51" s="126"/>
      <c r="CD51" s="194" t="s">
        <v>6331</v>
      </c>
      <c r="CE51" s="185"/>
      <c r="CF51" s="185"/>
      <c r="CG51" s="185" t="s">
        <v>6331</v>
      </c>
      <c r="CH51" s="185"/>
      <c r="CI51" s="185"/>
      <c r="CJ51" s="185"/>
      <c r="CK51" s="185" t="s">
        <v>6331</v>
      </c>
      <c r="CL51" s="185"/>
      <c r="CM51" s="185"/>
      <c r="CN51" s="185"/>
      <c r="CO51" s="243" t="s">
        <v>6952</v>
      </c>
      <c r="CP51" s="185"/>
      <c r="CQ51" s="185"/>
      <c r="CR51" s="185"/>
      <c r="CS51" s="185" t="s">
        <v>6331</v>
      </c>
      <c r="CT51" s="185"/>
      <c r="CU51" s="215" t="s">
        <v>6937</v>
      </c>
      <c r="CV51" s="272"/>
      <c r="CW51" s="287"/>
      <c r="CX51" s="265"/>
      <c r="CY51" s="265"/>
      <c r="CZ51" s="265"/>
      <c r="DA51" s="265"/>
      <c r="DB51" s="265"/>
      <c r="DC51" s="299"/>
      <c r="DD51" s="60"/>
      <c r="DE51" s="61"/>
      <c r="DF51" s="101"/>
      <c r="DG51" s="61"/>
      <c r="DH51" s="61"/>
      <c r="DI51" s="61"/>
      <c r="DJ51" s="101"/>
      <c r="DK51" s="61"/>
      <c r="DL51" s="61"/>
      <c r="DM51" s="101"/>
      <c r="DN51" s="61"/>
      <c r="DO51" s="61"/>
      <c r="DP51" s="101"/>
      <c r="DQ51" s="61"/>
      <c r="DR51" s="61"/>
      <c r="DS51" s="108"/>
      <c r="DT51" s="108"/>
      <c r="DU51" s="108"/>
      <c r="DV51" s="108"/>
      <c r="DW51" s="108"/>
      <c r="DX51" s="108"/>
      <c r="DY51" s="101"/>
      <c r="DZ51" s="61"/>
      <c r="EA51" s="61"/>
      <c r="EB51" s="108"/>
      <c r="EC51" s="108"/>
      <c r="ED51" s="108"/>
      <c r="EE51" s="101"/>
      <c r="EF51" s="61"/>
      <c r="EG51" s="61"/>
      <c r="EH51" s="101"/>
      <c r="EI51" s="61"/>
      <c r="EJ51" s="61"/>
      <c r="EK51" s="101"/>
      <c r="EL51" s="61"/>
      <c r="EM51" s="61"/>
      <c r="EN51" s="108"/>
      <c r="EO51" s="108"/>
      <c r="EP51" s="108"/>
      <c r="EQ51" s="108"/>
      <c r="ER51" s="108"/>
      <c r="ES51" s="108"/>
      <c r="ET51" s="101"/>
      <c r="EU51" s="61"/>
      <c r="EV51" s="61"/>
      <c r="EW51" s="108"/>
      <c r="EX51" s="108"/>
      <c r="EY51" s="108"/>
      <c r="EZ51" s="101"/>
      <c r="FA51" s="61"/>
      <c r="FB51" s="61"/>
      <c r="FC51" s="101"/>
      <c r="FD51" s="61"/>
      <c r="FE51" s="61"/>
      <c r="FF51" s="101"/>
      <c r="FG51" s="61"/>
      <c r="FH51" s="61"/>
      <c r="FI51" s="108"/>
      <c r="FJ51" s="108"/>
      <c r="FK51" s="108"/>
      <c r="FL51" s="108"/>
      <c r="FM51" s="108"/>
      <c r="FN51" s="108"/>
      <c r="FO51" s="101"/>
      <c r="FP51" s="61"/>
      <c r="FQ51" s="61"/>
      <c r="FR51" s="101"/>
      <c r="FS51" s="61"/>
      <c r="FT51" s="61"/>
      <c r="FU51" s="101"/>
      <c r="FV51" s="61"/>
      <c r="FW51" s="61"/>
      <c r="FX51" s="101"/>
      <c r="FY51" s="61"/>
      <c r="FZ51" s="61"/>
      <c r="GA51" s="101"/>
      <c r="GB51" s="61"/>
      <c r="GC51" s="61"/>
      <c r="GD51" s="108"/>
      <c r="GE51" s="108"/>
      <c r="GF51" s="108"/>
      <c r="GG51" s="108"/>
      <c r="GH51" s="108"/>
      <c r="GI51" s="108"/>
      <c r="GJ51" s="101"/>
      <c r="GK51" s="61"/>
      <c r="GL51" s="61"/>
      <c r="GM51" s="101"/>
      <c r="GN51" s="61" t="s">
        <v>6648</v>
      </c>
      <c r="GO51" s="1630" t="s">
        <v>6953</v>
      </c>
      <c r="GP51" s="340"/>
      <c r="GQ51" s="372"/>
      <c r="GR51" s="354"/>
      <c r="GS51" s="101"/>
      <c r="GT51" s="61"/>
      <c r="GU51" s="61"/>
      <c r="GV51" s="101"/>
      <c r="GW51" s="61"/>
      <c r="GX51" s="61"/>
      <c r="GY51" s="246"/>
      <c r="GZ51" s="381"/>
      <c r="HA51" s="364"/>
      <c r="HB51" s="108"/>
      <c r="HC51" s="108"/>
      <c r="HD51" s="108"/>
      <c r="HE51" s="101"/>
      <c r="HF51" s="61"/>
      <c r="HG51" s="61"/>
      <c r="HH51" s="340"/>
      <c r="HI51" s="354"/>
      <c r="HJ51" s="395"/>
      <c r="HK51" s="396"/>
      <c r="HL51" s="354"/>
      <c r="HM51" s="60"/>
      <c r="HN51" s="101"/>
      <c r="HO51" s="61"/>
      <c r="HP51" s="61"/>
      <c r="HQ51" s="101"/>
      <c r="HR51" s="61"/>
      <c r="HS51" s="251"/>
      <c r="HT51" s="265"/>
      <c r="HU51" s="265"/>
      <c r="HV51" s="265"/>
      <c r="HW51" s="265"/>
      <c r="HX51" s="265"/>
      <c r="HY51" s="265"/>
      <c r="HZ51" s="265" t="s">
        <v>6331</v>
      </c>
      <c r="IA51" s="265"/>
      <c r="IB51" s="273"/>
      <c r="IC51" s="414" t="s">
        <v>6320</v>
      </c>
      <c r="ID51" s="185" t="s">
        <v>6916</v>
      </c>
      <c r="IE51" s="257"/>
      <c r="IF51" s="194" t="s">
        <v>6331</v>
      </c>
      <c r="IG51" s="185"/>
      <c r="IH51" s="257"/>
      <c r="II51" s="194" t="s">
        <v>6331</v>
      </c>
      <c r="IJ51" s="206"/>
      <c r="IK51" s="257"/>
      <c r="IL51" s="194" t="s">
        <v>6331</v>
      </c>
      <c r="IM51" s="185" t="s">
        <v>6331</v>
      </c>
      <c r="IN51" s="257"/>
      <c r="IO51" s="287"/>
      <c r="IP51" s="265"/>
      <c r="IQ51" s="295"/>
      <c r="IR51" s="287"/>
      <c r="IS51" s="265"/>
      <c r="IT51" s="295"/>
      <c r="IU51" s="194" t="s">
        <v>6331</v>
      </c>
      <c r="IV51" s="453" t="s">
        <v>6331</v>
      </c>
      <c r="IW51" s="469"/>
      <c r="IX51" s="194" t="s">
        <v>6331</v>
      </c>
      <c r="IY51" s="185" t="s">
        <v>6331</v>
      </c>
      <c r="IZ51" s="257"/>
      <c r="JA51" s="194" t="s">
        <v>6331</v>
      </c>
      <c r="JB51" s="185" t="s">
        <v>6331</v>
      </c>
      <c r="JC51" s="257"/>
      <c r="JD51" s="194" t="s">
        <v>6331</v>
      </c>
      <c r="JE51" s="185" t="s">
        <v>6331</v>
      </c>
      <c r="JF51" s="257"/>
      <c r="JG51" s="194" t="s">
        <v>6331</v>
      </c>
      <c r="JH51" s="230"/>
      <c r="JI51" s="257"/>
      <c r="JJ51" s="287"/>
      <c r="JK51" s="265"/>
      <c r="JL51" s="295"/>
      <c r="JM51" s="287"/>
      <c r="JN51" s="265"/>
      <c r="JO51" s="295"/>
      <c r="JP51" s="101"/>
      <c r="JQ51" s="506"/>
      <c r="JR51" s="486"/>
      <c r="JS51" s="396"/>
      <c r="JT51" s="488"/>
      <c r="JU51" s="527"/>
      <c r="JV51" s="101"/>
      <c r="JW51" s="230"/>
      <c r="JX51" s="230"/>
      <c r="JY51" s="101"/>
      <c r="JZ51" s="230"/>
      <c r="KA51" s="230"/>
      <c r="KB51" s="101"/>
      <c r="KC51" s="230"/>
      <c r="KD51" s="230"/>
      <c r="KE51" s="339"/>
      <c r="KF51" s="339"/>
      <c r="KG51" s="339"/>
      <c r="KH51" s="339"/>
      <c r="KI51" s="339"/>
      <c r="KJ51" s="339"/>
      <c r="KK51" s="101"/>
      <c r="KL51" s="230"/>
      <c r="KM51" s="484"/>
      <c r="KN51" s="101"/>
      <c r="KO51" s="230"/>
      <c r="KP51" s="230"/>
      <c r="KQ51" s="101"/>
      <c r="KR51" s="230"/>
      <c r="KS51" s="230"/>
      <c r="KT51" s="101"/>
      <c r="KU51" s="230"/>
      <c r="KV51" s="230"/>
      <c r="KW51" s="101"/>
      <c r="KX51" s="230"/>
      <c r="KY51" s="230"/>
      <c r="KZ51" s="339"/>
      <c r="LA51" s="339"/>
      <c r="LB51" s="339"/>
      <c r="LC51" s="339"/>
      <c r="LD51" s="339"/>
      <c r="LE51" s="339"/>
      <c r="LF51" s="101"/>
      <c r="LG51" s="484"/>
      <c r="LH51" s="484"/>
      <c r="LI51" s="101"/>
      <c r="LJ51" s="230"/>
      <c r="LK51" s="230"/>
      <c r="LL51" s="101"/>
      <c r="LM51" s="230"/>
      <c r="LN51" s="230"/>
      <c r="LO51" s="101"/>
      <c r="LP51" s="230"/>
      <c r="LQ51" s="230"/>
      <c r="LR51" s="101"/>
      <c r="LS51" s="230"/>
      <c r="LT51" s="230"/>
      <c r="LU51" s="339"/>
      <c r="LV51" s="339"/>
      <c r="LW51" s="339"/>
      <c r="LX51" s="339"/>
      <c r="LY51" s="339"/>
      <c r="LZ51" s="339"/>
      <c r="MA51" s="101"/>
      <c r="MB51" s="484"/>
      <c r="MC51" s="484"/>
      <c r="MD51" s="222"/>
      <c r="ME51" s="64" t="s">
        <v>6331</v>
      </c>
      <c r="MF51" s="64" t="s">
        <v>6331</v>
      </c>
      <c r="MG51" s="64"/>
      <c r="MH51" s="64" t="s">
        <v>6331</v>
      </c>
      <c r="MI51" s="64" t="s">
        <v>6331</v>
      </c>
      <c r="MJ51" s="64"/>
      <c r="MK51" s="64" t="s">
        <v>6331</v>
      </c>
      <c r="ML51" s="64" t="s">
        <v>6331</v>
      </c>
      <c r="MM51" s="64"/>
      <c r="MN51" s="87" t="s">
        <v>6927</v>
      </c>
      <c r="MO51" s="64"/>
      <c r="MP51" s="64"/>
      <c r="MQ51" s="64" t="s">
        <v>6331</v>
      </c>
      <c r="MR51" s="64" t="s">
        <v>6918</v>
      </c>
      <c r="MS51" s="64"/>
      <c r="MT51" s="109"/>
      <c r="MU51" s="109"/>
      <c r="MV51" s="109"/>
      <c r="MW51" s="109"/>
      <c r="MX51" s="109"/>
      <c r="MY51" s="196"/>
      <c r="MZ51" s="267" t="s">
        <v>6331</v>
      </c>
      <c r="NA51" s="560" t="s">
        <v>6546</v>
      </c>
      <c r="NB51" s="307"/>
      <c r="NC51" s="359" t="s">
        <v>6717</v>
      </c>
      <c r="ND51" s="297" t="s">
        <v>6636</v>
      </c>
      <c r="NE51" s="64"/>
      <c r="NF51" s="87" t="s">
        <v>6717</v>
      </c>
      <c r="NG51" s="64"/>
      <c r="NH51" s="64"/>
      <c r="NI51" s="87" t="s">
        <v>6923</v>
      </c>
      <c r="NJ51" s="146"/>
      <c r="NK51" s="64"/>
      <c r="NL51" s="64" t="s">
        <v>6331</v>
      </c>
      <c r="NM51" s="64" t="s">
        <v>6331</v>
      </c>
      <c r="NN51" s="328"/>
      <c r="NO51" s="609"/>
      <c r="NP51" s="109"/>
      <c r="NQ51" s="109"/>
      <c r="NR51" s="109"/>
      <c r="NS51" s="109"/>
      <c r="NT51" s="610"/>
      <c r="NU51" s="79" t="s">
        <v>6331</v>
      </c>
      <c r="NV51" s="525"/>
      <c r="NW51" s="64"/>
    </row>
    <row r="52" spans="1:387" ht="14.4">
      <c r="A52" s="1682"/>
      <c r="B52" s="1649"/>
      <c r="C52" s="1664"/>
      <c r="D52" s="64" t="s">
        <v>6320</v>
      </c>
      <c r="E52" s="75" t="s">
        <v>6318</v>
      </c>
      <c r="F52" s="64"/>
      <c r="G52" s="64" t="s">
        <v>6347</v>
      </c>
      <c r="H52" s="64"/>
      <c r="I52" s="64"/>
      <c r="J52" s="135"/>
      <c r="K52" s="109"/>
      <c r="L52" s="109"/>
      <c r="M52" s="109"/>
      <c r="N52" s="109"/>
      <c r="O52" s="109"/>
      <c r="P52" s="64" t="s">
        <v>6331</v>
      </c>
      <c r="Q52" s="75" t="s">
        <v>6320</v>
      </c>
      <c r="R52" s="64"/>
      <c r="S52" s="64" t="s">
        <v>6331</v>
      </c>
      <c r="T52" s="64"/>
      <c r="U52" s="64"/>
      <c r="V52" s="64" t="s">
        <v>6331</v>
      </c>
      <c r="W52" s="64"/>
      <c r="X52" s="64"/>
      <c r="Y52" s="148"/>
      <c r="Z52" s="64"/>
      <c r="AA52" s="64"/>
      <c r="AB52" s="64" t="s">
        <v>6329</v>
      </c>
      <c r="AC52" s="64"/>
      <c r="AD52" s="64"/>
      <c r="AE52" s="109"/>
      <c r="AF52" s="109"/>
      <c r="AG52" s="109"/>
      <c r="AH52" s="109"/>
      <c r="AI52" s="109"/>
      <c r="AJ52" s="109"/>
      <c r="AK52" s="64"/>
      <c r="AL52" s="64"/>
      <c r="AM52" s="64"/>
      <c r="AN52" s="64"/>
      <c r="AO52" s="151" t="s">
        <v>6323</v>
      </c>
      <c r="AP52" s="64"/>
      <c r="AQ52" s="64"/>
      <c r="AR52" s="164" t="s">
        <v>6919</v>
      </c>
      <c r="AS52" s="64"/>
      <c r="AT52" s="148"/>
      <c r="AU52" s="64"/>
      <c r="AV52" s="64"/>
      <c r="AW52" s="64"/>
      <c r="AY52" s="64"/>
      <c r="AZ52" s="109"/>
      <c r="BA52" s="109"/>
      <c r="BB52" s="109"/>
      <c r="BC52" s="109"/>
      <c r="BD52" s="109"/>
      <c r="BE52" s="109"/>
      <c r="BF52" s="64"/>
      <c r="BG52" s="64"/>
      <c r="BH52" s="64"/>
      <c r="BI52" s="174"/>
      <c r="BJ52" s="174"/>
      <c r="BK52" s="174"/>
      <c r="BL52" s="64"/>
      <c r="BM52" s="64"/>
      <c r="BN52" s="64"/>
      <c r="BO52" s="64"/>
      <c r="BP52" s="148"/>
      <c r="BQ52" s="64"/>
      <c r="BR52" s="75" t="s">
        <v>6318</v>
      </c>
      <c r="BS52" s="64"/>
      <c r="BT52" s="64"/>
      <c r="BU52" s="64"/>
      <c r="BV52" s="64"/>
      <c r="BW52" s="64"/>
      <c r="BX52" s="109"/>
      <c r="BY52" s="109"/>
      <c r="BZ52" s="109"/>
      <c r="CA52" s="109"/>
      <c r="CB52" s="109"/>
      <c r="CC52" s="196"/>
      <c r="CD52" s="234"/>
      <c r="CE52" s="198"/>
      <c r="CF52" s="198"/>
      <c r="CG52" s="235"/>
      <c r="CH52" s="198"/>
      <c r="CI52" s="198"/>
      <c r="CJ52" s="198"/>
      <c r="CK52" s="235"/>
      <c r="CL52" s="198"/>
      <c r="CM52" s="198"/>
      <c r="CN52" s="198"/>
      <c r="CO52" s="241" t="s">
        <v>6327</v>
      </c>
      <c r="CP52" s="198"/>
      <c r="CQ52" s="198"/>
      <c r="CR52" s="198"/>
      <c r="CS52" s="235"/>
      <c r="CT52" s="198"/>
      <c r="CU52" s="166" t="s">
        <v>6381</v>
      </c>
      <c r="CV52" s="220"/>
      <c r="CW52" s="288"/>
      <c r="CX52" s="260"/>
      <c r="CY52" s="260"/>
      <c r="CZ52" s="260"/>
      <c r="DA52" s="260"/>
      <c r="DB52" s="260"/>
      <c r="DC52" s="306" t="s">
        <v>6331</v>
      </c>
      <c r="DD52" s="79"/>
      <c r="DE52" s="64"/>
      <c r="DF52" s="64" t="s">
        <v>6331</v>
      </c>
      <c r="DG52" s="64"/>
      <c r="DH52" s="64"/>
      <c r="DI52" s="64"/>
      <c r="DJ52" s="64" t="s">
        <v>6331</v>
      </c>
      <c r="DK52" s="64"/>
      <c r="DL52" s="64"/>
      <c r="DM52" s="152" t="s">
        <v>6320</v>
      </c>
      <c r="DN52" s="64"/>
      <c r="DO52" s="64"/>
      <c r="DP52" s="152" t="s">
        <v>6347</v>
      </c>
      <c r="DQ52" s="75" t="s">
        <v>6347</v>
      </c>
      <c r="DR52" s="64"/>
      <c r="DS52" s="109"/>
      <c r="DT52" s="109"/>
      <c r="DU52" s="109"/>
      <c r="DV52" s="109"/>
      <c r="DW52" s="109"/>
      <c r="DX52" s="109"/>
      <c r="DY52" s="64" t="s">
        <v>6329</v>
      </c>
      <c r="DZ52" s="64"/>
      <c r="EA52" s="64"/>
      <c r="EB52" s="109"/>
      <c r="EC52" s="109"/>
      <c r="ED52" s="109"/>
      <c r="EE52" s="64" t="s">
        <v>6331</v>
      </c>
      <c r="EF52" s="64"/>
      <c r="EG52" s="64"/>
      <c r="EH52" s="64" t="s">
        <v>6331</v>
      </c>
      <c r="EI52" s="64"/>
      <c r="EJ52" s="64"/>
      <c r="EK52" s="313" t="s">
        <v>6313</v>
      </c>
      <c r="EL52" s="75" t="s">
        <v>6313</v>
      </c>
      <c r="EM52" s="64"/>
      <c r="EN52" s="109"/>
      <c r="EO52" s="109"/>
      <c r="EP52" s="109"/>
      <c r="EQ52" s="109"/>
      <c r="ER52" s="109"/>
      <c r="ES52" s="109"/>
      <c r="ET52" s="64" t="s">
        <v>6331</v>
      </c>
      <c r="EU52" s="64"/>
      <c r="EV52" s="64"/>
      <c r="EW52" s="109"/>
      <c r="EX52" s="109"/>
      <c r="EY52" s="109"/>
      <c r="EZ52" s="64" t="s">
        <v>6331</v>
      </c>
      <c r="FA52" s="64"/>
      <c r="FB52" s="64"/>
      <c r="FC52" s="64" t="s">
        <v>6331</v>
      </c>
      <c r="FD52" s="75" t="s">
        <v>6937</v>
      </c>
      <c r="FE52" s="64"/>
      <c r="FF52" s="64" t="s">
        <v>6331</v>
      </c>
      <c r="FG52" s="75" t="s">
        <v>6937</v>
      </c>
      <c r="FH52" s="64"/>
      <c r="FI52" s="109"/>
      <c r="FJ52" s="109"/>
      <c r="FK52" s="109"/>
      <c r="FL52" s="109"/>
      <c r="FM52" s="109"/>
      <c r="FN52" s="109"/>
      <c r="FO52" s="64" t="s">
        <v>6331</v>
      </c>
      <c r="FP52" s="64"/>
      <c r="FQ52" s="64"/>
      <c r="FR52" s="64" t="s">
        <v>6331</v>
      </c>
      <c r="FS52" s="64"/>
      <c r="FT52" s="64"/>
      <c r="FU52" s="64" t="s">
        <v>6331</v>
      </c>
      <c r="FV52" s="64"/>
      <c r="FW52" s="64"/>
      <c r="FX52" s="64" t="s">
        <v>6331</v>
      </c>
      <c r="FY52" s="64"/>
      <c r="FZ52" s="64"/>
      <c r="GA52" s="64" t="s">
        <v>6331</v>
      </c>
      <c r="GB52" s="64"/>
      <c r="GC52" s="64"/>
      <c r="GD52" s="109"/>
      <c r="GE52" s="109"/>
      <c r="GF52" s="109"/>
      <c r="GG52" s="109"/>
      <c r="GH52" s="109"/>
      <c r="GI52" s="109"/>
      <c r="GJ52" s="64" t="s">
        <v>6331</v>
      </c>
      <c r="GK52" s="64"/>
      <c r="GL52" s="64"/>
      <c r="GM52" s="64" t="s">
        <v>6648</v>
      </c>
      <c r="GN52" s="64" t="s">
        <v>6535</v>
      </c>
      <c r="GO52" s="1631"/>
      <c r="GP52" s="328" t="s">
        <v>6329</v>
      </c>
      <c r="GQ52" s="365"/>
      <c r="GR52" s="356"/>
      <c r="GS52" s="64" t="s">
        <v>6331</v>
      </c>
      <c r="GT52" s="64" t="s">
        <v>6331</v>
      </c>
      <c r="GU52" s="64" t="s">
        <v>6920</v>
      </c>
      <c r="GV52" s="64" t="s">
        <v>6331</v>
      </c>
      <c r="GW52" s="64"/>
      <c r="GX52" s="64"/>
      <c r="GY52" s="382" t="s">
        <v>6923</v>
      </c>
      <c r="GZ52" s="356"/>
      <c r="HB52" s="109"/>
      <c r="HC52" s="109"/>
      <c r="HD52" s="109"/>
      <c r="HE52" s="330" t="s">
        <v>6686</v>
      </c>
      <c r="HF52" s="64"/>
      <c r="HG52" s="64"/>
      <c r="HH52" s="382" t="s">
        <v>6686</v>
      </c>
      <c r="HI52" s="356"/>
      <c r="HJ52" s="397"/>
      <c r="HK52" s="398" t="s">
        <v>6923</v>
      </c>
      <c r="HL52" s="356" t="s">
        <v>6923</v>
      </c>
      <c r="HN52" s="64" t="s">
        <v>6331</v>
      </c>
      <c r="HO52" s="64" t="s">
        <v>6925</v>
      </c>
      <c r="HP52" s="64"/>
      <c r="HQ52" s="64" t="s">
        <v>6331</v>
      </c>
      <c r="HR52" s="64"/>
      <c r="HS52" s="328"/>
      <c r="HT52" s="260"/>
      <c r="HU52" s="260"/>
      <c r="HV52" s="260"/>
      <c r="HW52" s="260"/>
      <c r="HX52" s="260"/>
      <c r="HY52" s="260"/>
      <c r="HZ52" s="405"/>
      <c r="IA52" s="260"/>
      <c r="IB52" s="274"/>
      <c r="IC52" s="197" t="s">
        <v>6824</v>
      </c>
      <c r="ID52" s="198" t="s">
        <v>6320</v>
      </c>
      <c r="IE52" s="268"/>
      <c r="IF52" s="234"/>
      <c r="IG52" s="198"/>
      <c r="IH52" s="268"/>
      <c r="II52" s="234"/>
      <c r="IJ52" s="199"/>
      <c r="IK52" s="268"/>
      <c r="IL52" s="234"/>
      <c r="IM52" s="198"/>
      <c r="IN52" s="268"/>
      <c r="IO52" s="288"/>
      <c r="IP52" s="260"/>
      <c r="IQ52" s="296"/>
      <c r="IR52" s="288"/>
      <c r="IS52" s="260"/>
      <c r="IT52" s="296"/>
      <c r="IU52" s="234"/>
      <c r="IV52" s="454"/>
      <c r="IW52" s="470"/>
      <c r="IX52" s="234"/>
      <c r="IY52" s="198"/>
      <c r="IZ52" s="268"/>
      <c r="JA52" s="234"/>
      <c r="JB52" s="198"/>
      <c r="JC52" s="268"/>
      <c r="JD52" s="234"/>
      <c r="JE52" s="198"/>
      <c r="JF52" s="268"/>
      <c r="JG52" s="234"/>
      <c r="JH52" s="64" t="s">
        <v>6331</v>
      </c>
      <c r="JI52" s="268"/>
      <c r="JJ52" s="288"/>
      <c r="JK52" s="260"/>
      <c r="JL52" s="296"/>
      <c r="JM52" s="288"/>
      <c r="JN52" s="260"/>
      <c r="JO52" s="296"/>
      <c r="JP52" s="64" t="s">
        <v>6331</v>
      </c>
      <c r="JQ52" s="388" t="s">
        <v>6331</v>
      </c>
      <c r="JR52" s="489"/>
      <c r="JS52" s="502" t="s">
        <v>6331</v>
      </c>
      <c r="JT52" s="491" t="s">
        <v>6331</v>
      </c>
      <c r="JU52" s="79"/>
      <c r="JV52" s="64" t="s">
        <v>6331</v>
      </c>
      <c r="JW52" s="64" t="s">
        <v>6331</v>
      </c>
      <c r="JX52" s="64"/>
      <c r="JY52" s="64" t="s">
        <v>6331</v>
      </c>
      <c r="JZ52" s="64"/>
      <c r="KA52" s="64"/>
      <c r="KB52" s="64" t="s">
        <v>6331</v>
      </c>
      <c r="KC52" s="64"/>
      <c r="KD52" s="64"/>
      <c r="KE52" s="109"/>
      <c r="KF52" s="109"/>
      <c r="KG52" s="109"/>
      <c r="KH52" s="109"/>
      <c r="KI52" s="109"/>
      <c r="KJ52" s="109"/>
      <c r="KK52" s="64" t="s">
        <v>6331</v>
      </c>
      <c r="KL52" s="64"/>
      <c r="KM52" s="525"/>
      <c r="KN52" s="64" t="s">
        <v>6331</v>
      </c>
      <c r="KO52" s="64" t="s">
        <v>6331</v>
      </c>
      <c r="KP52" s="64"/>
      <c r="KQ52" s="64" t="s">
        <v>6331</v>
      </c>
      <c r="KR52" s="64" t="s">
        <v>6331</v>
      </c>
      <c r="KS52" s="64"/>
      <c r="KT52" s="64" t="s">
        <v>6331</v>
      </c>
      <c r="KU52" s="64"/>
      <c r="KV52" s="64"/>
      <c r="KW52" s="64" t="s">
        <v>6331</v>
      </c>
      <c r="KX52" s="64"/>
      <c r="KY52" s="64"/>
      <c r="KZ52" s="109"/>
      <c r="LA52" s="109"/>
      <c r="LB52" s="109"/>
      <c r="LC52" s="109"/>
      <c r="LD52" s="109"/>
      <c r="LE52" s="109"/>
      <c r="LF52" s="64" t="s">
        <v>6331</v>
      </c>
      <c r="LG52" s="525"/>
      <c r="LH52" s="525"/>
      <c r="LI52" s="563" t="s">
        <v>6926</v>
      </c>
      <c r="LJ52" s="64"/>
      <c r="LK52" s="64"/>
      <c r="LL52" s="64" t="s">
        <v>6331</v>
      </c>
      <c r="LM52" s="64"/>
      <c r="LN52" s="64"/>
      <c r="LO52" s="64" t="s">
        <v>6331</v>
      </c>
      <c r="LP52" s="64"/>
      <c r="LQ52" s="64"/>
      <c r="LR52" s="64" t="s">
        <v>6331</v>
      </c>
      <c r="LS52" s="64"/>
      <c r="LT52" s="64"/>
      <c r="LU52" s="109"/>
      <c r="LV52" s="109"/>
      <c r="LW52" s="109"/>
      <c r="LX52" s="109"/>
      <c r="LY52" s="109"/>
      <c r="LZ52" s="109"/>
      <c r="MA52" s="64" t="s">
        <v>6331</v>
      </c>
      <c r="MB52" s="525"/>
      <c r="MC52" s="525"/>
      <c r="ME52" s="143"/>
      <c r="MF52" s="64"/>
      <c r="MG52" s="68"/>
      <c r="MH52" s="344"/>
      <c r="MI52" s="64"/>
      <c r="MJ52" s="68"/>
      <c r="MK52" s="143"/>
      <c r="ML52" s="64"/>
      <c r="MM52" s="68"/>
      <c r="MN52" s="147" t="s">
        <v>6636</v>
      </c>
      <c r="MO52" s="64"/>
      <c r="MP52" s="68"/>
      <c r="MQ52" s="143"/>
      <c r="MR52" s="64" t="s">
        <v>6636</v>
      </c>
      <c r="MS52" s="64"/>
      <c r="MT52" s="109"/>
      <c r="MU52" s="109"/>
      <c r="MV52" s="109"/>
      <c r="MW52" s="597"/>
      <c r="MX52" s="109"/>
      <c r="MY52" s="200"/>
      <c r="MZ52" s="594"/>
      <c r="NA52" s="560" t="s">
        <v>6636</v>
      </c>
      <c r="NB52" s="307"/>
      <c r="NC52" s="588" t="s">
        <v>6636</v>
      </c>
      <c r="ND52" s="297" t="s">
        <v>6811</v>
      </c>
      <c r="NE52" s="68"/>
      <c r="NF52" s="147" t="s">
        <v>6793</v>
      </c>
      <c r="NG52" s="64"/>
      <c r="NH52" s="68"/>
      <c r="NI52" s="147" t="s">
        <v>6793</v>
      </c>
      <c r="NJ52" s="68"/>
      <c r="NK52" s="68"/>
      <c r="NL52" s="143"/>
      <c r="NM52" s="64"/>
      <c r="NN52" s="328"/>
      <c r="NO52" s="609"/>
      <c r="NP52" s="109"/>
      <c r="NQ52" s="109"/>
      <c r="NR52" s="597"/>
      <c r="NS52" s="109"/>
      <c r="NT52" s="611"/>
      <c r="NU52" s="617"/>
      <c r="NV52" s="525"/>
      <c r="NW52" s="68"/>
    </row>
    <row r="53" spans="1:387" ht="14.4">
      <c r="A53" s="1682"/>
      <c r="B53" s="1649"/>
      <c r="C53" s="1664"/>
      <c r="D53" s="77" t="s">
        <v>6954</v>
      </c>
      <c r="E53" s="75" t="s">
        <v>6350</v>
      </c>
      <c r="F53" s="64"/>
      <c r="G53" s="77" t="s">
        <v>6504</v>
      </c>
      <c r="H53" s="64"/>
      <c r="I53" s="64"/>
      <c r="J53" s="109"/>
      <c r="K53" s="109"/>
      <c r="L53" s="109"/>
      <c r="M53" s="109"/>
      <c r="N53" s="109"/>
      <c r="O53" s="109"/>
      <c r="P53" s="77"/>
      <c r="Q53" s="75" t="s">
        <v>6955</v>
      </c>
      <c r="R53" s="64"/>
      <c r="S53" s="77"/>
      <c r="T53" s="64"/>
      <c r="U53" s="64"/>
      <c r="V53" s="77"/>
      <c r="W53" s="64"/>
      <c r="X53" s="64"/>
      <c r="Y53" s="143"/>
      <c r="Z53" s="64"/>
      <c r="AA53" s="64"/>
      <c r="AB53" s="77" t="s">
        <v>6507</v>
      </c>
      <c r="AC53" s="64"/>
      <c r="AD53" s="64"/>
      <c r="AE53" s="109"/>
      <c r="AF53" s="109"/>
      <c r="AG53" s="109"/>
      <c r="AH53" s="109"/>
      <c r="AI53" s="109"/>
      <c r="AJ53" s="109"/>
      <c r="AK53" s="64"/>
      <c r="AL53" s="64"/>
      <c r="AM53" s="64"/>
      <c r="AN53" s="77"/>
      <c r="AO53" s="151" t="s">
        <v>6956</v>
      </c>
      <c r="AP53" s="64"/>
      <c r="AQ53" s="165"/>
      <c r="AR53" s="166" t="s">
        <v>6937</v>
      </c>
      <c r="AS53" s="79"/>
      <c r="AT53" s="143"/>
      <c r="AU53" s="64"/>
      <c r="AV53" s="64"/>
      <c r="AW53" s="77"/>
      <c r="AY53" s="64"/>
      <c r="AZ53" s="109"/>
      <c r="BA53" s="109"/>
      <c r="BB53" s="109"/>
      <c r="BC53" s="109"/>
      <c r="BD53" s="109"/>
      <c r="BE53" s="109"/>
      <c r="BF53" s="64"/>
      <c r="BG53" s="64"/>
      <c r="BH53" s="64"/>
      <c r="BI53" s="178"/>
      <c r="BJ53" s="174"/>
      <c r="BK53" s="174"/>
      <c r="BL53" s="77"/>
      <c r="BM53" s="64"/>
      <c r="BN53" s="64"/>
      <c r="BO53" s="64"/>
      <c r="BP53" s="143"/>
      <c r="BQ53" s="64"/>
      <c r="BR53" s="75" t="s">
        <v>6569</v>
      </c>
      <c r="BS53" s="64"/>
      <c r="BT53" s="77"/>
      <c r="BU53" s="64"/>
      <c r="BV53" s="64"/>
      <c r="BW53" s="64"/>
      <c r="BX53" s="109"/>
      <c r="BY53" s="109"/>
      <c r="BZ53" s="109"/>
      <c r="CA53" s="109"/>
      <c r="CB53" s="109"/>
      <c r="CC53" s="196"/>
      <c r="CD53" s="201"/>
      <c r="CE53" s="198"/>
      <c r="CF53" s="198"/>
      <c r="CG53" s="198"/>
      <c r="CH53" s="198"/>
      <c r="CI53" s="198"/>
      <c r="CJ53" s="198"/>
      <c r="CK53" s="198"/>
      <c r="CL53" s="198"/>
      <c r="CM53" s="198"/>
      <c r="CN53" s="198"/>
      <c r="CO53" s="241" t="s">
        <v>6380</v>
      </c>
      <c r="CP53" s="198"/>
      <c r="CQ53" s="198"/>
      <c r="CR53" s="198"/>
      <c r="CS53" s="198"/>
      <c r="CT53" s="198"/>
      <c r="CU53" s="198"/>
      <c r="CV53" s="220"/>
      <c r="CW53" s="288"/>
      <c r="CX53" s="260"/>
      <c r="CY53" s="260"/>
      <c r="CZ53" s="260"/>
      <c r="DA53" s="260"/>
      <c r="DB53" s="260"/>
      <c r="DC53" s="308"/>
      <c r="DD53" s="79"/>
      <c r="DE53" s="64"/>
      <c r="DF53" s="143"/>
      <c r="DG53" s="64"/>
      <c r="DH53" s="64"/>
      <c r="DI53" s="64"/>
      <c r="DJ53" s="143"/>
      <c r="DK53" s="64"/>
      <c r="DL53" s="64"/>
      <c r="DM53" s="147" t="s">
        <v>6579</v>
      </c>
      <c r="DN53" s="64"/>
      <c r="DO53" s="64"/>
      <c r="DP53" s="87" t="s">
        <v>6645</v>
      </c>
      <c r="DQ53" s="75" t="s">
        <v>6957</v>
      </c>
      <c r="DR53" s="64"/>
      <c r="DS53" s="109"/>
      <c r="DT53" s="109"/>
      <c r="DU53" s="109"/>
      <c r="DV53" s="109"/>
      <c r="DW53" s="109"/>
      <c r="DX53" s="109"/>
      <c r="DY53" s="68" t="s">
        <v>6392</v>
      </c>
      <c r="DZ53" s="64"/>
      <c r="EA53" s="64"/>
      <c r="EB53" s="109"/>
      <c r="EC53" s="109"/>
      <c r="ED53" s="109"/>
      <c r="EE53" s="143"/>
      <c r="EF53" s="64"/>
      <c r="EG53" s="64"/>
      <c r="EH53" s="143"/>
      <c r="EI53" s="64"/>
      <c r="EJ53" s="64"/>
      <c r="EK53" s="313" t="s">
        <v>6666</v>
      </c>
      <c r="EL53" s="75">
        <v>151</v>
      </c>
      <c r="EM53" s="64"/>
      <c r="EN53" s="109"/>
      <c r="EO53" s="109"/>
      <c r="EP53" s="109"/>
      <c r="EQ53" s="109"/>
      <c r="ER53" s="109"/>
      <c r="ES53" s="109"/>
      <c r="ET53" s="143"/>
      <c r="EU53" s="64"/>
      <c r="EV53" s="64"/>
      <c r="EW53" s="109"/>
      <c r="EX53" s="109"/>
      <c r="EY53" s="109"/>
      <c r="EZ53" s="143"/>
      <c r="FA53" s="64"/>
      <c r="FB53" s="64"/>
      <c r="FC53" s="143"/>
      <c r="FD53" s="75" t="s">
        <v>6400</v>
      </c>
      <c r="FE53" s="64"/>
      <c r="FF53" s="143"/>
      <c r="FG53" s="75" t="s">
        <v>6489</v>
      </c>
      <c r="FH53" s="64"/>
      <c r="FI53" s="109"/>
      <c r="FJ53" s="109"/>
      <c r="FK53" s="109"/>
      <c r="FL53" s="109"/>
      <c r="FM53" s="109"/>
      <c r="FN53" s="109"/>
      <c r="FO53" s="143"/>
      <c r="FP53" s="64"/>
      <c r="FQ53" s="64"/>
      <c r="FR53" s="143"/>
      <c r="FS53" s="64"/>
      <c r="FT53" s="64"/>
      <c r="FU53" s="143"/>
      <c r="FV53" s="64"/>
      <c r="FW53" s="64"/>
      <c r="FX53" s="143"/>
      <c r="FY53" s="64"/>
      <c r="FZ53" s="64"/>
      <c r="GA53" s="143"/>
      <c r="GB53" s="64"/>
      <c r="GC53" s="64"/>
      <c r="GD53" s="109"/>
      <c r="GE53" s="109"/>
      <c r="GF53" s="109"/>
      <c r="GG53" s="109"/>
      <c r="GH53" s="109"/>
      <c r="GI53" s="109"/>
      <c r="GJ53" s="143"/>
      <c r="GK53" s="64"/>
      <c r="GL53" s="64"/>
      <c r="GM53" s="65" t="s">
        <v>6597</v>
      </c>
      <c r="GN53" s="64" t="s">
        <v>6597</v>
      </c>
      <c r="GO53" s="1631"/>
      <c r="GP53" s="329" t="s">
        <v>6337</v>
      </c>
      <c r="GQ53" s="365"/>
      <c r="GR53" s="356"/>
      <c r="GS53" s="143"/>
      <c r="GT53" s="64"/>
      <c r="GU53" s="68" t="s">
        <v>6699</v>
      </c>
      <c r="GV53" s="143"/>
      <c r="GW53" s="64"/>
      <c r="GX53" s="64"/>
      <c r="GY53" s="382" t="s">
        <v>6763</v>
      </c>
      <c r="GZ53" s="356"/>
      <c r="HB53" s="109"/>
      <c r="HC53" s="109"/>
      <c r="HD53" s="109"/>
      <c r="HE53" s="330" t="s">
        <v>6763</v>
      </c>
      <c r="HF53" s="64"/>
      <c r="HG53" s="64"/>
      <c r="HH53" s="382" t="s">
        <v>6823</v>
      </c>
      <c r="HI53" s="356"/>
      <c r="HJ53" s="397"/>
      <c r="HK53" s="398" t="s">
        <v>6823</v>
      </c>
      <c r="HL53" s="356" t="s">
        <v>6703</v>
      </c>
      <c r="HM53" s="79"/>
      <c r="HN53" s="143"/>
      <c r="HO53" s="64"/>
      <c r="HP53" s="64"/>
      <c r="HQ53" s="143"/>
      <c r="HR53" s="64"/>
      <c r="HS53" s="328"/>
      <c r="HT53" s="260"/>
      <c r="HU53" s="260"/>
      <c r="HV53" s="260"/>
      <c r="HW53" s="260"/>
      <c r="HX53" s="260"/>
      <c r="HY53" s="260"/>
      <c r="HZ53" s="260"/>
      <c r="IA53" s="260"/>
      <c r="IB53" s="274"/>
      <c r="IC53" s="197" t="s">
        <v>6347</v>
      </c>
      <c r="ID53" s="198" t="s">
        <v>6537</v>
      </c>
      <c r="IE53" s="268"/>
      <c r="IF53" s="201"/>
      <c r="IG53" s="198"/>
      <c r="IH53" s="268"/>
      <c r="II53" s="201"/>
      <c r="IJ53" s="199"/>
      <c r="IK53" s="268"/>
      <c r="IL53" s="201"/>
      <c r="IM53" s="198"/>
      <c r="IN53" s="268"/>
      <c r="IO53" s="288"/>
      <c r="IP53" s="260"/>
      <c r="IQ53" s="296"/>
      <c r="IR53" s="288"/>
      <c r="IS53" s="260"/>
      <c r="IT53" s="296"/>
      <c r="IU53" s="201"/>
      <c r="IV53" s="454"/>
      <c r="IW53" s="470"/>
      <c r="IX53" s="201"/>
      <c r="IY53" s="198"/>
      <c r="IZ53" s="268"/>
      <c r="JA53" s="201"/>
      <c r="JB53" s="198"/>
      <c r="JC53" s="268"/>
      <c r="JD53" s="201"/>
      <c r="JE53" s="198"/>
      <c r="JF53" s="268"/>
      <c r="JG53" s="201"/>
      <c r="JH53" s="64"/>
      <c r="JI53" s="268"/>
      <c r="JJ53" s="288"/>
      <c r="JK53" s="260"/>
      <c r="JL53" s="296"/>
      <c r="JM53" s="288"/>
      <c r="JN53" s="260"/>
      <c r="JO53" s="296"/>
      <c r="JP53" s="143"/>
      <c r="JQ53" s="388"/>
      <c r="JR53" s="489"/>
      <c r="JS53" s="522"/>
      <c r="JT53" s="491"/>
      <c r="JU53" s="79"/>
      <c r="JV53" s="143"/>
      <c r="JW53" s="64"/>
      <c r="JX53" s="64"/>
      <c r="JY53" s="143"/>
      <c r="JZ53" s="64"/>
      <c r="KA53" s="64"/>
      <c r="KB53" s="143"/>
      <c r="KC53" s="64"/>
      <c r="KD53" s="64"/>
      <c r="KE53" s="109"/>
      <c r="KF53" s="109"/>
      <c r="KG53" s="109"/>
      <c r="KH53" s="109"/>
      <c r="KI53" s="109"/>
      <c r="KJ53" s="109"/>
      <c r="KK53" s="143"/>
      <c r="KL53" s="64"/>
      <c r="KM53" s="525"/>
      <c r="KN53" s="143"/>
      <c r="KO53" s="64"/>
      <c r="KP53" s="64"/>
      <c r="KQ53" s="143"/>
      <c r="KR53" s="64"/>
      <c r="KS53" s="64"/>
      <c r="KT53" s="143"/>
      <c r="KU53" s="64"/>
      <c r="KV53" s="64"/>
      <c r="KW53" s="143"/>
      <c r="KX53" s="64"/>
      <c r="KY53" s="68"/>
      <c r="KZ53" s="109"/>
      <c r="LA53" s="109"/>
      <c r="LB53" s="109"/>
      <c r="LC53" s="109"/>
      <c r="LD53" s="109"/>
      <c r="LE53" s="109"/>
      <c r="LF53" s="143"/>
      <c r="LG53" s="525"/>
      <c r="LH53" s="525"/>
      <c r="LI53" s="94" t="s">
        <v>6545</v>
      </c>
      <c r="LJ53" s="64"/>
      <c r="LK53" s="64"/>
      <c r="LL53" s="143"/>
      <c r="LM53" s="64"/>
      <c r="LN53" s="64"/>
      <c r="LO53" s="143"/>
      <c r="LP53" s="64"/>
      <c r="LQ53" s="64"/>
      <c r="LR53" s="143"/>
      <c r="LS53" s="64"/>
      <c r="LT53" s="68"/>
      <c r="LU53" s="109"/>
      <c r="LV53" s="109"/>
      <c r="LW53" s="109"/>
      <c r="LX53" s="109"/>
      <c r="LY53" s="109"/>
      <c r="LZ53" s="109"/>
      <c r="MA53" s="143"/>
      <c r="MB53" s="525"/>
      <c r="MC53" s="525"/>
      <c r="ME53" s="64"/>
      <c r="MF53" s="64"/>
      <c r="MG53" s="525"/>
      <c r="MH53" s="64"/>
      <c r="MI53" s="64"/>
      <c r="MJ53" s="64"/>
      <c r="MK53" s="64"/>
      <c r="ML53" s="64"/>
      <c r="MM53" s="64"/>
      <c r="MN53" s="77" t="s">
        <v>6415</v>
      </c>
      <c r="MO53" s="64"/>
      <c r="MP53" s="64"/>
      <c r="MQ53" s="64"/>
      <c r="MR53" s="64" t="s">
        <v>6647</v>
      </c>
      <c r="MS53" s="64"/>
      <c r="MT53" s="109"/>
      <c r="MU53" s="109"/>
      <c r="MV53" s="109"/>
      <c r="MW53" s="109"/>
      <c r="MX53" s="109"/>
      <c r="MY53" s="196"/>
      <c r="MZ53" s="267"/>
      <c r="NA53" s="560" t="s">
        <v>6318</v>
      </c>
      <c r="NB53" s="593"/>
      <c r="NC53" s="598" t="s">
        <v>6958</v>
      </c>
      <c r="ND53" s="49" t="s">
        <v>6959</v>
      </c>
      <c r="NE53" s="64"/>
      <c r="NF53" s="77" t="s">
        <v>6415</v>
      </c>
      <c r="NG53" s="547" t="s">
        <v>6960</v>
      </c>
      <c r="NH53" s="64"/>
      <c r="NI53" s="70" t="s">
        <v>6803</v>
      </c>
      <c r="NJ53" s="547" t="s">
        <v>6948</v>
      </c>
      <c r="NK53" s="64"/>
      <c r="NL53" s="64"/>
      <c r="NM53" s="64"/>
      <c r="NN53" s="328"/>
      <c r="NO53" s="609"/>
      <c r="NP53" s="109"/>
      <c r="NQ53" s="109"/>
      <c r="NR53" s="109"/>
      <c r="NS53" s="109"/>
      <c r="NT53" s="610"/>
      <c r="NU53" s="79"/>
      <c r="NV53" s="525"/>
      <c r="NW53" s="525"/>
    </row>
    <row r="54" spans="1:387" ht="14.4">
      <c r="A54" s="1682"/>
      <c r="B54" s="1649"/>
      <c r="C54" s="1664"/>
      <c r="D54" s="100"/>
      <c r="E54" s="64"/>
      <c r="F54" s="64"/>
      <c r="G54" s="64" t="s">
        <v>6320</v>
      </c>
      <c r="H54" s="64"/>
      <c r="I54" s="64"/>
      <c r="J54" s="133"/>
      <c r="K54" s="109"/>
      <c r="L54" s="109"/>
      <c r="M54" s="109"/>
      <c r="N54" s="109"/>
      <c r="O54" s="109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109"/>
      <c r="AF54" s="109"/>
      <c r="AG54" s="109"/>
      <c r="AH54" s="109"/>
      <c r="AI54" s="109"/>
      <c r="AJ54" s="109"/>
      <c r="AK54" s="64"/>
      <c r="AL54" s="64"/>
      <c r="AM54" s="64"/>
      <c r="AN54" s="64"/>
      <c r="AO54" s="158"/>
      <c r="AP54" s="64"/>
      <c r="AQ54" s="64"/>
      <c r="AR54" s="141" t="s">
        <v>6961</v>
      </c>
      <c r="AS54" s="64"/>
      <c r="AT54" s="64"/>
      <c r="AU54" s="64"/>
      <c r="AV54" s="64"/>
      <c r="AW54" s="64"/>
      <c r="AX54" s="64"/>
      <c r="AY54" s="64"/>
      <c r="AZ54" s="109"/>
      <c r="BA54" s="109"/>
      <c r="BB54" s="109"/>
      <c r="BC54" s="109"/>
      <c r="BD54" s="109"/>
      <c r="BE54" s="109"/>
      <c r="BF54" s="64"/>
      <c r="BG54" s="64"/>
      <c r="BH54" s="64"/>
      <c r="BI54" s="174"/>
      <c r="BJ54" s="174"/>
      <c r="BK54" s="17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109"/>
      <c r="BY54" s="109"/>
      <c r="BZ54" s="109"/>
      <c r="CA54" s="109"/>
      <c r="CB54" s="109"/>
      <c r="CC54" s="196"/>
      <c r="CD54" s="201"/>
      <c r="CE54" s="198"/>
      <c r="CF54" s="198"/>
      <c r="CG54" s="198"/>
      <c r="CH54" s="198"/>
      <c r="CI54" s="198"/>
      <c r="CJ54" s="198"/>
      <c r="CK54" s="198"/>
      <c r="CL54" s="198"/>
      <c r="CM54" s="198"/>
      <c r="CN54" s="198"/>
      <c r="CO54" s="198"/>
      <c r="CP54" s="198"/>
      <c r="CQ54" s="198"/>
      <c r="CR54" s="198"/>
      <c r="CS54" s="198"/>
      <c r="CT54" s="198"/>
      <c r="CU54" s="198"/>
      <c r="CV54" s="220"/>
      <c r="CW54" s="288"/>
      <c r="CX54" s="260"/>
      <c r="CY54" s="260"/>
      <c r="CZ54" s="260"/>
      <c r="DA54" s="260"/>
      <c r="DB54" s="260"/>
      <c r="DC54" s="306"/>
      <c r="DD54" s="79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87"/>
      <c r="DQ54" s="64"/>
      <c r="DR54" s="64"/>
      <c r="DS54" s="109"/>
      <c r="DT54" s="109"/>
      <c r="DU54" s="109"/>
      <c r="DV54" s="109"/>
      <c r="DW54" s="109"/>
      <c r="DX54" s="109"/>
      <c r="DY54" s="65" t="s">
        <v>6415</v>
      </c>
      <c r="DZ54" s="64"/>
      <c r="EA54" s="64"/>
      <c r="EB54" s="109"/>
      <c r="EC54" s="109"/>
      <c r="ED54" s="109"/>
      <c r="EE54" s="64"/>
      <c r="EF54" s="64"/>
      <c r="EG54" s="64"/>
      <c r="EH54" s="64"/>
      <c r="EI54" s="64"/>
      <c r="EJ54" s="64"/>
      <c r="EK54" s="313" t="s">
        <v>6330</v>
      </c>
      <c r="EL54" s="64"/>
      <c r="EM54" s="64"/>
      <c r="EN54" s="109"/>
      <c r="EO54" s="109"/>
      <c r="EP54" s="109"/>
      <c r="EQ54" s="109"/>
      <c r="ER54" s="109"/>
      <c r="ES54" s="109"/>
      <c r="ET54" s="64"/>
      <c r="EU54" s="64"/>
      <c r="EV54" s="64"/>
      <c r="EW54" s="109"/>
      <c r="EX54" s="109"/>
      <c r="EY54" s="109"/>
      <c r="EZ54" s="64"/>
      <c r="FA54" s="64"/>
      <c r="FB54" s="64"/>
      <c r="FC54" s="64"/>
      <c r="FD54" s="64"/>
      <c r="FE54" s="64"/>
      <c r="FF54" s="64"/>
      <c r="FG54" s="64"/>
      <c r="FH54" s="64"/>
      <c r="FI54" s="109"/>
      <c r="FJ54" s="109"/>
      <c r="FK54" s="109"/>
      <c r="FL54" s="109"/>
      <c r="FM54" s="109"/>
      <c r="FN54" s="109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109"/>
      <c r="GE54" s="109"/>
      <c r="GF54" s="109"/>
      <c r="GG54" s="109"/>
      <c r="GH54" s="109"/>
      <c r="GI54" s="109"/>
      <c r="GJ54" s="64"/>
      <c r="GK54" s="64"/>
      <c r="GL54" s="64"/>
      <c r="GM54" s="64" t="s">
        <v>6313</v>
      </c>
      <c r="GN54" s="49" t="s">
        <v>6313</v>
      </c>
      <c r="GO54" s="1631"/>
      <c r="GP54" s="328" t="s">
        <v>6415</v>
      </c>
      <c r="GQ54" s="365"/>
      <c r="GR54" s="356"/>
      <c r="GS54" s="64"/>
      <c r="GT54" s="64"/>
      <c r="GU54" s="64"/>
      <c r="GV54" s="64"/>
      <c r="GW54" s="64"/>
      <c r="GX54" s="64"/>
      <c r="GY54" s="358" t="s">
        <v>6942</v>
      </c>
      <c r="GZ54" s="380"/>
      <c r="HA54" s="293"/>
      <c r="HB54" s="109"/>
      <c r="HC54" s="109"/>
      <c r="HD54" s="109"/>
      <c r="HE54" s="147" t="s">
        <v>6943</v>
      </c>
      <c r="HF54" s="64"/>
      <c r="HG54" s="64"/>
      <c r="HH54" s="379" t="s">
        <v>1783</v>
      </c>
      <c r="HI54" s="356"/>
      <c r="HJ54" s="397"/>
      <c r="HK54" s="399" t="s">
        <v>6830</v>
      </c>
      <c r="HL54" s="356" t="s">
        <v>6415</v>
      </c>
      <c r="HM54" s="79"/>
      <c r="HN54" s="64"/>
      <c r="HO54" s="64"/>
      <c r="HP54" s="64"/>
      <c r="HQ54" s="64"/>
      <c r="HR54" s="64"/>
      <c r="HS54" s="328"/>
      <c r="HT54" s="260"/>
      <c r="HU54" s="260"/>
      <c r="HV54" s="260"/>
      <c r="HW54" s="260"/>
      <c r="HX54" s="260"/>
      <c r="HY54" s="260"/>
      <c r="HZ54" s="404"/>
      <c r="IA54" s="260"/>
      <c r="IB54" s="274"/>
      <c r="IC54" s="197" t="s">
        <v>6824</v>
      </c>
      <c r="ID54" s="198"/>
      <c r="IE54" s="268"/>
      <c r="IF54" s="197"/>
      <c r="IG54" s="198"/>
      <c r="IH54" s="268"/>
      <c r="II54" s="197"/>
      <c r="IJ54" s="199"/>
      <c r="IK54" s="268"/>
      <c r="IL54" s="197"/>
      <c r="IM54" s="198"/>
      <c r="IN54" s="268"/>
      <c r="IO54" s="288"/>
      <c r="IP54" s="260"/>
      <c r="IQ54" s="296"/>
      <c r="IR54" s="288"/>
      <c r="IS54" s="260"/>
      <c r="IT54" s="296"/>
      <c r="IU54" s="197"/>
      <c r="IV54" s="454"/>
      <c r="IW54" s="470"/>
      <c r="IX54" s="197"/>
      <c r="IY54" s="198"/>
      <c r="IZ54" s="268"/>
      <c r="JA54" s="197"/>
      <c r="JB54" s="198"/>
      <c r="JC54" s="268"/>
      <c r="JD54" s="197"/>
      <c r="JE54" s="198"/>
      <c r="JF54" s="268"/>
      <c r="JG54" s="197"/>
      <c r="JH54" s="64"/>
      <c r="JI54" s="268"/>
      <c r="JJ54" s="288"/>
      <c r="JK54" s="260"/>
      <c r="JL54" s="296"/>
      <c r="JM54" s="288"/>
      <c r="JN54" s="260"/>
      <c r="JO54" s="296"/>
      <c r="JP54" s="64"/>
      <c r="JQ54" s="388"/>
      <c r="JR54" s="489"/>
      <c r="JS54" s="502"/>
      <c r="JT54" s="491"/>
      <c r="JU54" s="79"/>
      <c r="JV54" s="64"/>
      <c r="JW54" s="64"/>
      <c r="JX54" s="64"/>
      <c r="JY54" s="64"/>
      <c r="JZ54" s="64"/>
      <c r="KA54" s="64"/>
      <c r="KB54" s="64"/>
      <c r="KC54" s="64"/>
      <c r="KD54" s="64"/>
      <c r="KE54" s="109"/>
      <c r="KF54" s="109"/>
      <c r="KG54" s="109"/>
      <c r="KH54" s="109"/>
      <c r="KI54" s="109"/>
      <c r="KJ54" s="109"/>
      <c r="KK54" s="64"/>
      <c r="KL54" s="64"/>
      <c r="KM54" s="525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109"/>
      <c r="LA54" s="109"/>
      <c r="LB54" s="109"/>
      <c r="LC54" s="109"/>
      <c r="LD54" s="109"/>
      <c r="LE54" s="109"/>
      <c r="LF54" s="64"/>
      <c r="LG54" s="525"/>
      <c r="LH54" s="525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109"/>
      <c r="LV54" s="109"/>
      <c r="LW54" s="109"/>
      <c r="LX54" s="109"/>
      <c r="LY54" s="109"/>
      <c r="LZ54" s="109"/>
      <c r="MA54" s="64"/>
      <c r="MB54" s="525"/>
      <c r="MC54" s="525"/>
      <c r="ME54" s="77"/>
      <c r="MF54" s="68"/>
      <c r="MG54" s="503"/>
      <c r="MH54" s="77"/>
      <c r="MI54" s="68"/>
      <c r="MJ54" s="68"/>
      <c r="MK54" s="77"/>
      <c r="ML54" s="68"/>
      <c r="MM54" s="68"/>
      <c r="MN54" s="77"/>
      <c r="MO54" s="68"/>
      <c r="MP54" s="68"/>
      <c r="MQ54" s="77"/>
      <c r="MR54" s="68"/>
      <c r="MS54" s="68"/>
      <c r="MT54" s="111"/>
      <c r="MU54" s="111"/>
      <c r="MV54" s="111"/>
      <c r="MW54" s="325"/>
      <c r="MX54" s="111"/>
      <c r="MY54" s="200"/>
      <c r="MZ54" s="592"/>
      <c r="NA54" s="560" t="s">
        <v>6962</v>
      </c>
      <c r="NB54" s="593"/>
      <c r="NC54" s="152"/>
      <c r="ND54" s="68" t="s">
        <v>6793</v>
      </c>
      <c r="NE54" s="68"/>
      <c r="NF54" s="77"/>
      <c r="NG54" s="68"/>
      <c r="NH54" s="68"/>
      <c r="NI54" s="77"/>
      <c r="NJ54" s="68"/>
      <c r="NK54" s="68"/>
      <c r="NL54" s="77"/>
      <c r="NM54" s="68"/>
      <c r="NN54" s="329"/>
      <c r="NO54" s="612"/>
      <c r="NP54" s="111"/>
      <c r="NQ54" s="111"/>
      <c r="NR54" s="325"/>
      <c r="NS54" s="111"/>
      <c r="NT54" s="611"/>
      <c r="NU54" s="366"/>
      <c r="NV54" s="503"/>
      <c r="NW54" s="503"/>
    </row>
    <row r="55" spans="1:387" ht="14.4">
      <c r="A55" s="1682"/>
      <c r="B55" s="1649"/>
      <c r="C55" s="1664"/>
      <c r="D55" s="90"/>
      <c r="E55" s="68"/>
      <c r="F55" s="68"/>
      <c r="G55" s="77" t="s">
        <v>6549</v>
      </c>
      <c r="H55" s="68"/>
      <c r="I55" s="68"/>
      <c r="J55" s="135"/>
      <c r="K55" s="111"/>
      <c r="L55" s="111"/>
      <c r="M55" s="111"/>
      <c r="N55" s="111"/>
      <c r="O55" s="111"/>
      <c r="P55" s="77"/>
      <c r="Q55" s="68"/>
      <c r="R55" s="68"/>
      <c r="S55" s="77"/>
      <c r="T55" s="68"/>
      <c r="U55" s="68"/>
      <c r="V55" s="77"/>
      <c r="W55" s="68"/>
      <c r="X55" s="68"/>
      <c r="Y55" s="77"/>
      <c r="Z55" s="68"/>
      <c r="AA55" s="68"/>
      <c r="AB55" s="77"/>
      <c r="AC55" s="68"/>
      <c r="AD55" s="68"/>
      <c r="AE55" s="111"/>
      <c r="AF55" s="111"/>
      <c r="AG55" s="111"/>
      <c r="AH55" s="111"/>
      <c r="AI55" s="111"/>
      <c r="AJ55" s="111"/>
      <c r="AK55" s="68"/>
      <c r="AL55" s="68"/>
      <c r="AM55" s="68"/>
      <c r="AN55" s="77"/>
      <c r="AO55" s="159"/>
      <c r="AP55" s="68"/>
      <c r="AQ55" s="77"/>
      <c r="AR55" s="162" t="s">
        <v>6690</v>
      </c>
      <c r="AS55" s="68"/>
      <c r="AT55" s="77"/>
      <c r="AU55" s="68"/>
      <c r="AV55" s="68"/>
      <c r="AW55" s="77"/>
      <c r="AX55" s="68"/>
      <c r="AY55" s="68"/>
      <c r="AZ55" s="111"/>
      <c r="BA55" s="111"/>
      <c r="BB55" s="111"/>
      <c r="BC55" s="111"/>
      <c r="BD55" s="111"/>
      <c r="BE55" s="111"/>
      <c r="BF55" s="68"/>
      <c r="BG55" s="68"/>
      <c r="BH55" s="68"/>
      <c r="BI55" s="178"/>
      <c r="BJ55" s="176"/>
      <c r="BK55" s="176"/>
      <c r="BL55" s="77"/>
      <c r="BM55" s="68"/>
      <c r="BN55" s="68"/>
      <c r="BO55" s="68"/>
      <c r="BP55" s="77"/>
      <c r="BQ55" s="68"/>
      <c r="BR55" s="68"/>
      <c r="BS55" s="68"/>
      <c r="BT55" s="77"/>
      <c r="BU55" s="68"/>
      <c r="BV55" s="68"/>
      <c r="BW55" s="68"/>
      <c r="BX55" s="111"/>
      <c r="BY55" s="111"/>
      <c r="BZ55" s="111"/>
      <c r="CA55" s="111"/>
      <c r="CB55" s="111"/>
      <c r="CC55" s="200"/>
      <c r="CD55" s="201"/>
      <c r="CE55" s="198"/>
      <c r="CF55" s="198"/>
      <c r="CG55" s="198"/>
      <c r="CH55" s="198"/>
      <c r="CI55" s="198"/>
      <c r="CJ55" s="198"/>
      <c r="CK55" s="198"/>
      <c r="CL55" s="198"/>
      <c r="CM55" s="198"/>
      <c r="CN55" s="198"/>
      <c r="CO55" s="198"/>
      <c r="CP55" s="198"/>
      <c r="CQ55" s="198"/>
      <c r="CR55" s="198"/>
      <c r="CS55" s="198"/>
      <c r="CT55" s="198"/>
      <c r="CU55" s="198"/>
      <c r="CV55" s="220"/>
      <c r="CW55" s="288"/>
      <c r="CX55" s="260"/>
      <c r="CY55" s="260"/>
      <c r="CZ55" s="260"/>
      <c r="DA55" s="260"/>
      <c r="DB55" s="260"/>
      <c r="DC55" s="310"/>
      <c r="DD55" s="80"/>
      <c r="DE55" s="68"/>
      <c r="DF55" s="77"/>
      <c r="DG55" s="68"/>
      <c r="DH55" s="68"/>
      <c r="DI55" s="68"/>
      <c r="DJ55" s="77"/>
      <c r="DK55" s="68"/>
      <c r="DL55" s="68"/>
      <c r="DM55" s="77"/>
      <c r="DN55" s="68"/>
      <c r="DO55" s="68"/>
      <c r="DP55" s="77"/>
      <c r="DQ55" s="68"/>
      <c r="DR55" s="68"/>
      <c r="DS55" s="111"/>
      <c r="DT55" s="111"/>
      <c r="DU55" s="111"/>
      <c r="DV55" s="111"/>
      <c r="DW55" s="111"/>
      <c r="DX55" s="111"/>
      <c r="DY55" s="77"/>
      <c r="DZ55" s="68"/>
      <c r="EA55" s="68"/>
      <c r="EB55" s="111"/>
      <c r="EC55" s="111"/>
      <c r="ED55" s="111"/>
      <c r="EE55" s="77"/>
      <c r="EF55" s="68"/>
      <c r="EG55" s="68"/>
      <c r="EH55" s="77"/>
      <c r="EI55" s="68"/>
      <c r="EJ55" s="68"/>
      <c r="EK55" s="77"/>
      <c r="EL55" s="68"/>
      <c r="EM55" s="68"/>
      <c r="EN55" s="111"/>
      <c r="EO55" s="111"/>
      <c r="EP55" s="111"/>
      <c r="EQ55" s="111"/>
      <c r="ER55" s="111"/>
      <c r="ES55" s="111"/>
      <c r="ET55" s="77"/>
      <c r="EU55" s="68"/>
      <c r="EV55" s="68"/>
      <c r="EW55" s="111"/>
      <c r="EX55" s="111"/>
      <c r="EY55" s="111"/>
      <c r="EZ55" s="77"/>
      <c r="FA55" s="68"/>
      <c r="FB55" s="68"/>
      <c r="FC55" s="77"/>
      <c r="FD55" s="68"/>
      <c r="FE55" s="68"/>
      <c r="FF55" s="77"/>
      <c r="FG55" s="68"/>
      <c r="FH55" s="68"/>
      <c r="FI55" s="111"/>
      <c r="FJ55" s="111"/>
      <c r="FK55" s="111"/>
      <c r="FL55" s="111"/>
      <c r="FM55" s="111"/>
      <c r="FN55" s="111"/>
      <c r="FO55" s="77"/>
      <c r="FP55" s="68"/>
      <c r="FQ55" s="68"/>
      <c r="FR55" s="77"/>
      <c r="FS55" s="68"/>
      <c r="FT55" s="68"/>
      <c r="FU55" s="77"/>
      <c r="FV55" s="68"/>
      <c r="FW55" s="68"/>
      <c r="FX55" s="77"/>
      <c r="FY55" s="68"/>
      <c r="FZ55" s="68"/>
      <c r="GA55" s="77"/>
      <c r="GB55" s="68"/>
      <c r="GC55" s="68"/>
      <c r="GD55" s="111"/>
      <c r="GE55" s="111"/>
      <c r="GF55" s="111"/>
      <c r="GG55" s="111"/>
      <c r="GH55" s="111"/>
      <c r="GI55" s="111"/>
      <c r="GJ55" s="77"/>
      <c r="GK55" s="68"/>
      <c r="GL55" s="68"/>
      <c r="GM55" s="68" t="s">
        <v>6535</v>
      </c>
      <c r="GN55" s="64" t="s">
        <v>6535</v>
      </c>
      <c r="GO55" s="1631"/>
      <c r="GP55" s="165"/>
      <c r="GQ55" s="365"/>
      <c r="GR55" s="356"/>
      <c r="GS55" s="77"/>
      <c r="GT55" s="68"/>
      <c r="GU55" s="68"/>
      <c r="GV55" s="77"/>
      <c r="GW55" s="68"/>
      <c r="GX55" s="68"/>
      <c r="GY55" s="223"/>
      <c r="GZ55" s="380"/>
      <c r="HA55" s="366"/>
      <c r="HB55" s="111"/>
      <c r="HC55" s="111"/>
      <c r="HD55" s="111"/>
      <c r="HE55" s="77"/>
      <c r="HF55" s="68"/>
      <c r="HG55" s="68"/>
      <c r="HH55" s="329"/>
      <c r="HI55" s="356"/>
      <c r="HJ55" s="397"/>
      <c r="HK55" s="400"/>
      <c r="HL55" s="356"/>
      <c r="HM55" s="80"/>
      <c r="HN55" s="77"/>
      <c r="HO55" s="68"/>
      <c r="HP55" s="68"/>
      <c r="HQ55" s="77"/>
      <c r="HR55" s="68"/>
      <c r="HS55" s="329"/>
      <c r="HT55" s="260"/>
      <c r="HU55" s="260"/>
      <c r="HV55" s="260"/>
      <c r="HW55" s="260"/>
      <c r="HX55" s="260"/>
      <c r="HY55" s="260"/>
      <c r="HZ55" s="260"/>
      <c r="IA55" s="260"/>
      <c r="IB55" s="274"/>
      <c r="IC55" s="201"/>
      <c r="ID55" s="198"/>
      <c r="IE55" s="268"/>
      <c r="IF55" s="201"/>
      <c r="IG55" s="198"/>
      <c r="IH55" s="268"/>
      <c r="II55" s="201"/>
      <c r="IJ55" s="199"/>
      <c r="IK55" s="268"/>
      <c r="IL55" s="201"/>
      <c r="IM55" s="198"/>
      <c r="IN55" s="268"/>
      <c r="IO55" s="288"/>
      <c r="IP55" s="260"/>
      <c r="IQ55" s="296"/>
      <c r="IR55" s="288"/>
      <c r="IS55" s="260"/>
      <c r="IT55" s="296"/>
      <c r="IU55" s="201"/>
      <c r="IV55" s="454"/>
      <c r="IW55" s="470"/>
      <c r="IX55" s="201"/>
      <c r="IY55" s="198"/>
      <c r="IZ55" s="268"/>
      <c r="JA55" s="201"/>
      <c r="JB55" s="198"/>
      <c r="JC55" s="268"/>
      <c r="JD55" s="201"/>
      <c r="JE55" s="198"/>
      <c r="JF55" s="268"/>
      <c r="JG55" s="201"/>
      <c r="JH55" s="68"/>
      <c r="JI55" s="268"/>
      <c r="JJ55" s="288"/>
      <c r="JK55" s="260"/>
      <c r="JL55" s="296"/>
      <c r="JM55" s="288"/>
      <c r="JN55" s="260"/>
      <c r="JO55" s="296"/>
      <c r="JP55" s="77"/>
      <c r="JQ55" s="388"/>
      <c r="JR55" s="489"/>
      <c r="JS55" s="400"/>
      <c r="JT55" s="491"/>
      <c r="JU55" s="80"/>
      <c r="JV55" s="77"/>
      <c r="JW55" s="68"/>
      <c r="JX55" s="68"/>
      <c r="JY55" s="77"/>
      <c r="JZ55" s="68"/>
      <c r="KA55" s="68"/>
      <c r="KB55" s="77"/>
      <c r="KC55" s="68"/>
      <c r="KD55" s="68"/>
      <c r="KE55" s="111"/>
      <c r="KF55" s="111"/>
      <c r="KG55" s="111"/>
      <c r="KH55" s="111"/>
      <c r="KI55" s="111"/>
      <c r="KJ55" s="111"/>
      <c r="KK55" s="77"/>
      <c r="KL55" s="68"/>
      <c r="KM55" s="503"/>
      <c r="KN55" s="77"/>
      <c r="KO55" s="68"/>
      <c r="KP55" s="68"/>
      <c r="KQ55" s="77"/>
      <c r="KR55" s="68"/>
      <c r="KS55" s="68"/>
      <c r="KT55" s="77"/>
      <c r="KU55" s="68"/>
      <c r="KV55" s="68"/>
      <c r="KW55" s="77"/>
      <c r="KX55" s="68"/>
      <c r="KY55" s="68"/>
      <c r="KZ55" s="111"/>
      <c r="LA55" s="111"/>
      <c r="LB55" s="111"/>
      <c r="LC55" s="111"/>
      <c r="LD55" s="111"/>
      <c r="LE55" s="111"/>
      <c r="LF55" s="77"/>
      <c r="LG55" s="503"/>
      <c r="LH55" s="503"/>
      <c r="LI55" s="77"/>
      <c r="LJ55" s="68"/>
      <c r="LK55" s="68"/>
      <c r="LL55" s="77"/>
      <c r="LM55" s="68"/>
      <c r="LN55" s="68"/>
      <c r="LO55" s="77"/>
      <c r="LP55" s="68"/>
      <c r="LQ55" s="68"/>
      <c r="LR55" s="77"/>
      <c r="LS55" s="68"/>
      <c r="LT55" s="68"/>
      <c r="LU55" s="111"/>
      <c r="LV55" s="111"/>
      <c r="LW55" s="111"/>
      <c r="LX55" s="111"/>
      <c r="LY55" s="111"/>
      <c r="LZ55" s="111"/>
      <c r="MA55" s="77"/>
      <c r="MB55" s="503"/>
      <c r="MC55" s="503"/>
      <c r="ME55" s="77"/>
      <c r="MF55" s="77"/>
      <c r="MG55" s="77"/>
      <c r="MH55" s="77"/>
      <c r="MI55" s="77"/>
      <c r="MJ55" s="77"/>
      <c r="MK55" s="77"/>
      <c r="ML55" s="77"/>
      <c r="MM55" s="77"/>
      <c r="MN55" s="77"/>
      <c r="MO55" s="77"/>
      <c r="MP55" s="77"/>
      <c r="MQ55" s="77"/>
      <c r="MR55" s="77"/>
      <c r="MS55" s="77"/>
      <c r="MT55" s="77"/>
      <c r="MU55" s="77"/>
      <c r="MV55" s="77"/>
      <c r="MW55" s="77"/>
      <c r="MX55" s="77"/>
      <c r="MY55" s="165"/>
      <c r="MZ55" s="599"/>
      <c r="NA55" s="378"/>
      <c r="NB55" s="310"/>
      <c r="NC55" s="70"/>
      <c r="ND55" s="70" t="s">
        <v>1783</v>
      </c>
      <c r="NE55" s="70"/>
      <c r="NF55" s="70"/>
      <c r="NG55" s="70"/>
      <c r="NH55" s="70"/>
      <c r="NI55" s="70"/>
      <c r="NJ55" s="70"/>
      <c r="NK55" s="70"/>
      <c r="NL55" s="70"/>
      <c r="NM55" s="70"/>
      <c r="NN55" s="218"/>
      <c r="NO55" s="613"/>
      <c r="NP55" s="110"/>
      <c r="NQ55" s="110"/>
      <c r="NR55" s="110"/>
      <c r="NS55" s="110"/>
      <c r="NT55" s="614"/>
      <c r="NU55" s="69"/>
      <c r="NV55" s="513"/>
      <c r="NW55" s="513"/>
    </row>
    <row r="56" spans="1:387" ht="14.4">
      <c r="A56" s="1683"/>
      <c r="B56" s="1650"/>
      <c r="C56" s="1665"/>
      <c r="D56" s="73"/>
      <c r="E56" s="73"/>
      <c r="F56" s="73"/>
      <c r="G56" s="91"/>
      <c r="H56" s="73"/>
      <c r="I56" s="73"/>
      <c r="J56" s="136"/>
      <c r="K56" s="114"/>
      <c r="L56" s="114"/>
      <c r="M56" s="114"/>
      <c r="N56" s="114"/>
      <c r="O56" s="114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114"/>
      <c r="AF56" s="114"/>
      <c r="AG56" s="114"/>
      <c r="AH56" s="114"/>
      <c r="AI56" s="114"/>
      <c r="AJ56" s="114"/>
      <c r="AK56" s="73"/>
      <c r="AL56" s="73"/>
      <c r="AM56" s="73"/>
      <c r="AN56" s="73"/>
      <c r="AO56" s="155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114"/>
      <c r="BA56" s="114"/>
      <c r="BB56" s="114"/>
      <c r="BC56" s="114"/>
      <c r="BD56" s="114"/>
      <c r="BE56" s="114"/>
      <c r="BF56" s="73"/>
      <c r="BG56" s="73"/>
      <c r="BH56" s="73"/>
      <c r="BI56" s="180"/>
      <c r="BJ56" s="180"/>
      <c r="BK56" s="180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114"/>
      <c r="BY56" s="114"/>
      <c r="BZ56" s="114"/>
      <c r="CA56" s="114"/>
      <c r="CB56" s="114"/>
      <c r="CC56" s="130"/>
      <c r="CD56" s="202"/>
      <c r="CE56" s="203"/>
      <c r="CF56" s="203"/>
      <c r="CG56" s="203"/>
      <c r="CH56" s="203"/>
      <c r="CI56" s="203"/>
      <c r="CJ56" s="203"/>
      <c r="CK56" s="203"/>
      <c r="CL56" s="203"/>
      <c r="CM56" s="203"/>
      <c r="CN56" s="203"/>
      <c r="CO56" s="203"/>
      <c r="CP56" s="203"/>
      <c r="CQ56" s="203"/>
      <c r="CR56" s="203"/>
      <c r="CS56" s="203"/>
      <c r="CT56" s="203"/>
      <c r="CU56" s="203"/>
      <c r="CV56" s="261"/>
      <c r="CW56" s="289"/>
      <c r="CX56" s="271"/>
      <c r="CY56" s="271"/>
      <c r="CZ56" s="271"/>
      <c r="DA56" s="271"/>
      <c r="DB56" s="271"/>
      <c r="DC56" s="303"/>
      <c r="DD56" s="72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114"/>
      <c r="DT56" s="114"/>
      <c r="DU56" s="114"/>
      <c r="DV56" s="114"/>
      <c r="DW56" s="114"/>
      <c r="DX56" s="114"/>
      <c r="DY56" s="73"/>
      <c r="DZ56" s="73"/>
      <c r="EA56" s="73"/>
      <c r="EB56" s="114"/>
      <c r="EC56" s="114"/>
      <c r="ED56" s="114"/>
      <c r="EE56" s="73"/>
      <c r="EF56" s="73"/>
      <c r="EG56" s="73"/>
      <c r="EH56" s="73"/>
      <c r="EI56" s="73"/>
      <c r="EJ56" s="73"/>
      <c r="EK56" s="73"/>
      <c r="EL56" s="73"/>
      <c r="EM56" s="73"/>
      <c r="EN56" s="114"/>
      <c r="EO56" s="114"/>
      <c r="EP56" s="114"/>
      <c r="EQ56" s="114"/>
      <c r="ER56" s="114"/>
      <c r="ES56" s="114"/>
      <c r="ET56" s="73"/>
      <c r="EU56" s="73"/>
      <c r="EV56" s="73"/>
      <c r="EW56" s="114"/>
      <c r="EX56" s="114"/>
      <c r="EY56" s="114"/>
      <c r="EZ56" s="73"/>
      <c r="FA56" s="73"/>
      <c r="FB56" s="73"/>
      <c r="FC56" s="73"/>
      <c r="FD56" s="73"/>
      <c r="FE56" s="73"/>
      <c r="FF56" s="73"/>
      <c r="FG56" s="73"/>
      <c r="FH56" s="73"/>
      <c r="FI56" s="114"/>
      <c r="FJ56" s="114"/>
      <c r="FK56" s="114"/>
      <c r="FL56" s="114"/>
      <c r="FM56" s="114"/>
      <c r="FN56" s="114"/>
      <c r="FO56" s="73"/>
      <c r="FP56" s="73"/>
      <c r="FQ56" s="73"/>
      <c r="FR56" s="73"/>
      <c r="FS56" s="73"/>
      <c r="FT56" s="73"/>
      <c r="FU56" s="73"/>
      <c r="FV56" s="73"/>
      <c r="FW56" s="73"/>
      <c r="FX56" s="73"/>
      <c r="FY56" s="73"/>
      <c r="FZ56" s="73"/>
      <c r="GA56" s="73"/>
      <c r="GB56" s="73"/>
      <c r="GC56" s="73"/>
      <c r="GD56" s="114"/>
      <c r="GE56" s="114"/>
      <c r="GF56" s="114"/>
      <c r="GG56" s="114"/>
      <c r="GH56" s="114"/>
      <c r="GI56" s="114"/>
      <c r="GJ56" s="73"/>
      <c r="GK56" s="73"/>
      <c r="GL56" s="73"/>
      <c r="GM56" s="73" t="s">
        <v>6597</v>
      </c>
      <c r="GN56" s="97" t="s">
        <v>6597</v>
      </c>
      <c r="GO56" s="1632"/>
      <c r="GP56" s="254"/>
      <c r="GQ56" s="374"/>
      <c r="GR56" s="375"/>
      <c r="GS56" s="73"/>
      <c r="GT56" s="73"/>
      <c r="GU56" s="73"/>
      <c r="GV56" s="73"/>
      <c r="GW56" s="73"/>
      <c r="GX56" s="73"/>
      <c r="GY56" s="360"/>
      <c r="GZ56" s="383"/>
      <c r="HA56" s="370"/>
      <c r="HB56" s="114"/>
      <c r="HC56" s="114"/>
      <c r="HD56" s="114"/>
      <c r="HE56" s="73"/>
      <c r="HF56" s="73"/>
      <c r="HG56" s="73"/>
      <c r="HH56" s="254"/>
      <c r="HI56" s="375"/>
      <c r="HJ56" s="401"/>
      <c r="HK56" s="402"/>
      <c r="HL56" s="375"/>
      <c r="HM56" s="72"/>
      <c r="HN56" s="73"/>
      <c r="HO56" s="73"/>
      <c r="HP56" s="73"/>
      <c r="HQ56" s="73"/>
      <c r="HR56" s="73"/>
      <c r="HS56" s="254"/>
      <c r="HT56" s="271"/>
      <c r="HU56" s="271"/>
      <c r="HV56" s="271"/>
      <c r="HW56" s="271"/>
      <c r="HX56" s="271"/>
      <c r="HY56" s="271"/>
      <c r="HZ56" s="271"/>
      <c r="IA56" s="271"/>
      <c r="IB56" s="262"/>
      <c r="IC56" s="204"/>
      <c r="ID56" s="205"/>
      <c r="IE56" s="269"/>
      <c r="IF56" s="204"/>
      <c r="IG56" s="205"/>
      <c r="IH56" s="269"/>
      <c r="II56" s="204"/>
      <c r="IJ56" s="436"/>
      <c r="IK56" s="269"/>
      <c r="IL56" s="204"/>
      <c r="IM56" s="205"/>
      <c r="IN56" s="269"/>
      <c r="IO56" s="289"/>
      <c r="IP56" s="271"/>
      <c r="IQ56" s="298"/>
      <c r="IR56" s="289"/>
      <c r="IS56" s="271"/>
      <c r="IT56" s="298"/>
      <c r="IU56" s="204"/>
      <c r="IV56" s="456"/>
      <c r="IW56" s="471"/>
      <c r="IX56" s="204"/>
      <c r="IY56" s="205"/>
      <c r="IZ56" s="269"/>
      <c r="JA56" s="204"/>
      <c r="JB56" s="205"/>
      <c r="JC56" s="269"/>
      <c r="JD56" s="204"/>
      <c r="JE56" s="205"/>
      <c r="JF56" s="269"/>
      <c r="JG56" s="204"/>
      <c r="JH56" s="229"/>
      <c r="JI56" s="269"/>
      <c r="JJ56" s="289"/>
      <c r="JK56" s="271"/>
      <c r="JL56" s="298"/>
      <c r="JM56" s="289"/>
      <c r="JN56" s="271"/>
      <c r="JO56" s="298"/>
      <c r="JP56" s="229"/>
      <c r="JQ56" s="388"/>
      <c r="JR56" s="499"/>
      <c r="JS56" s="505"/>
      <c r="JT56" s="501"/>
      <c r="JU56" s="531"/>
      <c r="JV56" s="229"/>
      <c r="JW56" s="229"/>
      <c r="JX56" s="229"/>
      <c r="JY56" s="229"/>
      <c r="JZ56" s="229"/>
      <c r="KA56" s="229"/>
      <c r="KB56" s="229"/>
      <c r="KC56" s="229"/>
      <c r="KD56" s="229"/>
      <c r="KE56" s="338"/>
      <c r="KF56" s="338"/>
      <c r="KG56" s="338"/>
      <c r="KH56" s="338"/>
      <c r="KI56" s="338"/>
      <c r="KJ56" s="338"/>
      <c r="KK56" s="229"/>
      <c r="KL56" s="229"/>
      <c r="KM56" s="497"/>
      <c r="KN56" s="229"/>
      <c r="KO56" s="229"/>
      <c r="KP56" s="229"/>
      <c r="KQ56" s="229"/>
      <c r="KR56" s="229"/>
      <c r="KS56" s="229"/>
      <c r="KT56" s="229"/>
      <c r="KU56" s="229"/>
      <c r="KV56" s="229"/>
      <c r="KW56" s="229"/>
      <c r="KX56" s="229"/>
      <c r="KY56" s="229"/>
      <c r="KZ56" s="338"/>
      <c r="LA56" s="338"/>
      <c r="LB56" s="338"/>
      <c r="LC56" s="338"/>
      <c r="LD56" s="338"/>
      <c r="LE56" s="338"/>
      <c r="LF56" s="229"/>
      <c r="LG56" s="497"/>
      <c r="LH56" s="497"/>
      <c r="LI56" s="70"/>
      <c r="LJ56" s="70"/>
      <c r="LK56" s="70"/>
      <c r="LL56" s="70"/>
      <c r="LM56" s="70"/>
      <c r="LN56" s="70"/>
      <c r="LO56" s="70"/>
      <c r="LP56" s="70"/>
      <c r="LQ56" s="70"/>
      <c r="LR56" s="70"/>
      <c r="LS56" s="70"/>
      <c r="LT56" s="70"/>
      <c r="LU56" s="110"/>
      <c r="LV56" s="110"/>
      <c r="LW56" s="110"/>
      <c r="LX56" s="110"/>
      <c r="LY56" s="110"/>
      <c r="LZ56" s="110"/>
      <c r="MA56" s="70"/>
      <c r="MB56" s="513"/>
      <c r="MC56" s="513"/>
      <c r="MD56" s="543"/>
      <c r="ME56" s="77"/>
      <c r="MF56" s="77"/>
      <c r="MG56" s="77"/>
      <c r="MH56" s="77"/>
      <c r="MI56" s="77"/>
      <c r="MJ56" s="77"/>
      <c r="MK56" s="77"/>
      <c r="ML56" s="77"/>
      <c r="MM56" s="77"/>
      <c r="MN56" s="77"/>
      <c r="MO56" s="77"/>
      <c r="MP56" s="77"/>
      <c r="MQ56" s="77"/>
      <c r="MR56" s="77"/>
      <c r="MS56" s="77"/>
      <c r="MT56" s="77"/>
      <c r="MU56" s="77"/>
      <c r="MV56" s="77"/>
      <c r="MW56" s="77"/>
      <c r="MX56" s="77"/>
      <c r="MY56" s="165"/>
      <c r="MZ56" s="600"/>
      <c r="NA56" s="361"/>
      <c r="NB56" s="601"/>
      <c r="NC56" s="238"/>
      <c r="ND56" s="238"/>
      <c r="NE56" s="238"/>
      <c r="NF56" s="238"/>
      <c r="NG56" s="238"/>
      <c r="NH56" s="238"/>
      <c r="NI56" s="238"/>
      <c r="NJ56" s="238"/>
      <c r="NK56" s="238"/>
      <c r="NL56" s="238"/>
      <c r="NM56" s="238"/>
      <c r="NN56" s="219"/>
      <c r="NO56" s="615"/>
      <c r="NP56" s="114"/>
      <c r="NQ56" s="114"/>
      <c r="NR56" s="114"/>
      <c r="NS56" s="114"/>
      <c r="NT56" s="616"/>
      <c r="NU56" s="618"/>
      <c r="NV56" s="238"/>
      <c r="NW56" s="238"/>
    </row>
    <row r="57" spans="1:387" ht="14.4">
      <c r="A57" s="1637"/>
      <c r="B57" s="1642"/>
      <c r="C57" s="1658" t="s">
        <v>6677</v>
      </c>
      <c r="D57" s="61"/>
      <c r="E57" s="61"/>
      <c r="F57" s="61"/>
      <c r="G57" s="102"/>
      <c r="H57" s="60"/>
      <c r="I57" s="61"/>
      <c r="J57" s="137"/>
      <c r="K57" s="108"/>
      <c r="L57" s="108"/>
      <c r="M57" s="108"/>
      <c r="N57" s="108"/>
      <c r="O57" s="108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108"/>
      <c r="AF57" s="108"/>
      <c r="AG57" s="108"/>
      <c r="AH57" s="108"/>
      <c r="AI57" s="108"/>
      <c r="AJ57" s="108"/>
      <c r="AK57" s="61"/>
      <c r="AL57" s="61"/>
      <c r="AM57" s="61"/>
      <c r="AN57" s="61"/>
      <c r="AO57" s="150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108"/>
      <c r="BA57" s="108"/>
      <c r="BB57" s="108"/>
      <c r="BC57" s="108"/>
      <c r="BD57" s="108"/>
      <c r="BE57" s="108"/>
      <c r="BF57" s="61"/>
      <c r="BG57" s="61"/>
      <c r="BH57" s="61"/>
      <c r="BI57" s="173"/>
      <c r="BJ57" s="173"/>
      <c r="BK57" s="173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108"/>
      <c r="BY57" s="108"/>
      <c r="BZ57" s="108"/>
      <c r="CA57" s="108"/>
      <c r="CB57" s="108"/>
      <c r="CC57" s="126"/>
      <c r="CD57" s="194"/>
      <c r="CE57" s="185"/>
      <c r="CF57" s="185"/>
      <c r="CG57" s="185"/>
      <c r="CH57" s="185"/>
      <c r="CI57" s="185"/>
      <c r="CJ57" s="185"/>
      <c r="CK57" s="185"/>
      <c r="CL57" s="185"/>
      <c r="CM57" s="185"/>
      <c r="CN57" s="185"/>
      <c r="CO57" s="185"/>
      <c r="CP57" s="185"/>
      <c r="CQ57" s="185"/>
      <c r="CR57" s="185"/>
      <c r="CS57" s="185"/>
      <c r="CT57" s="185"/>
      <c r="CU57" s="185"/>
      <c r="CV57" s="272"/>
      <c r="CW57" s="287"/>
      <c r="CX57" s="265"/>
      <c r="CY57" s="265"/>
      <c r="CZ57" s="265"/>
      <c r="DA57" s="265"/>
      <c r="DB57" s="295"/>
      <c r="DC57" s="60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108"/>
      <c r="DT57" s="108"/>
      <c r="DU57" s="108"/>
      <c r="DV57" s="108"/>
      <c r="DW57" s="108"/>
      <c r="DX57" s="108"/>
      <c r="DY57" s="61"/>
      <c r="DZ57" s="168" t="s">
        <v>6347</v>
      </c>
      <c r="EA57" s="61"/>
      <c r="EB57" s="108"/>
      <c r="EC57" s="108"/>
      <c r="ED57" s="108"/>
      <c r="EE57" s="61"/>
      <c r="EF57" s="61"/>
      <c r="EG57" s="61"/>
      <c r="EH57" s="61"/>
      <c r="EI57" s="61"/>
      <c r="EJ57" s="61"/>
      <c r="EK57" s="61"/>
      <c r="EL57" s="61"/>
      <c r="EM57" s="61"/>
      <c r="EN57" s="108"/>
      <c r="EO57" s="108"/>
      <c r="EP57" s="108"/>
      <c r="EQ57" s="108"/>
      <c r="ER57" s="108"/>
      <c r="ES57" s="108"/>
      <c r="ET57" s="61"/>
      <c r="EU57" s="61"/>
      <c r="EV57" s="61"/>
      <c r="EW57" s="108"/>
      <c r="EX57" s="108"/>
      <c r="EY57" s="108"/>
      <c r="EZ57" s="61"/>
      <c r="FA57" s="61"/>
      <c r="FB57" s="61"/>
      <c r="FC57" s="61"/>
      <c r="FD57" s="61"/>
      <c r="FE57" s="61"/>
      <c r="FF57" s="61"/>
      <c r="FG57" s="61"/>
      <c r="FH57" s="61"/>
      <c r="FI57" s="108"/>
      <c r="FJ57" s="108"/>
      <c r="FK57" s="108"/>
      <c r="FL57" s="108"/>
      <c r="FM57" s="108"/>
      <c r="FN57" s="108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108"/>
      <c r="GE57" s="108"/>
      <c r="GF57" s="108"/>
      <c r="GG57" s="108"/>
      <c r="GH57" s="108"/>
      <c r="GI57" s="108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  <c r="GY57" s="211"/>
      <c r="GZ57" s="211"/>
      <c r="HA57" s="211"/>
      <c r="HB57" s="108"/>
      <c r="HC57" s="108"/>
      <c r="HD57" s="108"/>
      <c r="HE57" s="61"/>
      <c r="HF57" s="61"/>
      <c r="HG57" s="61"/>
      <c r="HH57" s="61"/>
      <c r="HI57" s="61"/>
      <c r="HJ57" s="61"/>
      <c r="HK57" s="61"/>
      <c r="HL57" s="61"/>
      <c r="HM57" s="61"/>
      <c r="HN57" s="61"/>
      <c r="HO57" s="61"/>
      <c r="HP57" s="61"/>
      <c r="HQ57" s="61"/>
      <c r="HR57" s="61"/>
      <c r="HS57" s="251"/>
      <c r="HT57" s="265"/>
      <c r="HU57" s="265"/>
      <c r="HV57" s="265"/>
      <c r="HW57" s="265"/>
      <c r="HX57" s="265"/>
      <c r="HY57" s="265"/>
      <c r="HZ57" s="265" t="s">
        <v>6331</v>
      </c>
      <c r="IA57" s="265"/>
      <c r="IB57" s="273"/>
      <c r="IC57" s="194" t="s">
        <v>6331</v>
      </c>
      <c r="ID57" s="185"/>
      <c r="IE57" s="257"/>
      <c r="IF57" s="194" t="s">
        <v>6331</v>
      </c>
      <c r="IG57" s="185"/>
      <c r="IH57" s="257"/>
      <c r="II57" s="194" t="s">
        <v>6331</v>
      </c>
      <c r="IJ57" s="206"/>
      <c r="IK57" s="257"/>
      <c r="IL57" s="194" t="s">
        <v>6331</v>
      </c>
      <c r="IM57" s="185" t="s">
        <v>6331</v>
      </c>
      <c r="IN57" s="257"/>
      <c r="IO57" s="287"/>
      <c r="IP57" s="265"/>
      <c r="IQ57" s="295"/>
      <c r="IR57" s="287"/>
      <c r="IS57" s="265"/>
      <c r="IT57" s="295"/>
      <c r="IU57" s="194" t="s">
        <v>6331</v>
      </c>
      <c r="IV57" s="453" t="s">
        <v>6331</v>
      </c>
      <c r="IW57" s="469"/>
      <c r="IX57" s="194" t="s">
        <v>6331</v>
      </c>
      <c r="IY57" s="185" t="s">
        <v>6331</v>
      </c>
      <c r="IZ57" s="257"/>
      <c r="JA57" s="194" t="s">
        <v>6331</v>
      </c>
      <c r="JB57" s="185" t="s">
        <v>6331</v>
      </c>
      <c r="JC57" s="257"/>
      <c r="JD57" s="194" t="s">
        <v>6331</v>
      </c>
      <c r="JE57" s="185" t="s">
        <v>6331</v>
      </c>
      <c r="JF57" s="257"/>
      <c r="JG57" s="194" t="s">
        <v>6331</v>
      </c>
      <c r="JH57" s="230"/>
      <c r="JI57" s="257"/>
      <c r="JJ57" s="287"/>
      <c r="JK57" s="265"/>
      <c r="JL57" s="295"/>
      <c r="JM57" s="287"/>
      <c r="JN57" s="265"/>
      <c r="JO57" s="295"/>
      <c r="JP57" s="230"/>
      <c r="JQ57" s="388"/>
      <c r="JR57" s="486"/>
      <c r="JS57" s="487"/>
      <c r="JT57" s="488"/>
      <c r="JU57" s="527"/>
      <c r="JV57" s="230"/>
      <c r="JW57" s="230"/>
      <c r="JX57" s="230"/>
      <c r="JY57" s="230"/>
      <c r="JZ57" s="230"/>
      <c r="KA57" s="230"/>
      <c r="KB57" s="230"/>
      <c r="KC57" s="230"/>
      <c r="KD57" s="230"/>
      <c r="KE57" s="339"/>
      <c r="KF57" s="339"/>
      <c r="KG57" s="339"/>
      <c r="KH57" s="339"/>
      <c r="KI57" s="339"/>
      <c r="KJ57" s="339"/>
      <c r="KK57" s="230"/>
      <c r="KL57" s="230"/>
      <c r="KM57" s="484"/>
      <c r="KN57" s="230"/>
      <c r="KO57" s="230"/>
      <c r="KP57" s="230"/>
      <c r="KQ57" s="230"/>
      <c r="KR57" s="230"/>
      <c r="KS57" s="230"/>
      <c r="KT57" s="230"/>
      <c r="KU57" s="230"/>
      <c r="KV57" s="230"/>
      <c r="KW57" s="230"/>
      <c r="KX57" s="230"/>
      <c r="KY57" s="230"/>
      <c r="KZ57" s="339"/>
      <c r="LA57" s="339"/>
      <c r="LB57" s="339"/>
      <c r="LC57" s="339"/>
      <c r="LD57" s="339"/>
      <c r="LE57" s="339"/>
      <c r="LF57" s="230"/>
      <c r="LG57" s="484"/>
      <c r="LH57" s="485"/>
      <c r="LI57" s="93"/>
      <c r="LJ57" s="93"/>
      <c r="LK57" s="93"/>
      <c r="LL57" s="93"/>
      <c r="LM57" s="93"/>
      <c r="LN57" s="93"/>
      <c r="LO57" s="93"/>
      <c r="LP57" s="93"/>
      <c r="LQ57" s="93"/>
      <c r="LR57" s="93"/>
      <c r="LS57" s="93"/>
      <c r="LT57" s="93"/>
      <c r="LU57" s="564"/>
      <c r="LV57" s="564"/>
      <c r="LW57" s="564"/>
      <c r="LX57" s="564"/>
      <c r="LY57" s="564"/>
      <c r="LZ57" s="564"/>
      <c r="MA57" s="185"/>
      <c r="MB57" s="484"/>
      <c r="MC57" s="469"/>
      <c r="MD57" s="222"/>
      <c r="ME57" s="230"/>
      <c r="MF57" s="230"/>
      <c r="MG57" s="484"/>
      <c r="MH57" s="230"/>
      <c r="MI57" s="230"/>
      <c r="MJ57" s="230"/>
      <c r="MK57" s="230"/>
      <c r="ML57" s="230"/>
      <c r="MM57" s="230"/>
      <c r="MN57" s="230"/>
      <c r="MO57" s="230"/>
      <c r="MP57" s="230"/>
      <c r="MQ57" s="230"/>
      <c r="MR57" s="230"/>
      <c r="MS57" s="230"/>
      <c r="MT57" s="339"/>
      <c r="MU57" s="339"/>
      <c r="MV57" s="339"/>
      <c r="MW57" s="339"/>
      <c r="MX57" s="339"/>
      <c r="MY57" s="577"/>
      <c r="MZ57" s="417"/>
      <c r="NA57" s="460"/>
      <c r="NB57" s="602"/>
      <c r="NC57" s="233"/>
      <c r="ND57" s="195"/>
      <c r="NE57" s="195"/>
      <c r="NF57" s="195"/>
      <c r="NG57" s="195"/>
      <c r="NH57" s="195"/>
      <c r="NI57" s="195"/>
      <c r="NJ57" s="195"/>
      <c r="NK57" s="195"/>
      <c r="NL57" s="195"/>
      <c r="NM57" s="195"/>
      <c r="NN57" s="195"/>
      <c r="NO57" s="276"/>
      <c r="NP57" s="276"/>
      <c r="NQ57" s="276"/>
      <c r="NR57" s="276"/>
      <c r="NS57" s="276"/>
      <c r="NT57" s="276"/>
      <c r="NU57" s="195"/>
      <c r="NV57" s="195"/>
      <c r="NW57" s="263"/>
    </row>
    <row r="58" spans="1:387" ht="14.4">
      <c r="A58" s="1682"/>
      <c r="B58" s="1643"/>
      <c r="C58" s="1659"/>
      <c r="D58" s="64" t="s">
        <v>6331</v>
      </c>
      <c r="E58" s="68"/>
      <c r="F58" s="68"/>
      <c r="G58" s="64" t="s">
        <v>6331</v>
      </c>
      <c r="H58" s="80"/>
      <c r="I58" s="68"/>
      <c r="J58" s="109"/>
      <c r="K58" s="111"/>
      <c r="L58" s="111"/>
      <c r="M58" s="111"/>
      <c r="N58" s="111"/>
      <c r="O58" s="111"/>
      <c r="P58" s="64" t="s">
        <v>6331</v>
      </c>
      <c r="Q58" s="68"/>
      <c r="R58" s="68"/>
      <c r="S58" s="64" t="s">
        <v>6331</v>
      </c>
      <c r="T58" s="68"/>
      <c r="U58" s="68"/>
      <c r="V58" s="64" t="s">
        <v>6331</v>
      </c>
      <c r="W58" s="68"/>
      <c r="X58" s="68"/>
      <c r="Y58" s="64" t="s">
        <v>6331</v>
      </c>
      <c r="Z58" s="68"/>
      <c r="AA58" s="68"/>
      <c r="AB58" s="64" t="s">
        <v>6331</v>
      </c>
      <c r="AC58" s="68"/>
      <c r="AD58" s="68"/>
      <c r="AE58" s="111"/>
      <c r="AF58" s="111"/>
      <c r="AG58" s="111"/>
      <c r="AH58" s="111"/>
      <c r="AI58" s="111"/>
      <c r="AJ58" s="111"/>
      <c r="AK58" s="68"/>
      <c r="AL58" s="68"/>
      <c r="AM58" s="68"/>
      <c r="AN58" s="64"/>
      <c r="AO58" s="159"/>
      <c r="AP58" s="68"/>
      <c r="AQ58" s="64"/>
      <c r="AR58" s="68"/>
      <c r="AS58" s="68"/>
      <c r="AT58" s="64"/>
      <c r="AU58" s="68"/>
      <c r="AV58" s="68"/>
      <c r="AW58" s="64"/>
      <c r="AX58" s="68"/>
      <c r="AY58" s="68"/>
      <c r="AZ58" s="111"/>
      <c r="BA58" s="111"/>
      <c r="BB58" s="111"/>
      <c r="BC58" s="111"/>
      <c r="BD58" s="111"/>
      <c r="BE58" s="111"/>
      <c r="BF58" s="68"/>
      <c r="BG58" s="68"/>
      <c r="BH58" s="68"/>
      <c r="BI58" s="174"/>
      <c r="BJ58" s="176"/>
      <c r="BK58" s="176"/>
      <c r="BL58" s="64"/>
      <c r="BM58" s="68"/>
      <c r="BN58" s="68"/>
      <c r="BO58" s="68"/>
      <c r="BP58" s="64"/>
      <c r="BQ58" s="68"/>
      <c r="BR58" s="68"/>
      <c r="BS58" s="68"/>
      <c r="BT58" s="64"/>
      <c r="BU58" s="68"/>
      <c r="BV58" s="68"/>
      <c r="BW58" s="68"/>
      <c r="BX58" s="111"/>
      <c r="BY58" s="111"/>
      <c r="BZ58" s="111"/>
      <c r="CA58" s="111"/>
      <c r="CB58" s="111"/>
      <c r="CC58" s="200"/>
      <c r="CD58" s="201" t="s">
        <v>6331</v>
      </c>
      <c r="CE58" s="198"/>
      <c r="CF58" s="198"/>
      <c r="CG58" s="198" t="s">
        <v>6331</v>
      </c>
      <c r="CH58" s="198"/>
      <c r="CI58" s="198"/>
      <c r="CJ58" s="198"/>
      <c r="CK58" s="198" t="s">
        <v>6331</v>
      </c>
      <c r="CL58" s="198"/>
      <c r="CM58" s="198"/>
      <c r="CN58" s="198"/>
      <c r="CO58" s="198" t="s">
        <v>6331</v>
      </c>
      <c r="CP58" s="198"/>
      <c r="CQ58" s="198"/>
      <c r="CR58" s="198"/>
      <c r="CS58" s="198" t="s">
        <v>6331</v>
      </c>
      <c r="CT58" s="198"/>
      <c r="CU58" s="198"/>
      <c r="CV58" s="220"/>
      <c r="CW58" s="288"/>
      <c r="CX58" s="260"/>
      <c r="CY58" s="260"/>
      <c r="CZ58" s="260"/>
      <c r="DA58" s="260"/>
      <c r="DB58" s="296"/>
      <c r="DC58" s="79" t="s">
        <v>6331</v>
      </c>
      <c r="DD58" s="68"/>
      <c r="DE58" s="68"/>
      <c r="DF58" s="64" t="s">
        <v>6331</v>
      </c>
      <c r="DG58" s="68"/>
      <c r="DH58" s="68"/>
      <c r="DI58" s="68"/>
      <c r="DJ58" s="64" t="s">
        <v>6331</v>
      </c>
      <c r="DK58" s="68"/>
      <c r="DL58" s="68"/>
      <c r="DM58" s="64" t="s">
        <v>6331</v>
      </c>
      <c r="DN58" s="68"/>
      <c r="DO58" s="68"/>
      <c r="DP58" s="64" t="s">
        <v>6331</v>
      </c>
      <c r="DQ58" s="68"/>
      <c r="DR58" s="68"/>
      <c r="DS58" s="111"/>
      <c r="DT58" s="111"/>
      <c r="DU58" s="111"/>
      <c r="DV58" s="111"/>
      <c r="DW58" s="111"/>
      <c r="DX58" s="111"/>
      <c r="DY58" s="64" t="s">
        <v>6331</v>
      </c>
      <c r="DZ58" s="67" t="s">
        <v>6963</v>
      </c>
      <c r="EA58" s="68"/>
      <c r="EB58" s="111"/>
      <c r="EC58" s="111"/>
      <c r="ED58" s="111"/>
      <c r="EE58" s="64" t="s">
        <v>6331</v>
      </c>
      <c r="EF58" s="68"/>
      <c r="EG58" s="68"/>
      <c r="EH58" s="64" t="s">
        <v>6331</v>
      </c>
      <c r="EI58" s="68"/>
      <c r="EJ58" s="68"/>
      <c r="EK58" s="64" t="s">
        <v>6331</v>
      </c>
      <c r="EL58" s="68"/>
      <c r="EM58" s="68"/>
      <c r="EN58" s="111"/>
      <c r="EO58" s="111"/>
      <c r="EP58" s="111"/>
      <c r="EQ58" s="111"/>
      <c r="ER58" s="111"/>
      <c r="ES58" s="111"/>
      <c r="ET58" s="64" t="s">
        <v>6331</v>
      </c>
      <c r="EU58" s="68"/>
      <c r="EV58" s="68"/>
      <c r="EW58" s="111"/>
      <c r="EX58" s="111"/>
      <c r="EY58" s="111"/>
      <c r="EZ58" s="64" t="s">
        <v>6331</v>
      </c>
      <c r="FA58" s="68"/>
      <c r="FB58" s="68"/>
      <c r="FC58" s="64" t="s">
        <v>6331</v>
      </c>
      <c r="FD58" s="68"/>
      <c r="FE58" s="68"/>
      <c r="FF58" s="64" t="s">
        <v>6331</v>
      </c>
      <c r="FG58" s="68"/>
      <c r="FH58" s="68"/>
      <c r="FI58" s="111"/>
      <c r="FJ58" s="111"/>
      <c r="FK58" s="111"/>
      <c r="FL58" s="111"/>
      <c r="FM58" s="111"/>
      <c r="FN58" s="111"/>
      <c r="FO58" s="64" t="s">
        <v>6331</v>
      </c>
      <c r="FP58" s="68"/>
      <c r="FQ58" s="68"/>
      <c r="FR58" s="64" t="s">
        <v>6331</v>
      </c>
      <c r="FS58" s="68"/>
      <c r="FT58" s="68"/>
      <c r="FU58" s="64" t="s">
        <v>6331</v>
      </c>
      <c r="FV58" s="68"/>
      <c r="FW58" s="68"/>
      <c r="FX58" s="64" t="s">
        <v>6331</v>
      </c>
      <c r="FY58" s="68"/>
      <c r="FZ58" s="68"/>
      <c r="GA58" s="64" t="s">
        <v>6331</v>
      </c>
      <c r="GB58" s="68"/>
      <c r="GC58" s="68"/>
      <c r="GD58" s="111"/>
      <c r="GE58" s="111"/>
      <c r="GF58" s="111"/>
      <c r="GG58" s="111"/>
      <c r="GH58" s="111"/>
      <c r="GI58" s="111"/>
      <c r="GJ58" s="64" t="s">
        <v>6331</v>
      </c>
      <c r="GK58" s="68"/>
      <c r="GL58" s="68"/>
      <c r="GM58" s="64" t="s">
        <v>6331</v>
      </c>
      <c r="GN58" s="68"/>
      <c r="GO58" s="68"/>
      <c r="GP58" s="64" t="s">
        <v>6331</v>
      </c>
      <c r="GQ58" s="68"/>
      <c r="GR58" s="68"/>
      <c r="GS58" s="64" t="s">
        <v>6331</v>
      </c>
      <c r="GT58" s="68" t="s">
        <v>6331</v>
      </c>
      <c r="GU58" s="68"/>
      <c r="GV58" s="64" t="s">
        <v>6331</v>
      </c>
      <c r="GW58" s="68"/>
      <c r="GX58" s="68"/>
      <c r="GY58" s="77"/>
      <c r="GZ58" s="77"/>
      <c r="HA58" s="77"/>
      <c r="HB58" s="111"/>
      <c r="HC58" s="111"/>
      <c r="HD58" s="111"/>
      <c r="HE58" s="64" t="s">
        <v>6331</v>
      </c>
      <c r="HF58" s="68"/>
      <c r="HG58" s="68"/>
      <c r="HH58" s="64" t="s">
        <v>6331</v>
      </c>
      <c r="HI58" s="68"/>
      <c r="HJ58" s="68"/>
      <c r="HK58" s="64" t="s">
        <v>6331</v>
      </c>
      <c r="HL58" s="68"/>
      <c r="HM58" s="68"/>
      <c r="HN58" s="64" t="s">
        <v>6331</v>
      </c>
      <c r="HO58" s="68"/>
      <c r="HP58" s="68"/>
      <c r="HQ58" s="64" t="s">
        <v>6331</v>
      </c>
      <c r="HR58" s="68"/>
      <c r="HS58" s="329"/>
      <c r="HT58" s="260"/>
      <c r="HU58" s="260"/>
      <c r="HV58" s="260"/>
      <c r="HW58" s="260"/>
      <c r="HX58" s="260"/>
      <c r="HY58" s="260"/>
      <c r="HZ58" s="260"/>
      <c r="IA58" s="260"/>
      <c r="IB58" s="274"/>
      <c r="IC58" s="201"/>
      <c r="ID58" s="198"/>
      <c r="IE58" s="268"/>
      <c r="IF58" s="201"/>
      <c r="IG58" s="198"/>
      <c r="IH58" s="268"/>
      <c r="II58" s="201"/>
      <c r="IJ58" s="199"/>
      <c r="IK58" s="268"/>
      <c r="IL58" s="201"/>
      <c r="IM58" s="198"/>
      <c r="IN58" s="268"/>
      <c r="IO58" s="288"/>
      <c r="IP58" s="260"/>
      <c r="IQ58" s="296"/>
      <c r="IR58" s="288"/>
      <c r="IS58" s="260"/>
      <c r="IT58" s="296"/>
      <c r="IU58" s="432"/>
      <c r="IV58" s="454"/>
      <c r="IW58" s="470"/>
      <c r="IX58" s="201"/>
      <c r="IY58" s="198"/>
      <c r="IZ58" s="268"/>
      <c r="JA58" s="201"/>
      <c r="JB58" s="198"/>
      <c r="JC58" s="268"/>
      <c r="JD58" s="201"/>
      <c r="JE58" s="198"/>
      <c r="JF58" s="268"/>
      <c r="JG58" s="201"/>
      <c r="JH58" s="68" t="s">
        <v>6331</v>
      </c>
      <c r="JI58" s="268"/>
      <c r="JJ58" s="288"/>
      <c r="JK58" s="260"/>
      <c r="JL58" s="296"/>
      <c r="JM58" s="288"/>
      <c r="JN58" s="260"/>
      <c r="JO58" s="296"/>
      <c r="JP58" s="64" t="s">
        <v>6331</v>
      </c>
      <c r="JQ58" s="388" t="s">
        <v>6331</v>
      </c>
      <c r="JR58" s="489"/>
      <c r="JS58" s="502" t="s">
        <v>6331</v>
      </c>
      <c r="JT58" s="491" t="s">
        <v>6331</v>
      </c>
      <c r="JU58" s="80"/>
      <c r="JV58" s="64" t="s">
        <v>6331</v>
      </c>
      <c r="JW58" s="68" t="s">
        <v>6331</v>
      </c>
      <c r="JX58" s="68"/>
      <c r="JY58" s="64" t="s">
        <v>6331</v>
      </c>
      <c r="JZ58" s="68"/>
      <c r="KA58" s="68"/>
      <c r="KB58" s="64" t="s">
        <v>6331</v>
      </c>
      <c r="KC58" s="68"/>
      <c r="KD58" s="68"/>
      <c r="KE58" s="111"/>
      <c r="KF58" s="111"/>
      <c r="KG58" s="111"/>
      <c r="KH58" s="111"/>
      <c r="KI58" s="111"/>
      <c r="KJ58" s="111"/>
      <c r="KK58" s="64" t="s">
        <v>6331</v>
      </c>
      <c r="KL58" s="68"/>
      <c r="KM58" s="503"/>
      <c r="KN58" s="64" t="s">
        <v>6331</v>
      </c>
      <c r="KO58" s="68" t="s">
        <v>6331</v>
      </c>
      <c r="KP58" s="68"/>
      <c r="KQ58" s="64" t="s">
        <v>6331</v>
      </c>
      <c r="KR58" s="68" t="s">
        <v>6331</v>
      </c>
      <c r="KS58" s="68"/>
      <c r="KT58" s="64" t="s">
        <v>6331</v>
      </c>
      <c r="KU58" s="68"/>
      <c r="KV58" s="68"/>
      <c r="KW58" s="64" t="s">
        <v>6331</v>
      </c>
      <c r="KX58" s="68"/>
      <c r="KY58" s="68"/>
      <c r="KZ58" s="111"/>
      <c r="LA58" s="111"/>
      <c r="LB58" s="111"/>
      <c r="LC58" s="111"/>
      <c r="LD58" s="111"/>
      <c r="LE58" s="111"/>
      <c r="LF58" s="64" t="s">
        <v>6331</v>
      </c>
      <c r="LG58" s="503"/>
      <c r="LH58" s="561"/>
      <c r="LI58" s="146" t="s">
        <v>6331</v>
      </c>
      <c r="LJ58" s="146"/>
      <c r="LK58" s="146"/>
      <c r="LL58" s="146" t="s">
        <v>6331</v>
      </c>
      <c r="LM58" s="146"/>
      <c r="LN58" s="146"/>
      <c r="LO58" s="146" t="s">
        <v>6331</v>
      </c>
      <c r="LP58" s="146"/>
      <c r="LQ58" s="146"/>
      <c r="LR58" s="146" t="s">
        <v>6331</v>
      </c>
      <c r="LS58" s="146"/>
      <c r="LT58" s="146"/>
      <c r="LU58" s="132"/>
      <c r="LV58" s="132"/>
      <c r="LW58" s="132"/>
      <c r="LX58" s="132"/>
      <c r="LY58" s="132"/>
      <c r="LZ58" s="132"/>
      <c r="MA58" s="198" t="s">
        <v>6331</v>
      </c>
      <c r="MB58" s="525"/>
      <c r="MC58" s="470"/>
      <c r="ME58" s="64" t="s">
        <v>6331</v>
      </c>
      <c r="MF58" s="68" t="s">
        <v>6331</v>
      </c>
      <c r="MG58" s="503"/>
      <c r="MH58" s="64" t="s">
        <v>6331</v>
      </c>
      <c r="MI58" s="68" t="s">
        <v>6331</v>
      </c>
      <c r="MJ58" s="68"/>
      <c r="MK58" s="64" t="s">
        <v>6331</v>
      </c>
      <c r="ML58" s="68" t="s">
        <v>6331</v>
      </c>
      <c r="MM58" s="68"/>
      <c r="MN58" s="64" t="s">
        <v>6331</v>
      </c>
      <c r="MO58" s="68"/>
      <c r="MP58" s="68"/>
      <c r="MQ58" s="64" t="s">
        <v>6331</v>
      </c>
      <c r="MR58" s="68" t="s">
        <v>6331</v>
      </c>
      <c r="MS58" s="68"/>
      <c r="MT58" s="111"/>
      <c r="MU58" s="111"/>
      <c r="MV58" s="111"/>
      <c r="MW58" s="109"/>
      <c r="MX58" s="111"/>
      <c r="MY58" s="200"/>
      <c r="MZ58" s="201" t="s">
        <v>6331</v>
      </c>
      <c r="NA58" s="454"/>
      <c r="NB58" s="603"/>
      <c r="NC58" s="201"/>
      <c r="ND58" s="198" t="s">
        <v>6331</v>
      </c>
      <c r="NE58" s="198"/>
      <c r="NF58" s="198"/>
      <c r="NG58" s="198"/>
      <c r="NH58" s="198"/>
      <c r="NI58" s="198"/>
      <c r="NJ58" s="198"/>
      <c r="NK58" s="198"/>
      <c r="NL58" s="198"/>
      <c r="NM58" s="198"/>
      <c r="NN58" s="198"/>
      <c r="NO58" s="260"/>
      <c r="NP58" s="260"/>
      <c r="NQ58" s="260"/>
      <c r="NR58" s="260"/>
      <c r="NS58" s="260"/>
      <c r="NT58" s="260"/>
      <c r="NU58" s="198"/>
      <c r="NV58" s="454"/>
      <c r="NW58" s="470"/>
    </row>
    <row r="59" spans="1:387" ht="14.4">
      <c r="A59" s="1682"/>
      <c r="B59" s="1643"/>
      <c r="C59" s="1659"/>
      <c r="D59" s="83"/>
      <c r="E59" s="70"/>
      <c r="F59" s="70"/>
      <c r="G59" s="83"/>
      <c r="H59" s="69"/>
      <c r="I59" s="70"/>
      <c r="J59" s="122"/>
      <c r="K59" s="110"/>
      <c r="L59" s="110"/>
      <c r="M59" s="110"/>
      <c r="N59" s="110"/>
      <c r="O59" s="110"/>
      <c r="P59" s="83"/>
      <c r="Q59" s="70"/>
      <c r="R59" s="70"/>
      <c r="S59" s="83"/>
      <c r="T59" s="70"/>
      <c r="U59" s="70"/>
      <c r="V59" s="83"/>
      <c r="W59" s="70"/>
      <c r="X59" s="70"/>
      <c r="Y59" s="83"/>
      <c r="Z59" s="70"/>
      <c r="AA59" s="70"/>
      <c r="AB59" s="83"/>
      <c r="AC59" s="70"/>
      <c r="AD59" s="70"/>
      <c r="AE59" s="110"/>
      <c r="AF59" s="110"/>
      <c r="AG59" s="110"/>
      <c r="AH59" s="110"/>
      <c r="AI59" s="110"/>
      <c r="AJ59" s="110"/>
      <c r="AK59" s="70"/>
      <c r="AL59" s="70"/>
      <c r="AM59" s="70"/>
      <c r="AN59" s="83"/>
      <c r="AO59" s="154"/>
      <c r="AP59" s="70"/>
      <c r="AQ59" s="83"/>
      <c r="AR59" s="70"/>
      <c r="AS59" s="70"/>
      <c r="AT59" s="83"/>
      <c r="AU59" s="70"/>
      <c r="AV59" s="70"/>
      <c r="AW59" s="83"/>
      <c r="AX59" s="70"/>
      <c r="AY59" s="70"/>
      <c r="AZ59" s="110"/>
      <c r="BA59" s="110"/>
      <c r="BB59" s="110"/>
      <c r="BC59" s="110"/>
      <c r="BD59" s="110"/>
      <c r="BE59" s="110"/>
      <c r="BF59" s="70"/>
      <c r="BG59" s="70"/>
      <c r="BH59" s="70"/>
      <c r="BI59" s="184"/>
      <c r="BJ59" s="177"/>
      <c r="BK59" s="177"/>
      <c r="BL59" s="83"/>
      <c r="BM59" s="70"/>
      <c r="BN59" s="70"/>
      <c r="BO59" s="70"/>
      <c r="BP59" s="83"/>
      <c r="BQ59" s="70"/>
      <c r="BR59" s="70"/>
      <c r="BS59" s="70"/>
      <c r="BT59" s="83"/>
      <c r="BU59" s="70"/>
      <c r="BV59" s="70"/>
      <c r="BW59" s="70"/>
      <c r="BX59" s="110"/>
      <c r="BY59" s="110"/>
      <c r="BZ59" s="110"/>
      <c r="CA59" s="110"/>
      <c r="CB59" s="110"/>
      <c r="CC59" s="128"/>
      <c r="CD59" s="236"/>
      <c r="CE59" s="237"/>
      <c r="CF59" s="237"/>
      <c r="CG59" s="237"/>
      <c r="CH59" s="237"/>
      <c r="CI59" s="237"/>
      <c r="CJ59" s="237"/>
      <c r="CK59" s="237"/>
      <c r="CL59" s="237"/>
      <c r="CM59" s="237"/>
      <c r="CN59" s="237"/>
      <c r="CO59" s="237"/>
      <c r="CP59" s="237"/>
      <c r="CQ59" s="237"/>
      <c r="CR59" s="237"/>
      <c r="CS59" s="237"/>
      <c r="CT59" s="237"/>
      <c r="CU59" s="237"/>
      <c r="CV59" s="256"/>
      <c r="CW59" s="290"/>
      <c r="CX59" s="286"/>
      <c r="CY59" s="286"/>
      <c r="CZ59" s="286"/>
      <c r="DA59" s="286"/>
      <c r="DB59" s="311"/>
      <c r="DC59" s="277"/>
      <c r="DD59" s="70"/>
      <c r="DE59" s="70"/>
      <c r="DF59" s="83"/>
      <c r="DG59" s="70"/>
      <c r="DH59" s="70"/>
      <c r="DI59" s="70"/>
      <c r="DJ59" s="83"/>
      <c r="DK59" s="70"/>
      <c r="DL59" s="70"/>
      <c r="DM59" s="83"/>
      <c r="DN59" s="70"/>
      <c r="DO59" s="70"/>
      <c r="DP59" s="83"/>
      <c r="DQ59" s="70"/>
      <c r="DR59" s="70"/>
      <c r="DS59" s="110"/>
      <c r="DT59" s="110"/>
      <c r="DU59" s="110"/>
      <c r="DV59" s="110"/>
      <c r="DW59" s="110"/>
      <c r="DX59" s="110"/>
      <c r="DY59" s="83"/>
      <c r="DZ59" s="66" t="s">
        <v>6329</v>
      </c>
      <c r="EA59" s="70"/>
      <c r="EB59" s="110"/>
      <c r="EC59" s="110"/>
      <c r="ED59" s="110"/>
      <c r="EE59" s="83"/>
      <c r="EF59" s="70"/>
      <c r="EG59" s="70"/>
      <c r="EH59" s="229"/>
      <c r="EI59" s="229"/>
      <c r="EJ59" s="229"/>
      <c r="EK59" s="229"/>
      <c r="EL59" s="229"/>
      <c r="EM59" s="229"/>
      <c r="EN59" s="338"/>
      <c r="EO59" s="338"/>
      <c r="EP59" s="338"/>
      <c r="EQ59" s="338"/>
      <c r="ER59" s="338"/>
      <c r="ES59" s="338"/>
      <c r="ET59" s="229"/>
      <c r="EU59" s="229"/>
      <c r="EV59" s="229"/>
      <c r="EW59" s="338"/>
      <c r="EX59" s="338"/>
      <c r="EY59" s="338"/>
      <c r="EZ59" s="229"/>
      <c r="FA59" s="229"/>
      <c r="FB59" s="229"/>
      <c r="FC59" s="229"/>
      <c r="FD59" s="229"/>
      <c r="FE59" s="229"/>
      <c r="FF59" s="229"/>
      <c r="FG59" s="229"/>
      <c r="FH59" s="229"/>
      <c r="FI59" s="338"/>
      <c r="FJ59" s="338"/>
      <c r="FK59" s="338"/>
      <c r="FL59" s="338"/>
      <c r="FM59" s="338"/>
      <c r="FN59" s="338"/>
      <c r="FO59" s="229"/>
      <c r="FP59" s="229"/>
      <c r="FQ59" s="229"/>
      <c r="FR59" s="229"/>
      <c r="FS59" s="229"/>
      <c r="FT59" s="229"/>
      <c r="FU59" s="229"/>
      <c r="FV59" s="229"/>
      <c r="FW59" s="229"/>
      <c r="FX59" s="229"/>
      <c r="FY59" s="229"/>
      <c r="FZ59" s="229"/>
      <c r="GA59" s="229"/>
      <c r="GB59" s="229"/>
      <c r="GC59" s="229"/>
      <c r="GD59" s="338"/>
      <c r="GE59" s="338"/>
      <c r="GF59" s="338"/>
      <c r="GG59" s="338"/>
      <c r="GH59" s="338"/>
      <c r="GI59" s="338"/>
      <c r="GJ59" s="229"/>
      <c r="GK59" s="229"/>
      <c r="GL59" s="229"/>
      <c r="GM59" s="229"/>
      <c r="GN59" s="229"/>
      <c r="GO59" s="229"/>
      <c r="GP59" s="229"/>
      <c r="GQ59" s="229"/>
      <c r="GR59" s="229"/>
      <c r="GS59" s="229"/>
      <c r="GT59" s="229"/>
      <c r="GU59" s="229"/>
      <c r="GV59" s="229"/>
      <c r="GW59" s="229"/>
      <c r="GX59" s="229"/>
      <c r="GY59" s="367"/>
      <c r="GZ59" s="367"/>
      <c r="HA59" s="367"/>
      <c r="HB59" s="338"/>
      <c r="HC59" s="338"/>
      <c r="HD59" s="338"/>
      <c r="HE59" s="229"/>
      <c r="HF59" s="229"/>
      <c r="HG59" s="229"/>
      <c r="HH59" s="229"/>
      <c r="HI59" s="229"/>
      <c r="HJ59" s="229"/>
      <c r="HK59" s="229"/>
      <c r="HL59" s="229"/>
      <c r="HM59" s="229"/>
      <c r="HN59" s="229"/>
      <c r="HO59" s="229"/>
      <c r="HP59" s="229"/>
      <c r="HQ59" s="229"/>
      <c r="HR59" s="229"/>
      <c r="HS59" s="252"/>
      <c r="HT59" s="260"/>
      <c r="HU59" s="260"/>
      <c r="HV59" s="260"/>
      <c r="HW59" s="260"/>
      <c r="HX59" s="260"/>
      <c r="HY59" s="260"/>
      <c r="HZ59" s="260"/>
      <c r="IA59" s="260"/>
      <c r="IB59" s="274"/>
      <c r="IC59" s="201"/>
      <c r="ID59" s="198"/>
      <c r="IE59" s="268"/>
      <c r="IF59" s="201"/>
      <c r="IG59" s="198"/>
      <c r="IH59" s="268"/>
      <c r="II59" s="201"/>
      <c r="IJ59" s="199"/>
      <c r="IK59" s="268"/>
      <c r="IL59" s="201"/>
      <c r="IM59" s="198"/>
      <c r="IN59" s="268"/>
      <c r="IO59" s="288"/>
      <c r="IP59" s="260"/>
      <c r="IQ59" s="296"/>
      <c r="IR59" s="288"/>
      <c r="IS59" s="260"/>
      <c r="IT59" s="296"/>
      <c r="IU59" s="432"/>
      <c r="IV59" s="454"/>
      <c r="IW59" s="470"/>
      <c r="IX59" s="201"/>
      <c r="IY59" s="198"/>
      <c r="IZ59" s="268"/>
      <c r="JA59" s="201"/>
      <c r="JB59" s="198"/>
      <c r="JC59" s="268"/>
      <c r="JD59" s="201"/>
      <c r="JE59" s="198"/>
      <c r="JF59" s="268"/>
      <c r="JG59" s="201"/>
      <c r="JH59" s="65"/>
      <c r="JI59" s="268"/>
      <c r="JJ59" s="288"/>
      <c r="JK59" s="260"/>
      <c r="JL59" s="296"/>
      <c r="JM59" s="288"/>
      <c r="JN59" s="260"/>
      <c r="JO59" s="296"/>
      <c r="JP59" s="523"/>
      <c r="JQ59" s="388"/>
      <c r="JR59" s="489"/>
      <c r="JS59" s="524"/>
      <c r="JT59" s="491"/>
      <c r="JU59" s="297"/>
      <c r="JV59" s="65"/>
      <c r="JW59" s="65"/>
      <c r="JX59" s="65"/>
      <c r="JY59" s="65"/>
      <c r="JZ59" s="65"/>
      <c r="KA59" s="65"/>
      <c r="KB59" s="65"/>
      <c r="KC59" s="65"/>
      <c r="KD59" s="65"/>
      <c r="KE59" s="112"/>
      <c r="KF59" s="112"/>
      <c r="KG59" s="112"/>
      <c r="KH59" s="112"/>
      <c r="KI59" s="112"/>
      <c r="KJ59" s="112"/>
      <c r="KK59" s="64"/>
      <c r="KL59" s="68"/>
      <c r="KM59" s="503"/>
      <c r="KN59" s="64"/>
      <c r="KO59" s="68"/>
      <c r="KP59" s="68"/>
      <c r="KQ59" s="64"/>
      <c r="KR59" s="68"/>
      <c r="KS59" s="68"/>
      <c r="KT59" s="64"/>
      <c r="KU59" s="68"/>
      <c r="KV59" s="68"/>
      <c r="KW59" s="64"/>
      <c r="KX59" s="68"/>
      <c r="KY59" s="68"/>
      <c r="KZ59" s="111"/>
      <c r="LA59" s="111"/>
      <c r="LB59" s="111"/>
      <c r="LC59" s="111"/>
      <c r="LD59" s="111"/>
      <c r="LE59" s="111"/>
      <c r="LF59" s="64"/>
      <c r="LG59" s="503"/>
      <c r="LH59" s="561"/>
      <c r="LI59" s="146"/>
      <c r="LJ59" s="146"/>
      <c r="LK59" s="146"/>
      <c r="LL59" s="146"/>
      <c r="LM59" s="146"/>
      <c r="LN59" s="146"/>
      <c r="LO59" s="146"/>
      <c r="LP59" s="146"/>
      <c r="LQ59" s="146"/>
      <c r="LR59" s="146"/>
      <c r="LS59" s="146"/>
      <c r="LT59" s="146"/>
      <c r="LU59" s="132"/>
      <c r="LV59" s="132"/>
      <c r="LW59" s="132"/>
      <c r="LX59" s="132"/>
      <c r="LY59" s="132"/>
      <c r="LZ59" s="132"/>
      <c r="MA59" s="198"/>
      <c r="MB59" s="525"/>
      <c r="MC59" s="470"/>
      <c r="ME59" s="503"/>
      <c r="MF59" s="68"/>
      <c r="MG59" s="503"/>
      <c r="MH59" s="503"/>
      <c r="MI59" s="68"/>
      <c r="MJ59" s="503"/>
      <c r="MK59" s="503"/>
      <c r="ML59" s="503"/>
      <c r="MM59" s="503"/>
      <c r="MN59" s="503"/>
      <c r="MO59" s="68"/>
      <c r="MP59" s="503"/>
      <c r="MQ59" s="503"/>
      <c r="MR59" s="68"/>
      <c r="MS59" s="503"/>
      <c r="MT59" s="503"/>
      <c r="MU59" s="503"/>
      <c r="MV59" s="503"/>
      <c r="MW59" s="503"/>
      <c r="MX59" s="503"/>
      <c r="MY59" s="503"/>
      <c r="MZ59" s="503"/>
      <c r="NA59" s="503"/>
      <c r="NB59" s="561"/>
      <c r="NC59" s="201" t="s">
        <v>6331</v>
      </c>
      <c r="ND59" s="198"/>
      <c r="NE59" s="198"/>
      <c r="NF59" s="198" t="s">
        <v>6331</v>
      </c>
      <c r="NG59" s="198"/>
      <c r="NH59" s="198"/>
      <c r="NI59" s="198" t="s">
        <v>6331</v>
      </c>
      <c r="NJ59" s="198"/>
      <c r="NK59" s="198"/>
      <c r="NL59" s="198" t="s">
        <v>6331</v>
      </c>
      <c r="NM59" s="198" t="s">
        <v>6331</v>
      </c>
      <c r="NN59" s="198"/>
      <c r="NO59" s="260"/>
      <c r="NP59" s="260"/>
      <c r="NQ59" s="260"/>
      <c r="NR59" s="260"/>
      <c r="NS59" s="260"/>
      <c r="NT59" s="260"/>
      <c r="NU59" s="198" t="s">
        <v>6331</v>
      </c>
      <c r="NV59" s="454"/>
      <c r="NW59" s="470"/>
    </row>
    <row r="60" spans="1:387" ht="14.4">
      <c r="A60" s="1682"/>
      <c r="B60" s="1643"/>
      <c r="C60" s="1659"/>
      <c r="D60" s="83"/>
      <c r="E60" s="70"/>
      <c r="F60" s="70"/>
      <c r="G60" s="83"/>
      <c r="H60" s="69"/>
      <c r="I60" s="70"/>
      <c r="J60" s="122"/>
      <c r="K60" s="110"/>
      <c r="L60" s="110"/>
      <c r="M60" s="110"/>
      <c r="N60" s="110"/>
      <c r="O60" s="110"/>
      <c r="P60" s="83"/>
      <c r="Q60" s="70"/>
      <c r="R60" s="70"/>
      <c r="S60" s="83"/>
      <c r="T60" s="70"/>
      <c r="U60" s="70"/>
      <c r="V60" s="83"/>
      <c r="W60" s="70"/>
      <c r="X60" s="70"/>
      <c r="Y60" s="83"/>
      <c r="Z60" s="70"/>
      <c r="AA60" s="70"/>
      <c r="AB60" s="83"/>
      <c r="AC60" s="70"/>
      <c r="AD60" s="70"/>
      <c r="AE60" s="110"/>
      <c r="AF60" s="110"/>
      <c r="AG60" s="110"/>
      <c r="AH60" s="110"/>
      <c r="AI60" s="110"/>
      <c r="AJ60" s="110"/>
      <c r="AK60" s="70"/>
      <c r="AL60" s="70"/>
      <c r="AM60" s="70"/>
      <c r="AN60" s="83"/>
      <c r="AO60" s="154"/>
      <c r="AP60" s="70"/>
      <c r="AQ60" s="83"/>
      <c r="AR60" s="70"/>
      <c r="AS60" s="70"/>
      <c r="AT60" s="83"/>
      <c r="AU60" s="70"/>
      <c r="AV60" s="70"/>
      <c r="AW60" s="83"/>
      <c r="AX60" s="70"/>
      <c r="AY60" s="70"/>
      <c r="AZ60" s="110"/>
      <c r="BA60" s="110"/>
      <c r="BB60" s="110"/>
      <c r="BC60" s="110"/>
      <c r="BD60" s="110"/>
      <c r="BE60" s="110"/>
      <c r="BF60" s="70"/>
      <c r="BG60" s="70"/>
      <c r="BH60" s="70"/>
      <c r="BI60" s="184"/>
      <c r="BJ60" s="177"/>
      <c r="BK60" s="177"/>
      <c r="BL60" s="83"/>
      <c r="BM60" s="70"/>
      <c r="BN60" s="70"/>
      <c r="BO60" s="70"/>
      <c r="BP60" s="83"/>
      <c r="BQ60" s="70"/>
      <c r="BR60" s="70"/>
      <c r="BS60" s="70"/>
      <c r="BT60" s="83"/>
      <c r="BU60" s="70"/>
      <c r="BV60" s="70"/>
      <c r="BW60" s="70"/>
      <c r="BX60" s="110"/>
      <c r="BY60" s="110"/>
      <c r="BZ60" s="110"/>
      <c r="CA60" s="110"/>
      <c r="CB60" s="110"/>
      <c r="CC60" s="128"/>
      <c r="CD60" s="236"/>
      <c r="CE60" s="237"/>
      <c r="CF60" s="237"/>
      <c r="CG60" s="237"/>
      <c r="CH60" s="237"/>
      <c r="CI60" s="237"/>
      <c r="CJ60" s="237"/>
      <c r="CK60" s="237"/>
      <c r="CL60" s="237"/>
      <c r="CM60" s="237"/>
      <c r="CN60" s="237"/>
      <c r="CO60" s="237"/>
      <c r="CP60" s="237"/>
      <c r="CQ60" s="237"/>
      <c r="CR60" s="237"/>
      <c r="CS60" s="237"/>
      <c r="CT60" s="237"/>
      <c r="CU60" s="237"/>
      <c r="CV60" s="256"/>
      <c r="CW60" s="290"/>
      <c r="CX60" s="286"/>
      <c r="CY60" s="286"/>
      <c r="CZ60" s="286"/>
      <c r="DA60" s="286"/>
      <c r="DB60" s="311"/>
      <c r="DC60" s="277"/>
      <c r="DD60" s="70"/>
      <c r="DE60" s="70"/>
      <c r="DF60" s="83"/>
      <c r="DG60" s="70"/>
      <c r="DH60" s="70"/>
      <c r="DI60" s="70"/>
      <c r="DJ60" s="83"/>
      <c r="DK60" s="70"/>
      <c r="DL60" s="70"/>
      <c r="DM60" s="83"/>
      <c r="DN60" s="70"/>
      <c r="DO60" s="70"/>
      <c r="DP60" s="83"/>
      <c r="DQ60" s="70"/>
      <c r="DR60" s="70"/>
      <c r="DS60" s="110"/>
      <c r="DT60" s="110"/>
      <c r="DU60" s="110"/>
      <c r="DV60" s="110"/>
      <c r="DW60" s="110"/>
      <c r="DX60" s="110"/>
      <c r="DY60" s="83"/>
      <c r="DZ60" s="66" t="s">
        <v>6964</v>
      </c>
      <c r="EA60" s="70"/>
      <c r="EB60" s="110"/>
      <c r="EC60" s="110"/>
      <c r="ED60" s="110"/>
      <c r="EE60" s="83"/>
      <c r="EF60" s="70"/>
      <c r="EG60" s="70"/>
      <c r="EH60" s="230"/>
      <c r="EI60" s="230"/>
      <c r="EJ60" s="230"/>
      <c r="EK60" s="230"/>
      <c r="EL60" s="230"/>
      <c r="EM60" s="230"/>
      <c r="EN60" s="339"/>
      <c r="EO60" s="339"/>
      <c r="EP60" s="339"/>
      <c r="EQ60" s="339"/>
      <c r="ER60" s="339"/>
      <c r="ES60" s="339"/>
      <c r="ET60" s="230"/>
      <c r="EU60" s="230"/>
      <c r="EV60" s="230"/>
      <c r="EW60" s="339"/>
      <c r="EX60" s="339"/>
      <c r="EY60" s="339"/>
      <c r="EZ60" s="230"/>
      <c r="FA60" s="230"/>
      <c r="FB60" s="230"/>
      <c r="FC60" s="230"/>
      <c r="FD60" s="230"/>
      <c r="FE60" s="230"/>
      <c r="FF60" s="230"/>
      <c r="FG60" s="230"/>
      <c r="FH60" s="230"/>
      <c r="FI60" s="339"/>
      <c r="FJ60" s="339"/>
      <c r="FK60" s="339"/>
      <c r="FL60" s="339"/>
      <c r="FM60" s="339"/>
      <c r="FN60" s="339"/>
      <c r="FO60" s="230"/>
      <c r="FP60" s="230"/>
      <c r="FQ60" s="230"/>
      <c r="FR60" s="230"/>
      <c r="FS60" s="230"/>
      <c r="FT60" s="230"/>
      <c r="FU60" s="230"/>
      <c r="FV60" s="230"/>
      <c r="FW60" s="230"/>
      <c r="FX60" s="230"/>
      <c r="FY60" s="230"/>
      <c r="FZ60" s="230"/>
      <c r="GA60" s="230"/>
      <c r="GB60" s="230"/>
      <c r="GC60" s="230"/>
      <c r="GD60" s="339"/>
      <c r="GE60" s="339"/>
      <c r="GF60" s="339"/>
      <c r="GG60" s="339"/>
      <c r="GH60" s="339"/>
      <c r="GI60" s="339"/>
      <c r="GJ60" s="230"/>
      <c r="GK60" s="230"/>
      <c r="GL60" s="230"/>
      <c r="GM60" s="230"/>
      <c r="GN60" s="230"/>
      <c r="GO60" s="230"/>
      <c r="GP60" s="230"/>
      <c r="GQ60" s="230"/>
      <c r="GR60" s="230"/>
      <c r="GS60" s="230"/>
      <c r="GT60" s="230"/>
      <c r="GU60" s="230"/>
      <c r="GV60" s="230"/>
      <c r="GW60" s="230"/>
      <c r="GX60" s="230"/>
      <c r="GY60" s="377"/>
      <c r="GZ60" s="377"/>
      <c r="HA60" s="377"/>
      <c r="HB60" s="339"/>
      <c r="HC60" s="339"/>
      <c r="HD60" s="339"/>
      <c r="HE60" s="230"/>
      <c r="HF60" s="230"/>
      <c r="HG60" s="230"/>
      <c r="HH60" s="230"/>
      <c r="HI60" s="230"/>
      <c r="HJ60" s="230"/>
      <c r="HK60" s="230"/>
      <c r="HL60" s="230"/>
      <c r="HM60" s="230"/>
      <c r="HN60" s="230"/>
      <c r="HO60" s="230"/>
      <c r="HP60" s="230"/>
      <c r="HQ60" s="230"/>
      <c r="HR60" s="230"/>
      <c r="HS60" s="253"/>
      <c r="HT60" s="260"/>
      <c r="HU60" s="260"/>
      <c r="HV60" s="260"/>
      <c r="HW60" s="260"/>
      <c r="HX60" s="260"/>
      <c r="HY60" s="260"/>
      <c r="HZ60" s="260"/>
      <c r="IA60" s="260"/>
      <c r="IB60" s="274"/>
      <c r="IC60" s="201"/>
      <c r="ID60" s="198"/>
      <c r="IE60" s="268"/>
      <c r="IF60" s="201"/>
      <c r="IG60" s="198"/>
      <c r="IH60" s="268"/>
      <c r="II60" s="201"/>
      <c r="IJ60" s="199"/>
      <c r="IK60" s="268"/>
      <c r="IL60" s="201"/>
      <c r="IM60" s="198"/>
      <c r="IN60" s="268"/>
      <c r="IO60" s="288"/>
      <c r="IP60" s="260"/>
      <c r="IQ60" s="296"/>
      <c r="IR60" s="288"/>
      <c r="IS60" s="260"/>
      <c r="IT60" s="296"/>
      <c r="IU60" s="432"/>
      <c r="IV60" s="454"/>
      <c r="IW60" s="470"/>
      <c r="IX60" s="201"/>
      <c r="IY60" s="198"/>
      <c r="IZ60" s="268"/>
      <c r="JA60" s="201"/>
      <c r="JB60" s="198"/>
      <c r="JC60" s="268"/>
      <c r="JD60" s="201"/>
      <c r="JE60" s="198"/>
      <c r="JF60" s="268"/>
      <c r="JG60" s="201"/>
      <c r="JH60" s="64"/>
      <c r="JI60" s="268"/>
      <c r="JJ60" s="288"/>
      <c r="JK60" s="260"/>
      <c r="JL60" s="296"/>
      <c r="JM60" s="288"/>
      <c r="JN60" s="260"/>
      <c r="JO60" s="296"/>
      <c r="JP60" s="525"/>
      <c r="JQ60" s="388"/>
      <c r="JR60" s="489"/>
      <c r="JS60" s="502"/>
      <c r="JT60" s="491"/>
      <c r="JU60" s="79"/>
      <c r="JV60" s="64"/>
      <c r="JW60" s="64"/>
      <c r="JX60" s="64"/>
      <c r="JY60" s="64"/>
      <c r="JZ60" s="64"/>
      <c r="KA60" s="64"/>
      <c r="KB60" s="64"/>
      <c r="KC60" s="64"/>
      <c r="KD60" s="64"/>
      <c r="KE60" s="109"/>
      <c r="KF60" s="109"/>
      <c r="KG60" s="109"/>
      <c r="KH60" s="109"/>
      <c r="KI60" s="109"/>
      <c r="KJ60" s="109"/>
      <c r="KK60" s="64"/>
      <c r="KL60" s="68"/>
      <c r="KM60" s="503"/>
      <c r="KN60" s="64"/>
      <c r="KO60" s="68"/>
      <c r="KP60" s="68"/>
      <c r="KQ60" s="64"/>
      <c r="KR60" s="68"/>
      <c r="KS60" s="68"/>
      <c r="KT60" s="64"/>
      <c r="KU60" s="68"/>
      <c r="KV60" s="68"/>
      <c r="KW60" s="64"/>
      <c r="KX60" s="68"/>
      <c r="KY60" s="68"/>
      <c r="KZ60" s="111"/>
      <c r="LA60" s="111"/>
      <c r="LB60" s="111"/>
      <c r="LC60" s="111"/>
      <c r="LD60" s="111"/>
      <c r="LE60" s="111"/>
      <c r="LF60" s="64"/>
      <c r="LG60" s="503"/>
      <c r="LH60" s="561"/>
      <c r="LI60" s="146"/>
      <c r="LJ60" s="146"/>
      <c r="LK60" s="146"/>
      <c r="LL60" s="146"/>
      <c r="LM60" s="146"/>
      <c r="LN60" s="146"/>
      <c r="LO60" s="146"/>
      <c r="LP60" s="146"/>
      <c r="LQ60" s="146"/>
      <c r="LR60" s="146"/>
      <c r="LS60" s="146"/>
      <c r="LT60" s="146"/>
      <c r="LU60" s="132"/>
      <c r="LV60" s="132"/>
      <c r="LW60" s="132"/>
      <c r="LX60" s="132"/>
      <c r="LY60" s="132"/>
      <c r="LZ60" s="132"/>
      <c r="MA60" s="198"/>
      <c r="MB60" s="525"/>
      <c r="MC60" s="470"/>
      <c r="ME60" s="503"/>
      <c r="MF60" s="68"/>
      <c r="MG60" s="503"/>
      <c r="MH60" s="503"/>
      <c r="MI60" s="68"/>
      <c r="MJ60" s="503"/>
      <c r="MK60" s="503"/>
      <c r="ML60" s="503"/>
      <c r="MM60" s="503"/>
      <c r="MN60" s="503"/>
      <c r="MO60" s="68"/>
      <c r="MP60" s="503"/>
      <c r="MQ60" s="503"/>
      <c r="MR60" s="68"/>
      <c r="MS60" s="503"/>
      <c r="MT60" s="503"/>
      <c r="MU60" s="503"/>
      <c r="MV60" s="503"/>
      <c r="MW60" s="503"/>
      <c r="MX60" s="503"/>
      <c r="MY60" s="503"/>
      <c r="MZ60" s="503"/>
      <c r="NA60" s="503"/>
      <c r="NB60" s="561"/>
      <c r="NC60" s="201"/>
      <c r="ND60" s="198"/>
      <c r="NE60" s="198"/>
      <c r="NF60" s="198"/>
      <c r="NG60" s="198"/>
      <c r="NH60" s="198"/>
      <c r="NI60" s="198"/>
      <c r="NJ60" s="198"/>
      <c r="NK60" s="198"/>
      <c r="NL60" s="198"/>
      <c r="NM60" s="198"/>
      <c r="NN60" s="198"/>
      <c r="NO60" s="260"/>
      <c r="NP60" s="260"/>
      <c r="NQ60" s="260"/>
      <c r="NR60" s="260"/>
      <c r="NS60" s="260"/>
      <c r="NT60" s="260"/>
      <c r="NU60" s="454"/>
      <c r="NV60" s="454"/>
      <c r="NW60" s="470"/>
    </row>
    <row r="61" spans="1:387" ht="14.4" hidden="1">
      <c r="A61" s="1683"/>
      <c r="B61" s="1644"/>
      <c r="C61" s="1657"/>
      <c r="D61" s="73"/>
      <c r="E61" s="73"/>
      <c r="F61" s="73"/>
      <c r="G61" s="103"/>
      <c r="H61" s="72"/>
      <c r="I61" s="73"/>
      <c r="J61" s="138"/>
      <c r="K61" s="114"/>
      <c r="L61" s="114"/>
      <c r="M61" s="114"/>
      <c r="N61" s="114"/>
      <c r="O61" s="114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14"/>
      <c r="AF61" s="114"/>
      <c r="AG61" s="114"/>
      <c r="AH61" s="114"/>
      <c r="AI61" s="114"/>
      <c r="AJ61" s="114"/>
      <c r="AK61" s="73"/>
      <c r="AL61" s="73"/>
      <c r="AM61" s="73"/>
      <c r="AN61" s="73"/>
      <c r="AO61" s="155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114"/>
      <c r="BA61" s="114"/>
      <c r="BB61" s="114"/>
      <c r="BC61" s="114"/>
      <c r="BD61" s="114"/>
      <c r="BE61" s="114"/>
      <c r="BF61" s="73"/>
      <c r="BG61" s="73"/>
      <c r="BH61" s="73"/>
      <c r="BI61" s="180"/>
      <c r="BJ61" s="180"/>
      <c r="BK61" s="180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114"/>
      <c r="BY61" s="114"/>
      <c r="BZ61" s="114"/>
      <c r="CA61" s="114"/>
      <c r="CB61" s="114"/>
      <c r="CC61" s="130"/>
      <c r="CD61" s="204"/>
      <c r="CE61" s="205"/>
      <c r="CF61" s="205"/>
      <c r="CG61" s="205"/>
      <c r="CH61" s="205"/>
      <c r="CI61" s="205"/>
      <c r="CJ61" s="205"/>
      <c r="CK61" s="205"/>
      <c r="CL61" s="205"/>
      <c r="CM61" s="205"/>
      <c r="CN61" s="205"/>
      <c r="CO61" s="205"/>
      <c r="CP61" s="205"/>
      <c r="CQ61" s="205"/>
      <c r="CR61" s="205"/>
      <c r="CS61" s="205"/>
      <c r="CT61" s="205"/>
      <c r="CU61" s="205"/>
      <c r="CV61" s="261"/>
      <c r="CW61" s="289"/>
      <c r="CX61" s="271"/>
      <c r="CY61" s="271"/>
      <c r="CZ61" s="271"/>
      <c r="DA61" s="271"/>
      <c r="DB61" s="298"/>
      <c r="DC61" s="72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114"/>
      <c r="DT61" s="114"/>
      <c r="DU61" s="114"/>
      <c r="DV61" s="114"/>
      <c r="DW61" s="114"/>
      <c r="DX61" s="114"/>
      <c r="DY61" s="73"/>
      <c r="DZ61" s="73"/>
      <c r="EA61" s="73"/>
      <c r="EB61" s="114"/>
      <c r="EC61" s="114"/>
      <c r="ED61" s="114"/>
      <c r="EE61" s="73"/>
      <c r="EF61" s="73"/>
      <c r="EG61" s="73"/>
      <c r="EH61" s="73"/>
      <c r="EI61" s="73"/>
      <c r="EJ61" s="73"/>
      <c r="EK61" s="73"/>
      <c r="EL61" s="73"/>
      <c r="EM61" s="73"/>
      <c r="EN61" s="114"/>
      <c r="EO61" s="114"/>
      <c r="EP61" s="114"/>
      <c r="EQ61" s="114"/>
      <c r="ER61" s="114"/>
      <c r="ES61" s="114"/>
      <c r="ET61" s="73"/>
      <c r="EU61" s="73"/>
      <c r="EV61" s="73"/>
      <c r="EW61" s="114"/>
      <c r="EX61" s="114"/>
      <c r="EY61" s="114"/>
      <c r="EZ61" s="73"/>
      <c r="FA61" s="73"/>
      <c r="FB61" s="73"/>
      <c r="FC61" s="73"/>
      <c r="FD61" s="73"/>
      <c r="FE61" s="73"/>
      <c r="FF61" s="73"/>
      <c r="FG61" s="73"/>
      <c r="FH61" s="73"/>
      <c r="FI61" s="114"/>
      <c r="FJ61" s="114"/>
      <c r="FK61" s="114"/>
      <c r="FL61" s="114"/>
      <c r="FM61" s="114"/>
      <c r="FN61" s="114"/>
      <c r="FO61" s="73"/>
      <c r="FP61" s="73"/>
      <c r="FQ61" s="73"/>
      <c r="FR61" s="73"/>
      <c r="FS61" s="73"/>
      <c r="FT61" s="73"/>
      <c r="FU61" s="73"/>
      <c r="FV61" s="73"/>
      <c r="FW61" s="73"/>
      <c r="FX61" s="73"/>
      <c r="FY61" s="73"/>
      <c r="FZ61" s="73"/>
      <c r="GA61" s="73"/>
      <c r="GB61" s="73"/>
      <c r="GC61" s="73"/>
      <c r="GD61" s="114"/>
      <c r="GE61" s="114"/>
      <c r="GF61" s="114"/>
      <c r="GG61" s="114"/>
      <c r="GH61" s="114"/>
      <c r="GI61" s="114"/>
      <c r="GJ61" s="73"/>
      <c r="GK61" s="73"/>
      <c r="GL61" s="73"/>
      <c r="GM61" s="73"/>
      <c r="GN61" s="73"/>
      <c r="GO61" s="73"/>
      <c r="GP61" s="73"/>
      <c r="GQ61" s="73"/>
      <c r="GR61" s="73"/>
      <c r="GS61" s="73"/>
      <c r="GT61" s="73"/>
      <c r="GU61" s="73"/>
      <c r="GV61" s="73"/>
      <c r="GW61" s="73"/>
      <c r="GX61" s="73"/>
      <c r="GY61" s="92"/>
      <c r="GZ61" s="92"/>
      <c r="HA61" s="92"/>
      <c r="HB61" s="114"/>
      <c r="HC61" s="114"/>
      <c r="HD61" s="114"/>
      <c r="HE61" s="73"/>
      <c r="HF61" s="73"/>
      <c r="HG61" s="73"/>
      <c r="HH61" s="73"/>
      <c r="HI61" s="73"/>
      <c r="HJ61" s="73"/>
      <c r="HK61" s="73"/>
      <c r="HL61" s="73"/>
      <c r="HM61" s="73"/>
      <c r="HN61" s="73"/>
      <c r="HO61" s="73"/>
      <c r="HP61" s="73"/>
      <c r="HQ61" s="73"/>
      <c r="HR61" s="73"/>
      <c r="HS61" s="254"/>
      <c r="HT61" s="271"/>
      <c r="HU61" s="271"/>
      <c r="HV61" s="271"/>
      <c r="HW61" s="271"/>
      <c r="HX61" s="271"/>
      <c r="HY61" s="271"/>
      <c r="HZ61" s="271"/>
      <c r="IA61" s="271"/>
      <c r="IB61" s="262"/>
      <c r="IC61" s="204"/>
      <c r="ID61" s="205"/>
      <c r="IE61" s="269"/>
      <c r="IF61" s="204"/>
      <c r="IG61" s="205"/>
      <c r="IH61" s="269"/>
      <c r="II61" s="204"/>
      <c r="IJ61" s="436"/>
      <c r="IK61" s="269"/>
      <c r="IL61" s="204"/>
      <c r="IM61" s="205"/>
      <c r="IN61" s="269"/>
      <c r="IO61" s="289"/>
      <c r="IP61" s="271"/>
      <c r="IQ61" s="298"/>
      <c r="IR61" s="289"/>
      <c r="IS61" s="271"/>
      <c r="IT61" s="298"/>
      <c r="IU61" s="455"/>
      <c r="IV61" s="456"/>
      <c r="IW61" s="471"/>
      <c r="IX61" s="204"/>
      <c r="IY61" s="205"/>
      <c r="IZ61" s="269"/>
      <c r="JA61" s="204"/>
      <c r="JB61" s="205"/>
      <c r="JC61" s="269"/>
      <c r="JD61" s="204"/>
      <c r="JE61" s="205"/>
      <c r="JF61" s="269"/>
      <c r="JG61" s="204"/>
      <c r="JH61" s="229"/>
      <c r="JI61" s="269"/>
      <c r="JJ61" s="289"/>
      <c r="JK61" s="271"/>
      <c r="JL61" s="298"/>
      <c r="JM61" s="289"/>
      <c r="JN61" s="271"/>
      <c r="JO61" s="298"/>
      <c r="JP61" s="497"/>
      <c r="JQ61" s="388"/>
      <c r="JR61" s="499"/>
      <c r="JS61" s="505"/>
      <c r="JT61" s="501"/>
      <c r="JU61" s="531"/>
      <c r="JV61" s="229"/>
      <c r="JW61" s="229"/>
      <c r="JX61" s="229"/>
      <c r="JY61" s="229"/>
      <c r="JZ61" s="229"/>
      <c r="KA61" s="229"/>
      <c r="KB61" s="229"/>
      <c r="KC61" s="229"/>
      <c r="KD61" s="229"/>
      <c r="KE61" s="338"/>
      <c r="KF61" s="338"/>
      <c r="KG61" s="338"/>
      <c r="KH61" s="338"/>
      <c r="KI61" s="338"/>
      <c r="KJ61" s="338"/>
      <c r="KK61" s="497"/>
      <c r="KL61" s="229"/>
      <c r="KM61" s="497"/>
      <c r="KN61" s="229"/>
      <c r="KO61" s="229"/>
      <c r="KP61" s="229"/>
      <c r="KQ61" s="229"/>
      <c r="KR61" s="229"/>
      <c r="KS61" s="229"/>
      <c r="KT61" s="64"/>
      <c r="KU61" s="68"/>
      <c r="KV61" s="68"/>
      <c r="KW61" s="64"/>
      <c r="KX61" s="68"/>
      <c r="KY61" s="68"/>
      <c r="KZ61" s="111"/>
      <c r="LA61" s="111"/>
      <c r="LB61" s="111"/>
      <c r="LC61" s="111"/>
      <c r="LD61" s="111"/>
      <c r="LE61" s="111"/>
      <c r="LF61" s="64"/>
      <c r="LG61" s="503"/>
      <c r="LH61" s="561"/>
      <c r="LI61" s="146"/>
      <c r="LJ61" s="146"/>
      <c r="LK61" s="146"/>
      <c r="LL61" s="146"/>
      <c r="LM61" s="146"/>
      <c r="LN61" s="146"/>
      <c r="LO61" s="146"/>
      <c r="LP61" s="146"/>
      <c r="LQ61" s="146"/>
      <c r="LR61" s="146"/>
      <c r="LS61" s="146"/>
      <c r="LT61" s="146"/>
      <c r="LU61" s="564"/>
      <c r="LV61" s="564"/>
      <c r="LW61" s="564"/>
      <c r="LX61" s="564"/>
      <c r="LY61" s="564"/>
      <c r="LZ61" s="564"/>
      <c r="MA61" s="198"/>
      <c r="MB61" s="503"/>
      <c r="MC61" s="470"/>
      <c r="MD61" s="543"/>
      <c r="ME61" s="484"/>
      <c r="MF61" s="230"/>
      <c r="MG61" s="484"/>
      <c r="MH61" s="230"/>
      <c r="MI61" s="230"/>
      <c r="MJ61" s="230"/>
      <c r="MK61" s="230"/>
      <c r="ML61" s="230"/>
      <c r="MM61" s="230"/>
      <c r="MN61" s="230"/>
      <c r="MO61" s="230"/>
      <c r="MP61" s="230"/>
      <c r="MQ61" s="230"/>
      <c r="MR61" s="230"/>
      <c r="MS61" s="230"/>
      <c r="MT61" s="339"/>
      <c r="MU61" s="339"/>
      <c r="MV61" s="339"/>
      <c r="MW61" s="339"/>
      <c r="MX61" s="339"/>
      <c r="MY61" s="577"/>
      <c r="MZ61" s="432"/>
      <c r="NA61" s="454"/>
      <c r="NB61" s="603"/>
      <c r="NC61" s="201"/>
      <c r="ND61" s="198"/>
      <c r="NE61" s="198"/>
      <c r="NF61" s="198"/>
      <c r="NG61" s="198"/>
      <c r="NH61" s="198"/>
      <c r="NI61" s="198"/>
      <c r="NJ61" s="198"/>
      <c r="NK61" s="198"/>
      <c r="NL61" s="198"/>
      <c r="NM61" s="198"/>
      <c r="NN61" s="198"/>
      <c r="NO61" s="260"/>
      <c r="NP61" s="260"/>
      <c r="NQ61" s="260"/>
      <c r="NR61" s="260"/>
      <c r="NS61" s="260"/>
      <c r="NT61" s="260"/>
      <c r="NU61" s="454"/>
      <c r="NV61" s="454"/>
      <c r="NW61" s="470"/>
    </row>
    <row r="62" spans="1:387" ht="14.4" hidden="1">
      <c r="A62" s="1676"/>
      <c r="B62" s="1672"/>
      <c r="C62" s="1677"/>
      <c r="D62" s="64"/>
      <c r="E62" s="64"/>
      <c r="F62" s="64"/>
      <c r="G62" s="100"/>
      <c r="H62" s="79"/>
      <c r="I62" s="64"/>
      <c r="J62" s="133"/>
      <c r="K62" s="109"/>
      <c r="L62" s="109"/>
      <c r="M62" s="109"/>
      <c r="N62" s="109"/>
      <c r="O62" s="109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109"/>
      <c r="AF62" s="109"/>
      <c r="AG62" s="109"/>
      <c r="AH62" s="109"/>
      <c r="AI62" s="109"/>
      <c r="AJ62" s="109"/>
      <c r="AK62" s="64"/>
      <c r="AL62" s="64"/>
      <c r="AM62" s="64"/>
      <c r="AN62" s="64"/>
      <c r="AO62" s="158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109"/>
      <c r="BA62" s="109"/>
      <c r="BB62" s="109"/>
      <c r="BC62" s="109"/>
      <c r="BD62" s="109"/>
      <c r="BE62" s="109"/>
      <c r="BF62" s="64"/>
      <c r="BG62" s="64"/>
      <c r="BH62" s="64"/>
      <c r="BI62" s="174"/>
      <c r="BJ62" s="174"/>
      <c r="BK62" s="17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109"/>
      <c r="BY62" s="109"/>
      <c r="BZ62" s="109"/>
      <c r="CA62" s="109"/>
      <c r="CB62" s="109"/>
      <c r="CC62" s="196"/>
      <c r="CD62" s="208"/>
      <c r="CE62" s="208"/>
      <c r="CF62" s="208"/>
      <c r="CG62" s="208"/>
      <c r="CH62" s="208"/>
      <c r="CI62" s="208"/>
      <c r="CJ62" s="208"/>
      <c r="CK62" s="208"/>
      <c r="CL62" s="208"/>
      <c r="CM62" s="208"/>
      <c r="CN62" s="208"/>
      <c r="CO62" s="208"/>
      <c r="CP62" s="208"/>
      <c r="CQ62" s="208"/>
      <c r="CR62" s="208"/>
      <c r="CS62" s="208"/>
      <c r="CT62" s="208"/>
      <c r="CU62" s="208"/>
      <c r="CV62" s="291"/>
      <c r="CW62" s="276"/>
      <c r="CX62" s="276"/>
      <c r="CY62" s="276"/>
      <c r="CZ62" s="276"/>
      <c r="DA62" s="276"/>
      <c r="DB62" s="276"/>
      <c r="DC62" s="79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109"/>
      <c r="DT62" s="109"/>
      <c r="DU62" s="109"/>
      <c r="DV62" s="109"/>
      <c r="DW62" s="109"/>
      <c r="DX62" s="109"/>
      <c r="DY62" s="64"/>
      <c r="DZ62" s="64"/>
      <c r="EA62" s="64"/>
      <c r="EB62" s="109"/>
      <c r="EC62" s="109"/>
      <c r="ED62" s="109"/>
      <c r="EE62" s="64"/>
      <c r="EF62" s="64"/>
      <c r="EG62" s="64"/>
      <c r="EH62" s="64"/>
      <c r="EI62" s="64"/>
      <c r="EJ62" s="64"/>
      <c r="EK62" s="64"/>
      <c r="EL62" s="64"/>
      <c r="EM62" s="64"/>
      <c r="EN62" s="109"/>
      <c r="EO62" s="109"/>
      <c r="EP62" s="109"/>
      <c r="EQ62" s="109"/>
      <c r="ER62" s="109"/>
      <c r="ES62" s="109"/>
      <c r="ET62" s="64"/>
      <c r="EU62" s="64"/>
      <c r="EV62" s="64"/>
      <c r="EW62" s="109"/>
      <c r="EX62" s="109"/>
      <c r="EY62" s="109"/>
      <c r="EZ62" s="64"/>
      <c r="FA62" s="64"/>
      <c r="FB62" s="64"/>
      <c r="FC62" s="64"/>
      <c r="FD62" s="64"/>
      <c r="FE62" s="64"/>
      <c r="FF62" s="64"/>
      <c r="FG62" s="64"/>
      <c r="FH62" s="64"/>
      <c r="FI62" s="109"/>
      <c r="FJ62" s="109"/>
      <c r="FK62" s="109"/>
      <c r="FL62" s="109"/>
      <c r="FM62" s="109"/>
      <c r="FN62" s="109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109"/>
      <c r="GE62" s="109"/>
      <c r="GF62" s="109"/>
      <c r="GG62" s="109"/>
      <c r="GH62" s="109"/>
      <c r="GI62" s="109"/>
      <c r="GS62" s="64"/>
      <c r="GT62" s="64"/>
      <c r="GU62" s="64"/>
      <c r="GV62" s="64"/>
      <c r="GW62" s="64"/>
      <c r="GX62" s="64"/>
      <c r="GY62" s="152"/>
      <c r="GZ62" s="152"/>
      <c r="HA62" s="152"/>
      <c r="HB62" s="109"/>
      <c r="HC62" s="109"/>
      <c r="HD62" s="109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328"/>
      <c r="HT62" s="276"/>
      <c r="HU62" s="276"/>
      <c r="HV62" s="276"/>
      <c r="HW62" s="276"/>
      <c r="HX62" s="276"/>
      <c r="HY62" s="276"/>
      <c r="HZ62" s="422"/>
      <c r="IA62" s="276"/>
      <c r="IB62" s="416"/>
      <c r="IC62" s="423"/>
      <c r="ID62" s="424"/>
      <c r="IE62" s="425"/>
      <c r="IF62" s="423"/>
      <c r="IG62" s="447"/>
      <c r="IH62" s="425"/>
      <c r="II62" s="423"/>
      <c r="IJ62" s="424"/>
      <c r="IK62" s="425"/>
      <c r="IL62" s="423"/>
      <c r="IM62" s="424"/>
      <c r="IN62" s="425"/>
      <c r="IO62" s="423"/>
      <c r="IP62" s="424"/>
      <c r="IQ62" s="425"/>
      <c r="IR62" s="423"/>
      <c r="IS62" s="424"/>
      <c r="IT62" s="425"/>
      <c r="IU62" s="423"/>
      <c r="IV62" s="424"/>
      <c r="IW62" s="425"/>
      <c r="IX62" s="423"/>
      <c r="IY62" s="424"/>
      <c r="IZ62" s="425"/>
      <c r="JA62" s="423"/>
      <c r="JB62" s="424"/>
      <c r="JC62" s="425"/>
      <c r="JD62" s="423"/>
      <c r="JE62" s="424"/>
      <c r="JF62" s="425"/>
      <c r="JG62" s="423"/>
      <c r="JI62" s="425"/>
      <c r="JJ62" s="423"/>
      <c r="JK62" s="424"/>
      <c r="JL62" s="425"/>
      <c r="JM62" s="423"/>
      <c r="JN62" s="424"/>
      <c r="JO62" s="425"/>
      <c r="JP62" s="423"/>
      <c r="JQ62" s="388"/>
      <c r="JR62" s="489"/>
      <c r="JT62" s="508"/>
      <c r="KK62" s="497"/>
      <c r="KL62" s="229"/>
      <c r="KM62" s="497"/>
      <c r="KN62" s="229"/>
      <c r="KO62" s="229"/>
      <c r="KP62" s="229"/>
      <c r="KQ62" s="229"/>
      <c r="KR62" s="229"/>
      <c r="KS62" s="229"/>
      <c r="KT62" s="229"/>
      <c r="KU62" s="229"/>
      <c r="KV62" s="229"/>
      <c r="KW62" s="229"/>
      <c r="KX62" s="229"/>
      <c r="KY62" s="229"/>
      <c r="KZ62" s="338"/>
      <c r="LA62" s="338"/>
      <c r="LB62" s="338"/>
      <c r="LC62" s="338"/>
      <c r="LD62" s="338"/>
      <c r="LE62" s="338"/>
      <c r="LF62" s="497"/>
      <c r="LG62" s="497"/>
      <c r="LH62" s="562"/>
      <c r="LI62" s="375"/>
      <c r="LJ62" s="375"/>
      <c r="LK62" s="375"/>
      <c r="LL62" s="375"/>
      <c r="LM62" s="375"/>
      <c r="LN62" s="375"/>
      <c r="LO62" s="375"/>
      <c r="LP62" s="375"/>
      <c r="LQ62" s="375"/>
      <c r="LR62" s="375"/>
      <c r="LS62" s="375"/>
      <c r="LT62" s="375"/>
      <c r="LU62" s="565"/>
      <c r="LV62" s="565"/>
      <c r="LW62" s="565"/>
      <c r="LX62" s="565"/>
      <c r="LY62" s="565"/>
      <c r="LZ62" s="565"/>
      <c r="MA62" s="203"/>
      <c r="MB62" s="513"/>
      <c r="MC62" s="568"/>
      <c r="ME62" s="497"/>
      <c r="MF62" s="229"/>
      <c r="MG62" s="497"/>
      <c r="MH62" s="229"/>
      <c r="MI62" s="229"/>
      <c r="MJ62" s="229"/>
      <c r="MK62" s="229"/>
      <c r="ML62" s="229"/>
      <c r="MM62" s="229"/>
      <c r="MN62" s="229"/>
      <c r="MO62" s="229"/>
      <c r="MP62" s="229"/>
      <c r="MQ62" s="229"/>
      <c r="MR62" s="229"/>
      <c r="MS62" s="229"/>
      <c r="MT62" s="338"/>
      <c r="MU62" s="338"/>
      <c r="MV62" s="338"/>
      <c r="MW62" s="338"/>
      <c r="MX62" s="338"/>
      <c r="MY62" s="578"/>
      <c r="MZ62" s="432"/>
      <c r="NA62" s="454"/>
      <c r="NB62" s="603"/>
      <c r="NC62" s="201"/>
      <c r="ND62" s="198"/>
      <c r="NE62" s="198"/>
      <c r="NF62" s="198"/>
      <c r="NG62" s="198"/>
      <c r="NH62" s="198"/>
      <c r="NI62" s="198"/>
      <c r="NJ62" s="198"/>
      <c r="NK62" s="198"/>
      <c r="NL62" s="198"/>
      <c r="NM62" s="198"/>
      <c r="NN62" s="198"/>
      <c r="NO62" s="260"/>
      <c r="NP62" s="260"/>
      <c r="NQ62" s="260"/>
      <c r="NR62" s="260"/>
      <c r="NS62" s="260"/>
      <c r="NT62" s="260"/>
      <c r="NU62" s="454"/>
      <c r="NV62" s="454"/>
      <c r="NW62" s="470"/>
    </row>
    <row r="63" spans="1:387" ht="14.4">
      <c r="A63" s="1678"/>
      <c r="B63" s="1674"/>
      <c r="C63" s="1679"/>
      <c r="D63" s="70"/>
      <c r="E63" s="70"/>
      <c r="F63" s="70"/>
      <c r="G63" s="104"/>
      <c r="H63" s="69"/>
      <c r="I63" s="70"/>
      <c r="J63" s="139"/>
      <c r="K63" s="110"/>
      <c r="L63" s="110"/>
      <c r="M63" s="110"/>
      <c r="N63" s="110"/>
      <c r="O63" s="11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110"/>
      <c r="AF63" s="110"/>
      <c r="AG63" s="110"/>
      <c r="AH63" s="110"/>
      <c r="AI63" s="110"/>
      <c r="AJ63" s="110"/>
      <c r="AK63" s="70"/>
      <c r="AL63" s="70"/>
      <c r="AM63" s="70"/>
      <c r="AN63" s="70"/>
      <c r="AO63" s="154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110"/>
      <c r="BA63" s="110"/>
      <c r="BB63" s="110"/>
      <c r="BC63" s="110"/>
      <c r="BD63" s="110"/>
      <c r="BE63" s="110"/>
      <c r="BF63" s="70"/>
      <c r="BG63" s="70"/>
      <c r="BH63" s="70"/>
      <c r="BI63" s="177"/>
      <c r="BJ63" s="177"/>
      <c r="BK63" s="177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110"/>
      <c r="BY63" s="110"/>
      <c r="BZ63" s="110"/>
      <c r="CA63" s="110"/>
      <c r="CB63" s="110"/>
      <c r="CC63" s="128"/>
      <c r="CD63" s="238"/>
      <c r="CE63" s="238"/>
      <c r="CF63" s="238"/>
      <c r="CG63" s="238"/>
      <c r="CH63" s="238"/>
      <c r="CI63" s="238"/>
      <c r="CJ63" s="238"/>
      <c r="CK63" s="238"/>
      <c r="CL63" s="238"/>
      <c r="CM63" s="238"/>
      <c r="CN63" s="238"/>
      <c r="CO63" s="238"/>
      <c r="CP63" s="238"/>
      <c r="CQ63" s="238"/>
      <c r="CR63" s="238"/>
      <c r="CS63" s="238"/>
      <c r="CT63" s="238"/>
      <c r="CU63" s="238"/>
      <c r="CV63" s="219"/>
      <c r="CW63" s="286"/>
      <c r="CX63" s="286"/>
      <c r="CY63" s="286"/>
      <c r="CZ63" s="286"/>
      <c r="DA63" s="286"/>
      <c r="DB63" s="286"/>
      <c r="DC63" s="69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110"/>
      <c r="DT63" s="110"/>
      <c r="DU63" s="110"/>
      <c r="DV63" s="110"/>
      <c r="DW63" s="110"/>
      <c r="DX63" s="110"/>
      <c r="DY63" s="70"/>
      <c r="DZ63" s="70"/>
      <c r="EA63" s="70"/>
      <c r="EB63" s="110"/>
      <c r="EC63" s="110"/>
      <c r="ED63" s="110"/>
      <c r="EE63" s="70"/>
      <c r="EF63" s="70"/>
      <c r="EG63" s="70"/>
      <c r="EL63" s="83"/>
      <c r="EM63" s="83"/>
      <c r="EN63" s="122"/>
      <c r="EO63" s="122"/>
      <c r="EP63" s="122"/>
      <c r="EQ63" s="122"/>
      <c r="ER63" s="122"/>
      <c r="ES63" s="122"/>
      <c r="EW63" s="122"/>
      <c r="EX63" s="122"/>
      <c r="EY63" s="122"/>
      <c r="EZ63" s="346"/>
      <c r="HA63" s="349"/>
      <c r="HB63" s="122"/>
      <c r="HC63" s="122"/>
      <c r="HD63" s="122"/>
      <c r="HT63" s="286"/>
      <c r="HU63" s="286"/>
      <c r="HV63" s="286"/>
      <c r="HW63" s="286"/>
      <c r="HX63" s="286"/>
      <c r="HY63" s="286"/>
      <c r="HZ63" s="426"/>
      <c r="IA63" s="286"/>
      <c r="IB63" s="420"/>
      <c r="IC63" s="427"/>
      <c r="ID63" s="238"/>
      <c r="IE63" s="428"/>
      <c r="IF63" s="427"/>
      <c r="IG63" s="448"/>
      <c r="IH63" s="428"/>
      <c r="II63" s="427"/>
      <c r="IJ63" s="238"/>
      <c r="IK63" s="428"/>
      <c r="IL63" s="427"/>
      <c r="IM63" s="238"/>
      <c r="IN63" s="428"/>
      <c r="IO63" s="427"/>
      <c r="IP63" s="238"/>
      <c r="IQ63" s="428"/>
      <c r="IR63" s="427"/>
      <c r="IS63" s="238"/>
      <c r="IT63" s="428"/>
      <c r="IU63" s="427"/>
      <c r="IV63" s="238"/>
      <c r="IW63" s="428"/>
      <c r="IX63" s="427"/>
      <c r="IY63" s="238"/>
      <c r="IZ63" s="428"/>
      <c r="JA63" s="427"/>
      <c r="JB63" s="238"/>
      <c r="JC63" s="428"/>
      <c r="JD63" s="427"/>
      <c r="JE63" s="238"/>
      <c r="JF63" s="428"/>
      <c r="JG63" s="427"/>
      <c r="JI63" s="428"/>
      <c r="JJ63" s="427"/>
      <c r="JK63" s="238"/>
      <c r="JL63" s="428"/>
      <c r="JM63" s="427"/>
      <c r="JN63" s="238"/>
      <c r="JO63" s="428"/>
      <c r="JP63" s="427"/>
      <c r="JQ63" s="388"/>
      <c r="JR63" s="489"/>
      <c r="JT63" s="519"/>
      <c r="ME63" s="569"/>
      <c r="MF63" s="346"/>
      <c r="MG63" s="569"/>
      <c r="MH63" s="346"/>
      <c r="MI63" s="346"/>
      <c r="MJ63" s="346"/>
      <c r="MK63" s="346"/>
      <c r="ML63" s="346"/>
      <c r="MM63" s="346"/>
      <c r="MN63" s="346"/>
      <c r="MO63" s="346"/>
      <c r="MP63" s="346"/>
      <c r="MQ63" s="346"/>
      <c r="MR63" s="346"/>
      <c r="MS63" s="346"/>
      <c r="MT63" s="576"/>
      <c r="MU63" s="576"/>
      <c r="MV63" s="576"/>
      <c r="MW63" s="576"/>
      <c r="MX63" s="576"/>
      <c r="MY63" s="604"/>
      <c r="MZ63" s="467"/>
      <c r="NA63" s="468"/>
      <c r="NB63" s="605"/>
      <c r="NC63" s="236"/>
      <c r="ND63" s="237"/>
      <c r="NE63" s="237"/>
      <c r="NF63" s="237"/>
      <c r="NG63" s="237"/>
      <c r="NH63" s="237"/>
      <c r="NI63" s="237"/>
      <c r="NJ63" s="237"/>
      <c r="NK63" s="237"/>
      <c r="NL63" s="237"/>
      <c r="NM63" s="237"/>
      <c r="NN63" s="237"/>
      <c r="NO63" s="286"/>
      <c r="NP63" s="286"/>
      <c r="NQ63" s="286"/>
      <c r="NR63" s="286"/>
      <c r="NS63" s="286"/>
      <c r="NT63" s="286"/>
      <c r="NU63" s="468"/>
      <c r="NV63" s="468"/>
      <c r="NW63" s="476"/>
    </row>
    <row r="64" spans="1:387" ht="14.4">
      <c r="A64" s="1637">
        <v>2</v>
      </c>
      <c r="B64" s="1648" t="s">
        <v>6965</v>
      </c>
      <c r="C64" s="1663" t="s">
        <v>6311</v>
      </c>
      <c r="D64" s="61"/>
      <c r="E64" s="61"/>
      <c r="F64" s="61"/>
      <c r="G64" s="61"/>
      <c r="H64" s="61"/>
      <c r="I64" s="61"/>
      <c r="J64" s="108"/>
      <c r="K64" s="140"/>
      <c r="L64" s="108"/>
      <c r="M64" s="108"/>
      <c r="N64" s="108"/>
      <c r="O64" s="108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108"/>
      <c r="AF64" s="108"/>
      <c r="AG64" s="108"/>
      <c r="AH64" s="108"/>
      <c r="AI64" s="108"/>
      <c r="AJ64" s="108"/>
      <c r="AK64" s="61"/>
      <c r="AL64" s="61"/>
      <c r="AM64" s="61"/>
      <c r="AN64" s="61"/>
      <c r="AO64" s="150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108"/>
      <c r="BA64" s="108"/>
      <c r="BB64" s="108"/>
      <c r="BC64" s="108"/>
      <c r="BD64" s="108"/>
      <c r="BE64" s="108"/>
      <c r="BF64" s="61"/>
      <c r="BG64" s="61"/>
      <c r="BH64" s="61"/>
      <c r="BI64" s="173"/>
      <c r="BJ64" s="173"/>
      <c r="BK64" s="173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108"/>
      <c r="BY64" s="108"/>
      <c r="BZ64" s="108"/>
      <c r="CA64" s="108"/>
      <c r="CB64" s="108"/>
      <c r="CC64" s="126"/>
      <c r="CD64" s="233"/>
      <c r="CE64" s="195"/>
      <c r="CF64" s="195"/>
      <c r="CG64" s="195"/>
      <c r="CH64" s="195"/>
      <c r="CI64" s="195"/>
      <c r="CJ64" s="195"/>
      <c r="CK64" s="195"/>
      <c r="CL64" s="195"/>
      <c r="CM64" s="195"/>
      <c r="CN64" s="195"/>
      <c r="CO64" s="195"/>
      <c r="CP64" s="195"/>
      <c r="CQ64" s="195"/>
      <c r="CR64" s="195"/>
      <c r="CS64" s="195"/>
      <c r="CT64" s="195"/>
      <c r="CU64" s="195"/>
      <c r="CV64" s="214"/>
      <c r="CW64" s="287"/>
      <c r="CX64" s="265"/>
      <c r="CY64" s="265"/>
      <c r="CZ64" s="265"/>
      <c r="DA64" s="265"/>
      <c r="DB64" s="295"/>
      <c r="DC64" s="60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108"/>
      <c r="DT64" s="108"/>
      <c r="DU64" s="108"/>
      <c r="DV64" s="108"/>
      <c r="DW64" s="108"/>
      <c r="DX64" s="108"/>
      <c r="DY64" s="61"/>
      <c r="DZ64" s="61"/>
      <c r="EA64" s="61"/>
      <c r="EB64" s="108"/>
      <c r="EC64" s="108"/>
      <c r="ED64" s="108"/>
      <c r="EE64" s="61"/>
      <c r="EF64" s="251"/>
      <c r="EG64" s="340"/>
      <c r="EH64" s="185" t="s">
        <v>6315</v>
      </c>
      <c r="EI64" s="185"/>
      <c r="EJ64" s="185" t="s">
        <v>6966</v>
      </c>
      <c r="EK64" s="341" t="s">
        <v>6699</v>
      </c>
      <c r="EL64" s="185"/>
      <c r="EM64" s="185"/>
      <c r="EN64" s="265"/>
      <c r="EO64" s="265"/>
      <c r="EP64" s="265"/>
      <c r="EQ64" s="265"/>
      <c r="ER64" s="265"/>
      <c r="ES64" s="265"/>
      <c r="ET64" s="341" t="s">
        <v>6699</v>
      </c>
      <c r="EU64" s="215" t="s">
        <v>6967</v>
      </c>
      <c r="EV64" s="185" t="s">
        <v>6919</v>
      </c>
      <c r="EW64" s="265"/>
      <c r="EX64" s="265"/>
      <c r="EY64" s="265"/>
      <c r="EZ64" s="341" t="s">
        <v>6699</v>
      </c>
      <c r="FA64" s="215" t="s">
        <v>6317</v>
      </c>
      <c r="FB64" s="185"/>
      <c r="FC64" s="185" t="s">
        <v>6937</v>
      </c>
      <c r="FD64" s="185"/>
      <c r="FE64" s="185" t="s">
        <v>6966</v>
      </c>
      <c r="FF64" s="206" t="s">
        <v>6317</v>
      </c>
      <c r="FG64" s="185"/>
      <c r="FH64" s="257" t="s">
        <v>6966</v>
      </c>
      <c r="FI64" s="123"/>
      <c r="FJ64" s="108"/>
      <c r="FK64" s="108"/>
      <c r="FL64" s="108"/>
      <c r="FM64" s="108"/>
      <c r="FN64" s="108"/>
      <c r="FO64" s="351" t="s">
        <v>6699</v>
      </c>
      <c r="FP64" s="61"/>
      <c r="FQ64" s="61" t="s">
        <v>6919</v>
      </c>
      <c r="FR64" s="61" t="s">
        <v>6331</v>
      </c>
      <c r="FS64" s="61" t="s">
        <v>6699</v>
      </c>
      <c r="FT64" s="61" t="s">
        <v>6919</v>
      </c>
      <c r="FU64" s="61" t="s">
        <v>6318</v>
      </c>
      <c r="FV64" s="61" t="s">
        <v>6318</v>
      </c>
      <c r="FW64" s="61"/>
      <c r="FX64" s="61" t="s">
        <v>6331</v>
      </c>
      <c r="FY64" s="61"/>
      <c r="FZ64" s="61" t="s">
        <v>6966</v>
      </c>
      <c r="GA64" s="251" t="s">
        <v>6318</v>
      </c>
      <c r="GB64" s="354" t="s">
        <v>6937</v>
      </c>
      <c r="GC64" s="60"/>
      <c r="GD64" s="108"/>
      <c r="GE64" s="108"/>
      <c r="GF64" s="108"/>
      <c r="GG64" s="108"/>
      <c r="GH64" s="108"/>
      <c r="GI64" s="108"/>
      <c r="GJ64" s="61"/>
      <c r="GK64" s="61"/>
      <c r="GL64" s="61"/>
      <c r="GM64" s="61"/>
      <c r="GN64" s="61"/>
      <c r="GO64" s="61"/>
      <c r="GP64" s="61"/>
      <c r="GQ64" s="61"/>
      <c r="GR64" s="61"/>
      <c r="GS64" s="61" t="s">
        <v>6331</v>
      </c>
      <c r="GT64" s="61"/>
      <c r="GU64" s="61"/>
      <c r="GV64" s="61" t="s">
        <v>6331</v>
      </c>
      <c r="GW64" s="61"/>
      <c r="GX64" s="61"/>
      <c r="GY64" s="61" t="s">
        <v>6691</v>
      </c>
      <c r="GZ64" s="211"/>
      <c r="HA64" s="211"/>
      <c r="HB64" s="108"/>
      <c r="HC64" s="108"/>
      <c r="HD64" s="108"/>
      <c r="HE64" s="86" t="s">
        <v>6318</v>
      </c>
      <c r="HF64" s="86" t="s">
        <v>6691</v>
      </c>
      <c r="HG64" s="61"/>
      <c r="HH64" s="211" t="s">
        <v>6691</v>
      </c>
      <c r="HI64" s="61"/>
      <c r="HJ64" s="61"/>
      <c r="HK64" s="351" t="s">
        <v>6699</v>
      </c>
      <c r="HL64" s="61" t="s">
        <v>6317</v>
      </c>
      <c r="HM64" s="61"/>
      <c r="HN64" s="222"/>
      <c r="HO64" s="222"/>
      <c r="HP64" s="222"/>
      <c r="HQ64" s="222"/>
      <c r="HR64" s="61"/>
      <c r="HS64" s="251"/>
      <c r="HT64" s="265"/>
      <c r="HU64" s="265"/>
      <c r="HV64" s="265"/>
      <c r="HW64" s="265"/>
      <c r="HX64" s="265"/>
      <c r="HY64" s="265"/>
      <c r="HZ64" s="413" t="s">
        <v>6699</v>
      </c>
      <c r="IA64" s="265"/>
      <c r="IB64" s="273"/>
      <c r="IC64" s="429" t="s">
        <v>6699</v>
      </c>
      <c r="ID64" s="185" t="s">
        <v>6318</v>
      </c>
      <c r="IE64" s="257"/>
      <c r="IF64" s="414" t="s">
        <v>6318</v>
      </c>
      <c r="IG64" s="449" t="s">
        <v>6699</v>
      </c>
      <c r="IH64" s="257"/>
      <c r="II64" s="450" t="s">
        <v>6340</v>
      </c>
      <c r="IJ64" s="206" t="s">
        <v>6318</v>
      </c>
      <c r="IK64" s="257"/>
      <c r="IL64" s="415" t="s">
        <v>6318</v>
      </c>
      <c r="IM64" s="438" t="s">
        <v>6318</v>
      </c>
      <c r="IN64" s="257"/>
      <c r="IO64" s="287"/>
      <c r="IP64" s="265"/>
      <c r="IQ64" s="295"/>
      <c r="IR64" s="287"/>
      <c r="IS64" s="265"/>
      <c r="IT64" s="295"/>
      <c r="IU64" s="415" t="s">
        <v>6318</v>
      </c>
      <c r="IV64" s="453" t="s">
        <v>6331</v>
      </c>
      <c r="IW64" s="469"/>
      <c r="IX64" s="415" t="s">
        <v>6318</v>
      </c>
      <c r="IY64" s="185" t="s">
        <v>6317</v>
      </c>
      <c r="IZ64" s="257"/>
      <c r="JA64" s="415" t="s">
        <v>6318</v>
      </c>
      <c r="JB64" s="185" t="s">
        <v>6331</v>
      </c>
      <c r="JC64" s="257"/>
      <c r="JD64" s="415" t="s">
        <v>6318</v>
      </c>
      <c r="JE64" s="198" t="s">
        <v>6318</v>
      </c>
      <c r="JF64" s="257"/>
      <c r="JG64" s="415" t="s">
        <v>6318</v>
      </c>
      <c r="JH64" s="230"/>
      <c r="JI64" s="257"/>
      <c r="JJ64" s="287"/>
      <c r="JK64" s="265"/>
      <c r="JL64" s="295"/>
      <c r="JM64" s="287"/>
      <c r="JN64" s="265"/>
      <c r="JO64" s="295"/>
      <c r="JP64" s="484"/>
      <c r="JQ64" s="388"/>
      <c r="JR64" s="486"/>
      <c r="JS64" s="487"/>
      <c r="JT64" s="488" t="s">
        <v>6318</v>
      </c>
      <c r="JU64" s="527"/>
      <c r="JV64" s="230"/>
      <c r="JW64" s="230"/>
      <c r="JX64" s="230"/>
      <c r="JY64" s="528"/>
      <c r="JZ64" s="230"/>
      <c r="KA64" s="230"/>
      <c r="KB64" s="230"/>
      <c r="KC64" s="230"/>
      <c r="KD64" s="230"/>
      <c r="KE64" s="339"/>
      <c r="KF64" s="339"/>
      <c r="KG64" s="339"/>
      <c r="KH64" s="339"/>
      <c r="KI64" s="339"/>
      <c r="KJ64" s="339"/>
      <c r="KK64" s="484"/>
      <c r="KL64" s="230"/>
      <c r="KM64" s="484"/>
      <c r="KN64" s="230"/>
      <c r="KO64" s="230"/>
      <c r="KP64" s="230"/>
      <c r="KQ64" s="230"/>
      <c r="KR64" s="230"/>
      <c r="KS64" s="230"/>
      <c r="KT64" s="230"/>
      <c r="KU64" s="230"/>
      <c r="KV64" s="230"/>
      <c r="KW64" s="230"/>
      <c r="KX64" s="230"/>
      <c r="KY64" s="230"/>
      <c r="KZ64" s="339"/>
      <c r="LA64" s="339"/>
      <c r="LB64" s="339"/>
      <c r="LC64" s="339"/>
      <c r="LD64" s="339"/>
      <c r="LE64" s="339"/>
      <c r="LF64" s="484"/>
      <c r="LG64" s="484"/>
      <c r="LH64" s="484"/>
      <c r="LI64" s="230"/>
      <c r="LJ64" s="230"/>
      <c r="LK64" s="230"/>
      <c r="LL64" s="230"/>
      <c r="LM64" s="230"/>
      <c r="LN64" s="230"/>
      <c r="LO64" s="230"/>
      <c r="LP64" s="230"/>
      <c r="LQ64" s="230"/>
      <c r="LR64" s="230"/>
      <c r="LS64" s="230"/>
      <c r="LT64" s="230"/>
      <c r="LU64" s="339"/>
      <c r="LV64" s="339"/>
      <c r="LW64" s="339"/>
      <c r="LX64" s="339"/>
      <c r="LY64" s="339"/>
      <c r="LZ64" s="339"/>
      <c r="MA64" s="484"/>
      <c r="MB64" s="484"/>
      <c r="MC64" s="484"/>
      <c r="MD64" s="222"/>
      <c r="ME64" s="570" t="s">
        <v>6937</v>
      </c>
      <c r="MF64" s="86" t="s">
        <v>6331</v>
      </c>
      <c r="MG64" s="574"/>
      <c r="MH64" s="61" t="s">
        <v>6331</v>
      </c>
      <c r="MI64" s="146" t="s">
        <v>6937</v>
      </c>
      <c r="MJ64" s="61"/>
      <c r="MK64" s="61" t="s">
        <v>6331</v>
      </c>
      <c r="ML64" s="251" t="s">
        <v>6318</v>
      </c>
      <c r="MM64" s="61"/>
      <c r="MN64" s="61" t="s">
        <v>6331</v>
      </c>
      <c r="MO64" s="251"/>
      <c r="MP64" s="61"/>
      <c r="MQ64" s="61" t="s">
        <v>6331</v>
      </c>
      <c r="MR64" s="86" t="s">
        <v>6318</v>
      </c>
      <c r="MS64" s="86"/>
      <c r="MT64" s="108"/>
      <c r="MU64" s="108"/>
      <c r="MV64" s="108"/>
      <c r="MW64" s="108"/>
      <c r="MX64" s="108"/>
      <c r="MY64" s="126"/>
      <c r="MZ64" s="194" t="s">
        <v>6317</v>
      </c>
      <c r="NA64" s="185"/>
      <c r="NB64" s="606"/>
      <c r="NC64" s="194" t="s">
        <v>6331</v>
      </c>
      <c r="ND64" s="185" t="s">
        <v>6318</v>
      </c>
      <c r="NE64" s="185"/>
      <c r="NF64" s="185" t="s">
        <v>6331</v>
      </c>
      <c r="NG64" s="185"/>
      <c r="NH64" s="185"/>
      <c r="NI64" s="185" t="s">
        <v>6331</v>
      </c>
      <c r="NJ64" s="185"/>
      <c r="NK64" s="185"/>
      <c r="NL64" s="185" t="s">
        <v>6937</v>
      </c>
      <c r="NM64" s="185" t="s">
        <v>6317</v>
      </c>
      <c r="NN64" s="185"/>
      <c r="NO64" s="265"/>
      <c r="NP64" s="265"/>
      <c r="NQ64" s="265"/>
      <c r="NR64" s="265"/>
      <c r="NS64" s="265"/>
      <c r="NT64" s="265"/>
      <c r="NU64" s="185" t="s">
        <v>6937</v>
      </c>
      <c r="NV64" s="185"/>
      <c r="NW64" s="469"/>
    </row>
    <row r="65" spans="1:387" ht="14.4">
      <c r="A65" s="1638"/>
      <c r="B65" s="1651"/>
      <c r="C65" s="1666"/>
      <c r="D65" s="70" t="s">
        <v>6331</v>
      </c>
      <c r="E65" s="64"/>
      <c r="F65" s="64"/>
      <c r="G65" s="70" t="s">
        <v>6331</v>
      </c>
      <c r="H65" s="64"/>
      <c r="I65" s="64"/>
      <c r="J65" s="109"/>
      <c r="K65" s="110"/>
      <c r="L65" s="109"/>
      <c r="M65" s="109"/>
      <c r="N65" s="109"/>
      <c r="O65" s="109"/>
      <c r="P65" s="64" t="s">
        <v>6331</v>
      </c>
      <c r="Q65" s="64"/>
      <c r="R65" s="64"/>
      <c r="S65" s="70" t="s">
        <v>6937</v>
      </c>
      <c r="T65" s="64"/>
      <c r="U65" s="64"/>
      <c r="V65" s="64" t="s">
        <v>6317</v>
      </c>
      <c r="W65" s="67" t="s">
        <v>6317</v>
      </c>
      <c r="X65" s="64"/>
      <c r="Y65" s="70" t="s">
        <v>6919</v>
      </c>
      <c r="Z65" s="64"/>
      <c r="AA65" s="64"/>
      <c r="AB65" s="152" t="s">
        <v>6937</v>
      </c>
      <c r="AC65" s="75" t="s">
        <v>6937</v>
      </c>
      <c r="AD65" s="64"/>
      <c r="AE65" s="109"/>
      <c r="AF65" s="109"/>
      <c r="AG65" s="109"/>
      <c r="AH65" s="109"/>
      <c r="AI65" s="109"/>
      <c r="AJ65" s="109"/>
      <c r="AK65" s="64"/>
      <c r="AL65" s="75" t="s">
        <v>6315</v>
      </c>
      <c r="AM65" s="64"/>
      <c r="AN65" s="148" t="s">
        <v>6688</v>
      </c>
      <c r="AO65" s="158"/>
      <c r="AP65" s="64"/>
      <c r="AQ65" s="148" t="s">
        <v>6968</v>
      </c>
      <c r="AR65" s="64"/>
      <c r="AS65" s="64"/>
      <c r="AT65" s="152" t="s">
        <v>6937</v>
      </c>
      <c r="AU65" s="64"/>
      <c r="AV65" s="64"/>
      <c r="AW65" s="152" t="s">
        <v>6937</v>
      </c>
      <c r="AX65" s="64"/>
      <c r="AY65" s="64"/>
      <c r="AZ65" s="109"/>
      <c r="BA65" s="109"/>
      <c r="BB65" s="109"/>
      <c r="BC65" s="109"/>
      <c r="BD65" s="109"/>
      <c r="BE65" s="109"/>
      <c r="BG65" s="64"/>
      <c r="BH65" s="64"/>
      <c r="BI65" s="186"/>
      <c r="BJ65" s="174"/>
      <c r="BK65" s="174"/>
      <c r="BL65" s="148"/>
      <c r="BM65" s="64"/>
      <c r="BN65" s="64"/>
      <c r="BO65" s="64"/>
      <c r="BP65" s="152"/>
      <c r="BQ65" s="64"/>
      <c r="BR65" s="64"/>
      <c r="BS65" s="64"/>
      <c r="BT65" s="152"/>
      <c r="BU65" s="64"/>
      <c r="BV65" s="64"/>
      <c r="BW65" s="64"/>
      <c r="BX65" s="109"/>
      <c r="BY65" s="109"/>
      <c r="BZ65" s="109"/>
      <c r="CA65" s="109"/>
      <c r="CB65" s="109"/>
      <c r="CC65" s="196"/>
      <c r="CD65" s="197" t="s">
        <v>6331</v>
      </c>
      <c r="CE65" s="198"/>
      <c r="CF65" s="198"/>
      <c r="CG65" s="199" t="s">
        <v>6331</v>
      </c>
      <c r="CH65" s="198"/>
      <c r="CI65" s="198"/>
      <c r="CJ65" s="198"/>
      <c r="CK65" s="199" t="s">
        <v>6331</v>
      </c>
      <c r="CL65" s="198"/>
      <c r="CM65" s="198"/>
      <c r="CN65" s="198"/>
      <c r="CO65" s="199" t="s">
        <v>6331</v>
      </c>
      <c r="CP65" s="198"/>
      <c r="CQ65" s="198"/>
      <c r="CR65" s="198"/>
      <c r="CS65" s="199" t="s">
        <v>6331</v>
      </c>
      <c r="CT65" s="198"/>
      <c r="CU65" s="198"/>
      <c r="CV65" s="220" t="s">
        <v>6919</v>
      </c>
      <c r="CW65" s="288"/>
      <c r="CX65" s="260"/>
      <c r="CY65" s="260"/>
      <c r="CZ65" s="260"/>
      <c r="DA65" s="260"/>
      <c r="DB65" s="296"/>
      <c r="DC65" s="293" t="s">
        <v>6331</v>
      </c>
      <c r="DD65" s="75" t="s">
        <v>6698</v>
      </c>
      <c r="DE65" s="64" t="s">
        <v>6919</v>
      </c>
      <c r="DF65" s="152" t="s">
        <v>6331</v>
      </c>
      <c r="DG65" s="64"/>
      <c r="DH65" s="75" t="s">
        <v>6318</v>
      </c>
      <c r="DI65" s="64"/>
      <c r="DJ65" s="152" t="s">
        <v>6331</v>
      </c>
      <c r="DK65" s="64"/>
      <c r="DL65" s="64"/>
      <c r="DM65" s="152" t="s">
        <v>6331</v>
      </c>
      <c r="DN65" s="64"/>
      <c r="DO65" s="64"/>
      <c r="DP65" s="152" t="s">
        <v>6331</v>
      </c>
      <c r="DQ65" s="64"/>
      <c r="DR65" s="64"/>
      <c r="DS65" s="109"/>
      <c r="DT65" s="109"/>
      <c r="DU65" s="109"/>
      <c r="DV65" s="109"/>
      <c r="DW65" s="109"/>
      <c r="DX65" s="109"/>
      <c r="DY65" s="152" t="s">
        <v>6318</v>
      </c>
      <c r="DZ65" s="75" t="s">
        <v>6318</v>
      </c>
      <c r="EA65" s="64"/>
      <c r="EB65" s="109"/>
      <c r="EC65" s="109"/>
      <c r="ED65" s="109"/>
      <c r="EE65" s="152" t="s">
        <v>6318</v>
      </c>
      <c r="EF65" s="328"/>
      <c r="EG65" s="636"/>
      <c r="EH65" s="198" t="s">
        <v>6392</v>
      </c>
      <c r="EI65" s="166" t="s">
        <v>6318</v>
      </c>
      <c r="EJ65" s="198" t="s">
        <v>6969</v>
      </c>
      <c r="EK65" s="637" t="s">
        <v>6970</v>
      </c>
      <c r="EL65" s="198"/>
      <c r="EM65" s="198"/>
      <c r="EN65" s="260"/>
      <c r="EO65" s="260"/>
      <c r="EP65" s="260"/>
      <c r="EQ65" s="260"/>
      <c r="ER65" s="260"/>
      <c r="ES65" s="260"/>
      <c r="ET65" s="637" t="s">
        <v>6971</v>
      </c>
      <c r="EU65" s="166" t="s">
        <v>6972</v>
      </c>
      <c r="EV65" s="198" t="s">
        <v>6937</v>
      </c>
      <c r="EW65" s="260"/>
      <c r="EX65" s="260"/>
      <c r="EY65" s="260"/>
      <c r="EZ65" s="637" t="s">
        <v>6747</v>
      </c>
      <c r="FA65" s="166" t="s">
        <v>6973</v>
      </c>
      <c r="FB65" s="198"/>
      <c r="FC65" s="199" t="s">
        <v>6400</v>
      </c>
      <c r="FD65" s="235"/>
      <c r="FE65" s="198" t="s">
        <v>6969</v>
      </c>
      <c r="FF65" s="199" t="s">
        <v>6588</v>
      </c>
      <c r="FG65" s="198"/>
      <c r="FH65" s="268" t="s">
        <v>6969</v>
      </c>
      <c r="FI65" s="127"/>
      <c r="FJ65" s="111"/>
      <c r="FK65" s="111"/>
      <c r="FL65" s="111"/>
      <c r="FM65" s="111"/>
      <c r="FN65" s="111"/>
      <c r="FO65" s="333" t="s">
        <v>6971</v>
      </c>
      <c r="FP65" s="68" t="s">
        <v>6317</v>
      </c>
      <c r="FQ65" s="68" t="s">
        <v>6937</v>
      </c>
      <c r="FR65" s="68"/>
      <c r="FS65" s="68" t="s">
        <v>6971</v>
      </c>
      <c r="FT65" s="68" t="s">
        <v>6937</v>
      </c>
      <c r="FU65" s="68" t="s">
        <v>6974</v>
      </c>
      <c r="FV65" s="68" t="s">
        <v>6820</v>
      </c>
      <c r="FW65" s="68"/>
      <c r="FX65" s="68"/>
      <c r="FY65" s="68" t="s">
        <v>6699</v>
      </c>
      <c r="FZ65" s="68" t="s">
        <v>6969</v>
      </c>
      <c r="GA65" s="355" t="s">
        <v>6975</v>
      </c>
      <c r="GB65" s="356" t="s">
        <v>6408</v>
      </c>
      <c r="GC65" s="80"/>
      <c r="GD65" s="111"/>
      <c r="GE65" s="111"/>
      <c r="GF65" s="111"/>
      <c r="GG65" s="111"/>
      <c r="GH65" s="111"/>
      <c r="GI65" s="111"/>
      <c r="GJ65" s="64" t="s">
        <v>6699</v>
      </c>
      <c r="GK65" s="64" t="s">
        <v>6699</v>
      </c>
      <c r="GL65" s="64" t="s">
        <v>6966</v>
      </c>
      <c r="GM65" s="64" t="s">
        <v>6699</v>
      </c>
      <c r="GN65" s="64" t="s">
        <v>6318</v>
      </c>
      <c r="GO65" s="64"/>
      <c r="GP65" s="64" t="s">
        <v>6315</v>
      </c>
      <c r="GQ65" s="64" t="s">
        <v>6323</v>
      </c>
      <c r="GR65" s="64"/>
      <c r="GS65" s="68"/>
      <c r="GT65" s="68"/>
      <c r="GU65" s="68"/>
      <c r="GV65" s="143"/>
      <c r="GW65" s="68"/>
      <c r="GX65" s="68"/>
      <c r="GY65" s="77" t="s">
        <v>6976</v>
      </c>
      <c r="GZ65" s="77"/>
      <c r="HA65" s="77"/>
      <c r="HB65" s="111"/>
      <c r="HC65" s="111"/>
      <c r="HD65" s="111"/>
      <c r="HE65" s="147" t="s">
        <v>6838</v>
      </c>
      <c r="HF65" s="147" t="s">
        <v>6909</v>
      </c>
      <c r="HG65" s="68"/>
      <c r="HH65" s="77" t="s">
        <v>6870</v>
      </c>
      <c r="HI65" s="68"/>
      <c r="HJ65" s="68"/>
      <c r="HK65" s="333" t="s">
        <v>6977</v>
      </c>
      <c r="HL65" s="68" t="s">
        <v>6422</v>
      </c>
      <c r="HM65" s="68"/>
      <c r="HN65" s="77" t="s">
        <v>6317</v>
      </c>
      <c r="HO65" s="64" t="s">
        <v>6978</v>
      </c>
      <c r="HP65" s="64" t="s">
        <v>6979</v>
      </c>
      <c r="HQ65" s="70" t="s">
        <v>6318</v>
      </c>
      <c r="HR65" s="68" t="s">
        <v>6699</v>
      </c>
      <c r="HS65" s="329" t="s">
        <v>6980</v>
      </c>
      <c r="HT65" s="260"/>
      <c r="HU65" s="260"/>
      <c r="HV65" s="260"/>
      <c r="HW65" s="260"/>
      <c r="HX65" s="260"/>
      <c r="HY65" s="260"/>
      <c r="HZ65" s="404" t="s">
        <v>6981</v>
      </c>
      <c r="IA65" s="260"/>
      <c r="IB65" s="274"/>
      <c r="IC65" s="411" t="s">
        <v>6982</v>
      </c>
      <c r="ID65" s="198" t="s">
        <v>6605</v>
      </c>
      <c r="IE65" s="268"/>
      <c r="IF65" s="197" t="s">
        <v>6983</v>
      </c>
      <c r="IG65" s="645" t="s">
        <v>6984</v>
      </c>
      <c r="IH65" s="268"/>
      <c r="II65" s="410" t="s">
        <v>6520</v>
      </c>
      <c r="IJ65" s="199" t="s">
        <v>6985</v>
      </c>
      <c r="IK65" s="268"/>
      <c r="IL65" s="234" t="s">
        <v>6540</v>
      </c>
      <c r="IM65" s="434" t="s">
        <v>6986</v>
      </c>
      <c r="IN65" s="268"/>
      <c r="IO65" s="288"/>
      <c r="IP65" s="260"/>
      <c r="IQ65" s="296"/>
      <c r="IR65" s="288"/>
      <c r="IS65" s="260"/>
      <c r="IT65" s="296"/>
      <c r="IU65" s="197" t="s">
        <v>6434</v>
      </c>
      <c r="IV65" s="454"/>
      <c r="IW65" s="470"/>
      <c r="IX65" s="201" t="s">
        <v>6772</v>
      </c>
      <c r="IY65" s="198" t="s">
        <v>6543</v>
      </c>
      <c r="IZ65" s="268"/>
      <c r="JA65" s="197" t="s">
        <v>6652</v>
      </c>
      <c r="JB65" s="198"/>
      <c r="JC65" s="268"/>
      <c r="JD65" s="197" t="s">
        <v>6444</v>
      </c>
      <c r="JE65" s="198" t="s">
        <v>6878</v>
      </c>
      <c r="JF65" s="268"/>
      <c r="JG65" s="197" t="s">
        <v>6776</v>
      </c>
      <c r="JH65" s="64" t="s">
        <v>6937</v>
      </c>
      <c r="JI65" s="268"/>
      <c r="JJ65" s="288"/>
      <c r="JK65" s="260"/>
      <c r="JL65" s="296"/>
      <c r="JM65" s="288"/>
      <c r="JN65" s="260"/>
      <c r="JO65" s="296"/>
      <c r="JP65" s="492" t="s">
        <v>6318</v>
      </c>
      <c r="JQ65" s="388" t="s">
        <v>6318</v>
      </c>
      <c r="JR65" s="489"/>
      <c r="JS65" s="664" t="s">
        <v>6937</v>
      </c>
      <c r="JT65" s="491" t="s">
        <v>6778</v>
      </c>
      <c r="JU65" s="79"/>
      <c r="JV65" s="525" t="s">
        <v>6318</v>
      </c>
      <c r="JW65" s="64" t="s">
        <v>6318</v>
      </c>
      <c r="JX65" s="64"/>
      <c r="JY65" s="515" t="s">
        <v>6340</v>
      </c>
      <c r="JZ65" s="64" t="s">
        <v>6340</v>
      </c>
      <c r="KA65" s="64"/>
      <c r="KB65" s="525" t="s">
        <v>6317</v>
      </c>
      <c r="KC65" s="64" t="s">
        <v>6937</v>
      </c>
      <c r="KD65" s="64"/>
      <c r="KE65" s="109"/>
      <c r="KF65" s="109"/>
      <c r="KG65" s="109"/>
      <c r="KH65" s="109"/>
      <c r="KI65" s="109"/>
      <c r="KJ65" s="109"/>
      <c r="KK65" s="64" t="s">
        <v>6331</v>
      </c>
      <c r="KL65" s="64"/>
      <c r="KM65" s="525"/>
      <c r="KN65" s="64" t="s">
        <v>6331</v>
      </c>
      <c r="KO65" s="64" t="s">
        <v>6331</v>
      </c>
      <c r="KP65" s="64"/>
      <c r="KQ65" s="77" t="s">
        <v>6317</v>
      </c>
      <c r="KR65" s="64" t="s">
        <v>6317</v>
      </c>
      <c r="KS65" s="64"/>
      <c r="KT65" s="64" t="s">
        <v>6331</v>
      </c>
      <c r="KU65" s="64"/>
      <c r="KV65" s="64"/>
      <c r="KW65" s="64" t="s">
        <v>6331</v>
      </c>
      <c r="KX65" s="64"/>
      <c r="KY65" s="64"/>
      <c r="KZ65" s="109"/>
      <c r="LA65" s="109"/>
      <c r="LB65" s="109"/>
      <c r="LC65" s="109"/>
      <c r="LD65" s="109"/>
      <c r="LE65" s="109"/>
      <c r="LF65" s="64" t="s">
        <v>6331</v>
      </c>
      <c r="LG65" s="525"/>
      <c r="LH65" s="64"/>
      <c r="LI65" s="64" t="s">
        <v>6331</v>
      </c>
      <c r="LJ65" s="64"/>
      <c r="LK65" s="64"/>
      <c r="LL65" s="64" t="s">
        <v>6331</v>
      </c>
      <c r="LM65" s="64"/>
      <c r="LN65" s="64"/>
      <c r="LO65" s="77" t="s">
        <v>6340</v>
      </c>
      <c r="LP65" s="77"/>
      <c r="LQ65" s="64"/>
      <c r="LR65" s="77" t="s">
        <v>6317</v>
      </c>
      <c r="LS65" s="64"/>
      <c r="LT65" s="64"/>
      <c r="LU65" s="109"/>
      <c r="LV65" s="109"/>
      <c r="LW65" s="109"/>
      <c r="LX65" s="109"/>
      <c r="LY65" s="109"/>
      <c r="LZ65" s="109"/>
      <c r="MA65" s="64" t="s">
        <v>6331</v>
      </c>
      <c r="MB65" s="525"/>
      <c r="MC65" s="64"/>
      <c r="ME65" s="587" t="s">
        <v>6629</v>
      </c>
      <c r="MF65" s="65"/>
      <c r="MG65" s="513"/>
      <c r="MH65" s="344"/>
      <c r="MI65" s="146" t="s">
        <v>6987</v>
      </c>
      <c r="MJ65" s="68"/>
      <c r="MK65" s="143"/>
      <c r="ML65" s="70" t="s">
        <v>6988</v>
      </c>
      <c r="MM65" s="68"/>
      <c r="MN65" s="143"/>
      <c r="MO65" s="70"/>
      <c r="MP65" s="68"/>
      <c r="MQ65" s="70"/>
      <c r="MR65" s="70" t="s">
        <v>6989</v>
      </c>
      <c r="MS65" s="70"/>
      <c r="MT65" s="111"/>
      <c r="MU65" s="111"/>
      <c r="MV65" s="111"/>
      <c r="MW65" s="111"/>
      <c r="MX65" s="111"/>
      <c r="MY65" s="200"/>
      <c r="MZ65" s="201" t="s">
        <v>6479</v>
      </c>
      <c r="NA65" s="198" t="s">
        <v>6331</v>
      </c>
      <c r="NB65" s="603"/>
      <c r="NC65" s="234"/>
      <c r="ND65" s="198" t="s">
        <v>6990</v>
      </c>
      <c r="NE65" s="198"/>
      <c r="NF65" s="235"/>
      <c r="NG65" s="198"/>
      <c r="NH65" s="198"/>
      <c r="NI65" s="235"/>
      <c r="NJ65" s="198"/>
      <c r="NK65" s="198"/>
      <c r="NL65" s="198" t="s">
        <v>6480</v>
      </c>
      <c r="NM65" s="198" t="s">
        <v>6991</v>
      </c>
      <c r="NN65" s="198"/>
      <c r="NO65" s="260"/>
      <c r="NP65" s="260"/>
      <c r="NQ65" s="260"/>
      <c r="NR65" s="260"/>
      <c r="NS65" s="260"/>
      <c r="NT65" s="260"/>
      <c r="NU65" s="235" t="s">
        <v>6992</v>
      </c>
      <c r="NV65" s="454"/>
      <c r="NW65" s="470"/>
    </row>
    <row r="66" spans="1:387" ht="28.8">
      <c r="A66" s="1638"/>
      <c r="B66" s="1651"/>
      <c r="C66" s="1666"/>
      <c r="D66" s="68"/>
      <c r="E66" s="68"/>
      <c r="F66" s="68"/>
      <c r="G66" s="68"/>
      <c r="H66" s="68"/>
      <c r="I66" s="68"/>
      <c r="J66" s="111"/>
      <c r="K66" s="110"/>
      <c r="L66" s="111"/>
      <c r="M66" s="111"/>
      <c r="N66" s="111"/>
      <c r="O66" s="111"/>
      <c r="P66" s="344"/>
      <c r="Q66" s="68"/>
      <c r="R66" s="68"/>
      <c r="S66" s="344" t="s">
        <v>6993</v>
      </c>
      <c r="T66" s="68"/>
      <c r="U66" s="68"/>
      <c r="V66" s="344" t="s">
        <v>6994</v>
      </c>
      <c r="W66" s="66" t="s">
        <v>6994</v>
      </c>
      <c r="X66" s="68"/>
      <c r="Y66" s="68" t="s">
        <v>6937</v>
      </c>
      <c r="Z66" s="68"/>
      <c r="AA66" s="68"/>
      <c r="AB66" s="147" t="s">
        <v>6358</v>
      </c>
      <c r="AC66" s="67" t="s">
        <v>6358</v>
      </c>
      <c r="AD66" s="68"/>
      <c r="AE66" s="111"/>
      <c r="AF66" s="111"/>
      <c r="AG66" s="111"/>
      <c r="AH66" s="111"/>
      <c r="AI66" s="111"/>
      <c r="AJ66" s="111"/>
      <c r="AK66" s="68"/>
      <c r="AL66" s="67" t="s">
        <v>6995</v>
      </c>
      <c r="AM66" s="68"/>
      <c r="AN66" s="143" t="s">
        <v>6730</v>
      </c>
      <c r="AO66" s="159"/>
      <c r="AP66" s="68"/>
      <c r="AQ66" s="143" t="s">
        <v>6507</v>
      </c>
      <c r="AR66" s="68"/>
      <c r="AS66" s="68"/>
      <c r="AT66" s="148" t="s">
        <v>6996</v>
      </c>
      <c r="AU66" s="68"/>
      <c r="AV66" s="68"/>
      <c r="AW66" s="148" t="s">
        <v>6324</v>
      </c>
      <c r="AX66" s="68"/>
      <c r="AY66" s="68"/>
      <c r="AZ66" s="111"/>
      <c r="BA66" s="111"/>
      <c r="BB66" s="111"/>
      <c r="BC66" s="111"/>
      <c r="BD66" s="111"/>
      <c r="BE66" s="111"/>
      <c r="BF66" s="64" t="s">
        <v>6937</v>
      </c>
      <c r="BG66" s="67" t="s">
        <v>6937</v>
      </c>
      <c r="BH66" s="68"/>
      <c r="BI66" s="187"/>
      <c r="BJ66" s="176"/>
      <c r="BK66" s="176"/>
      <c r="BL66" s="143"/>
      <c r="BM66" s="68"/>
      <c r="BN66" s="68"/>
      <c r="BO66" s="68"/>
      <c r="BP66" s="148"/>
      <c r="BQ66" s="68"/>
      <c r="BR66" s="68"/>
      <c r="BS66" s="68"/>
      <c r="BT66" s="148"/>
      <c r="BU66" s="68"/>
      <c r="BV66" s="68"/>
      <c r="BW66" s="68"/>
      <c r="BX66" s="111"/>
      <c r="BY66" s="111"/>
      <c r="BZ66" s="111"/>
      <c r="CA66" s="111"/>
      <c r="CB66" s="111"/>
      <c r="CC66" s="200"/>
      <c r="CD66" s="234"/>
      <c r="CE66" s="198"/>
      <c r="CF66" s="198"/>
      <c r="CG66" s="235"/>
      <c r="CH66" s="198"/>
      <c r="CI66" s="198"/>
      <c r="CJ66" s="198"/>
      <c r="CK66" s="235"/>
      <c r="CL66" s="198"/>
      <c r="CM66" s="198"/>
      <c r="CN66" s="198"/>
      <c r="CO66" s="235"/>
      <c r="CP66" s="198"/>
      <c r="CQ66" s="89"/>
      <c r="CR66" s="198"/>
      <c r="CS66" s="235"/>
      <c r="CT66" s="198"/>
      <c r="CU66" s="198"/>
      <c r="CV66" s="220" t="s">
        <v>6937</v>
      </c>
      <c r="CW66" s="288"/>
      <c r="CX66" s="260"/>
      <c r="CY66" s="260"/>
      <c r="CZ66" s="260"/>
      <c r="DA66" s="260"/>
      <c r="DB66" s="296"/>
      <c r="DC66" s="625"/>
      <c r="DD66" s="67" t="s">
        <v>6697</v>
      </c>
      <c r="DE66" s="68" t="s">
        <v>6937</v>
      </c>
      <c r="DF66" s="148"/>
      <c r="DG66" s="68"/>
      <c r="DH66" s="67" t="s">
        <v>6511</v>
      </c>
      <c r="DI66" s="68"/>
      <c r="DJ66" s="148"/>
      <c r="DK66" s="68"/>
      <c r="DL66" s="68"/>
      <c r="DM66" s="148"/>
      <c r="DN66" s="68"/>
      <c r="DO66" s="68"/>
      <c r="DP66" s="148"/>
      <c r="DQ66" s="68"/>
      <c r="DR66" s="68"/>
      <c r="DS66" s="111"/>
      <c r="DT66" s="111"/>
      <c r="DU66" s="111"/>
      <c r="DV66" s="111"/>
      <c r="DW66" s="111"/>
      <c r="DX66" s="111"/>
      <c r="DY66" s="147" t="s">
        <v>6389</v>
      </c>
      <c r="DZ66" s="67" t="s">
        <v>6389</v>
      </c>
      <c r="EA66" s="68"/>
      <c r="EB66" s="111"/>
      <c r="EC66" s="111"/>
      <c r="ED66" s="111"/>
      <c r="EE66" s="76" t="s">
        <v>6486</v>
      </c>
      <c r="EF66" s="329"/>
      <c r="EG66" s="638"/>
      <c r="EH66" s="198" t="s">
        <v>6814</v>
      </c>
      <c r="EI66" s="166" t="s">
        <v>6855</v>
      </c>
      <c r="EJ66" s="198" t="s">
        <v>6937</v>
      </c>
      <c r="EK66" s="198"/>
      <c r="EL66" s="198"/>
      <c r="EM66" s="198"/>
      <c r="EN66" s="260"/>
      <c r="EO66" s="260"/>
      <c r="EP66" s="260"/>
      <c r="EQ66" s="260"/>
      <c r="ER66" s="260"/>
      <c r="ES66" s="260"/>
      <c r="ET66" s="198" t="s">
        <v>6317</v>
      </c>
      <c r="EU66" s="198"/>
      <c r="EV66" s="198"/>
      <c r="EW66" s="260"/>
      <c r="EX66" s="260"/>
      <c r="EY66" s="260"/>
      <c r="EZ66" s="198"/>
      <c r="FA66" s="166" t="s">
        <v>6997</v>
      </c>
      <c r="FB66" s="198"/>
      <c r="FC66" s="198"/>
      <c r="FD66" s="198"/>
      <c r="FE66" s="198" t="s">
        <v>6937</v>
      </c>
      <c r="FF66" s="198"/>
      <c r="FG66" s="198"/>
      <c r="FH66" s="268" t="s">
        <v>6937</v>
      </c>
      <c r="FI66" s="127"/>
      <c r="FJ66" s="111"/>
      <c r="FK66" s="111"/>
      <c r="FL66" s="111"/>
      <c r="FM66" s="111"/>
      <c r="FN66" s="111"/>
      <c r="FO66" s="64" t="s">
        <v>6317</v>
      </c>
      <c r="FP66" s="68" t="s">
        <v>6750</v>
      </c>
      <c r="FQ66" s="68"/>
      <c r="FR66" s="68"/>
      <c r="FS66" s="68" t="s">
        <v>6937</v>
      </c>
      <c r="FT66" s="70"/>
      <c r="FU66" s="68"/>
      <c r="FV66" s="68" t="s">
        <v>6937</v>
      </c>
      <c r="FW66" s="70"/>
      <c r="FX66" s="65"/>
      <c r="FY66" s="68" t="s">
        <v>6998</v>
      </c>
      <c r="FZ66" s="70" t="s">
        <v>6937</v>
      </c>
      <c r="GA66" s="328"/>
      <c r="GB66" s="356" t="s">
        <v>6999</v>
      </c>
      <c r="GC66" s="69"/>
      <c r="GD66" s="111"/>
      <c r="GE66" s="111"/>
      <c r="GF66" s="111"/>
      <c r="GG66" s="111"/>
      <c r="GH66" s="111"/>
      <c r="GI66" s="111"/>
      <c r="GJ66" s="68" t="s">
        <v>7000</v>
      </c>
      <c r="GK66" s="68" t="s">
        <v>7000</v>
      </c>
      <c r="GL66" s="68" t="s">
        <v>6969</v>
      </c>
      <c r="GM66" s="68" t="s">
        <v>6934</v>
      </c>
      <c r="GN66" s="68" t="s">
        <v>6595</v>
      </c>
      <c r="GO66" s="68"/>
      <c r="GP66" s="68" t="s">
        <v>6337</v>
      </c>
      <c r="GQ66" s="68" t="s">
        <v>6337</v>
      </c>
      <c r="GR66" s="68"/>
      <c r="GS66" s="70"/>
      <c r="GT66" s="68"/>
      <c r="GU66" s="70"/>
      <c r="GV66" s="77"/>
      <c r="GW66" s="70"/>
      <c r="GX66" s="70"/>
      <c r="GY66" s="87"/>
      <c r="GZ66" s="87"/>
      <c r="HA66" s="87"/>
      <c r="HB66" s="110"/>
      <c r="HC66" s="110"/>
      <c r="HD66" s="110"/>
      <c r="HE66" s="332" t="s">
        <v>6699</v>
      </c>
      <c r="HF66" s="68" t="s">
        <v>7001</v>
      </c>
      <c r="HG66" s="70"/>
      <c r="HH66" s="77" t="s">
        <v>6317</v>
      </c>
      <c r="HI66" s="152"/>
      <c r="HJ66" s="70"/>
      <c r="HK66" s="64"/>
      <c r="HL66" s="68" t="s">
        <v>6937</v>
      </c>
      <c r="HM66" s="70"/>
      <c r="HN66" s="64" t="s">
        <v>6492</v>
      </c>
      <c r="HO66" s="68" t="s">
        <v>7002</v>
      </c>
      <c r="HP66" s="384" t="s">
        <v>7003</v>
      </c>
      <c r="HQ66" s="344" t="s">
        <v>6416</v>
      </c>
      <c r="HR66" s="68" t="s">
        <v>7004</v>
      </c>
      <c r="HS66" s="218" t="s">
        <v>7005</v>
      </c>
      <c r="HT66" s="260"/>
      <c r="HU66" s="260"/>
      <c r="HV66" s="260"/>
      <c r="HW66" s="260"/>
      <c r="HX66" s="260"/>
      <c r="HY66" s="260"/>
      <c r="HZ66" s="260"/>
      <c r="IA66" s="260"/>
      <c r="IB66" s="274"/>
      <c r="IC66" s="201"/>
      <c r="ID66" s="198" t="s">
        <v>6430</v>
      </c>
      <c r="IE66" s="268"/>
      <c r="IF66" s="201"/>
      <c r="IG66" s="645" t="s">
        <v>6318</v>
      </c>
      <c r="IH66" s="268"/>
      <c r="II66" s="432" t="s">
        <v>6318</v>
      </c>
      <c r="IJ66" s="199" t="s">
        <v>7006</v>
      </c>
      <c r="IK66" s="268"/>
      <c r="IL66" s="201"/>
      <c r="IM66" s="434" t="s">
        <v>6317</v>
      </c>
      <c r="IN66" s="268"/>
      <c r="IO66" s="288"/>
      <c r="IP66" s="260"/>
      <c r="IQ66" s="296"/>
      <c r="IR66" s="288"/>
      <c r="IS66" s="260"/>
      <c r="IT66" s="296"/>
      <c r="IU66" s="201" t="s">
        <v>6771</v>
      </c>
      <c r="IV66" s="454"/>
      <c r="IW66" s="470"/>
      <c r="IX66" s="201"/>
      <c r="IY66" s="198"/>
      <c r="IZ66" s="268"/>
      <c r="JA66" s="201"/>
      <c r="JB66" s="198"/>
      <c r="JC66" s="268"/>
      <c r="JD66" s="432" t="s">
        <v>6937</v>
      </c>
      <c r="JE66" s="198" t="s">
        <v>6317</v>
      </c>
      <c r="JF66" s="268"/>
      <c r="JG66" s="432" t="s">
        <v>6937</v>
      </c>
      <c r="JH66" s="65" t="s">
        <v>6606</v>
      </c>
      <c r="JI66" s="268"/>
      <c r="JJ66" s="288"/>
      <c r="JK66" s="260"/>
      <c r="JL66" s="296"/>
      <c r="JM66" s="288"/>
      <c r="JN66" s="260"/>
      <c r="JO66" s="296"/>
      <c r="JP66" s="665" t="s">
        <v>7007</v>
      </c>
      <c r="JQ66" s="388" t="s">
        <v>7007</v>
      </c>
      <c r="JR66" s="489"/>
      <c r="JS66" s="666" t="s">
        <v>7008</v>
      </c>
      <c r="JT66" s="491"/>
      <c r="JU66" s="80"/>
      <c r="JV66" s="492" t="s">
        <v>6881</v>
      </c>
      <c r="JW66" s="65" t="s">
        <v>6881</v>
      </c>
      <c r="JX66" s="68"/>
      <c r="JY66" s="529" t="s">
        <v>6432</v>
      </c>
      <c r="JZ66" s="65" t="s">
        <v>6432</v>
      </c>
      <c r="KA66" s="68"/>
      <c r="KB66" s="64" t="s">
        <v>6781</v>
      </c>
      <c r="KC66" s="65" t="s">
        <v>6614</v>
      </c>
      <c r="KD66" s="68"/>
      <c r="KE66" s="111"/>
      <c r="KF66" s="111"/>
      <c r="KG66" s="111"/>
      <c r="KH66" s="111"/>
      <c r="KI66" s="111"/>
      <c r="KJ66" s="111"/>
      <c r="KK66" s="148"/>
      <c r="KL66" s="68"/>
      <c r="KM66" s="503"/>
      <c r="KN66" s="148"/>
      <c r="KO66" s="68"/>
      <c r="KP66" s="68"/>
      <c r="KQ66" s="492" t="s">
        <v>7009</v>
      </c>
      <c r="KR66" s="65" t="s">
        <v>6885</v>
      </c>
      <c r="KS66" s="68"/>
      <c r="KT66" s="64"/>
      <c r="KU66" s="68"/>
      <c r="KV66" s="68"/>
      <c r="KW66" s="64"/>
      <c r="KX66" s="68"/>
      <c r="KY66" s="68"/>
      <c r="KZ66" s="111"/>
      <c r="LA66" s="111"/>
      <c r="LB66" s="111"/>
      <c r="LC66" s="111"/>
      <c r="LD66" s="111"/>
      <c r="LE66" s="111"/>
      <c r="LF66" s="148"/>
      <c r="LG66" s="503"/>
      <c r="LH66" s="68"/>
      <c r="LI66" s="148"/>
      <c r="LJ66" s="68"/>
      <c r="LK66" s="68"/>
      <c r="LL66" s="148"/>
      <c r="LM66" s="68"/>
      <c r="LN66" s="68"/>
      <c r="LO66" s="152" t="s">
        <v>6464</v>
      </c>
      <c r="LP66" s="546" t="s">
        <v>6465</v>
      </c>
      <c r="LQ66" s="68"/>
      <c r="LR66" s="148" t="s">
        <v>6466</v>
      </c>
      <c r="LS66" s="68"/>
      <c r="LT66" s="68"/>
      <c r="LU66" s="111"/>
      <c r="LV66" s="111"/>
      <c r="LW66" s="111"/>
      <c r="LX66" s="111"/>
      <c r="LY66" s="111"/>
      <c r="LZ66" s="111"/>
      <c r="MA66" s="503"/>
      <c r="MB66" s="503"/>
      <c r="MC66" s="68"/>
      <c r="ME66" s="691"/>
      <c r="MF66" s="68"/>
      <c r="MG66" s="513"/>
      <c r="MH66" s="70"/>
      <c r="MI66" s="70"/>
      <c r="MJ66" s="70"/>
      <c r="MK66" s="70"/>
      <c r="ML66" s="70"/>
      <c r="MM66" s="70"/>
      <c r="MN66" s="70"/>
      <c r="MO66" s="70"/>
      <c r="MP66" s="70"/>
      <c r="MQ66" s="70"/>
      <c r="MR66" s="70"/>
      <c r="MS66" s="70"/>
      <c r="MT66" s="111"/>
      <c r="MU66" s="111"/>
      <c r="MV66" s="111"/>
      <c r="MW66" s="109"/>
      <c r="MX66" s="111"/>
      <c r="MY66" s="128"/>
      <c r="MZ66" s="432"/>
      <c r="NA66" s="454"/>
      <c r="NB66" s="603"/>
      <c r="NC66" s="201"/>
      <c r="ND66" s="198"/>
      <c r="NE66" s="198"/>
      <c r="NF66" s="198"/>
      <c r="NG66" s="198"/>
      <c r="NH66" s="198"/>
      <c r="NI66" s="198"/>
      <c r="NJ66" s="198"/>
      <c r="NK66" s="198"/>
      <c r="NL66" s="235" t="s">
        <v>7010</v>
      </c>
      <c r="NM66" s="198" t="s">
        <v>6718</v>
      </c>
      <c r="NN66" s="198"/>
      <c r="NO66" s="260"/>
      <c r="NP66" s="260"/>
      <c r="NQ66" s="260"/>
      <c r="NR66" s="260"/>
      <c r="NS66" s="260"/>
      <c r="NT66" s="260"/>
      <c r="NU66" s="454"/>
      <c r="NV66" s="454"/>
      <c r="NW66" s="470"/>
    </row>
    <row r="67" spans="1:387" ht="28.8">
      <c r="A67" s="1638"/>
      <c r="B67" s="1651"/>
      <c r="C67" s="1666"/>
      <c r="D67" s="65"/>
      <c r="E67" s="68"/>
      <c r="F67" s="70"/>
      <c r="G67" s="65"/>
      <c r="H67" s="68"/>
      <c r="I67" s="70"/>
      <c r="J67" s="112"/>
      <c r="K67" s="111"/>
      <c r="L67" s="110"/>
      <c r="M67" s="111"/>
      <c r="N67" s="111"/>
      <c r="O67" s="111"/>
      <c r="P67" s="65"/>
      <c r="Q67" s="68"/>
      <c r="R67" s="70"/>
      <c r="S67" s="65"/>
      <c r="T67" s="68"/>
      <c r="U67" s="70"/>
      <c r="V67" s="65"/>
      <c r="W67" s="68"/>
      <c r="X67" s="70"/>
      <c r="Y67" s="65" t="s">
        <v>7011</v>
      </c>
      <c r="Z67" s="68"/>
      <c r="AA67" s="70"/>
      <c r="AB67" s="65"/>
      <c r="AC67" s="68"/>
      <c r="AD67" s="70"/>
      <c r="AE67" s="111"/>
      <c r="AF67" s="111"/>
      <c r="AG67" s="111"/>
      <c r="AH67" s="111"/>
      <c r="AI67" s="111"/>
      <c r="AJ67" s="111"/>
      <c r="AK67" s="68"/>
      <c r="AL67" s="66" t="s">
        <v>6329</v>
      </c>
      <c r="AM67" s="68"/>
      <c r="AN67" s="76" t="s">
        <v>6797</v>
      </c>
      <c r="AO67" s="159"/>
      <c r="AP67" s="70"/>
      <c r="AQ67" s="65"/>
      <c r="AR67" s="68"/>
      <c r="AS67" s="70"/>
      <c r="AT67" s="65"/>
      <c r="AU67" s="68"/>
      <c r="AV67" s="70"/>
      <c r="AW67" s="65"/>
      <c r="AX67" s="68"/>
      <c r="AY67" s="70"/>
      <c r="AZ67" s="111"/>
      <c r="BA67" s="111"/>
      <c r="BB67" s="111"/>
      <c r="BC67" s="111"/>
      <c r="BD67" s="111"/>
      <c r="BE67" s="111"/>
      <c r="BF67" s="68" t="s">
        <v>6324</v>
      </c>
      <c r="BG67" s="67" t="s">
        <v>6369</v>
      </c>
      <c r="BH67" s="68"/>
      <c r="BI67" s="189"/>
      <c r="BJ67" s="176"/>
      <c r="BK67" s="177"/>
      <c r="BL67" s="65"/>
      <c r="BM67" s="68"/>
      <c r="BN67" s="70"/>
      <c r="BO67" s="70"/>
      <c r="BP67" s="65"/>
      <c r="BQ67" s="68"/>
      <c r="BR67" s="70"/>
      <c r="BS67" s="70"/>
      <c r="BT67" s="65"/>
      <c r="BU67" s="68"/>
      <c r="BV67" s="70"/>
      <c r="BW67" s="70"/>
      <c r="BX67" s="111"/>
      <c r="BY67" s="111"/>
      <c r="BZ67" s="111"/>
      <c r="CA67" s="111"/>
      <c r="CB67" s="111"/>
      <c r="CC67" s="200"/>
      <c r="CD67" s="201"/>
      <c r="CE67" s="198"/>
      <c r="CF67" s="198"/>
      <c r="CG67" s="198"/>
      <c r="CH67" s="198"/>
      <c r="CI67" s="198"/>
      <c r="CJ67" s="198"/>
      <c r="CK67" s="198"/>
      <c r="CL67" s="198"/>
      <c r="CM67" s="198"/>
      <c r="CN67" s="198"/>
      <c r="CO67" s="198"/>
      <c r="CP67" s="198"/>
      <c r="CQ67" s="198"/>
      <c r="CR67" s="198"/>
      <c r="CS67" s="198"/>
      <c r="CT67" s="198"/>
      <c r="CU67" s="198"/>
      <c r="CV67" s="220"/>
      <c r="CW67" s="288"/>
      <c r="CX67" s="260"/>
      <c r="CY67" s="260"/>
      <c r="CZ67" s="260"/>
      <c r="DA67" s="260"/>
      <c r="DB67" s="296"/>
      <c r="DC67" s="297"/>
      <c r="DD67" s="68"/>
      <c r="DE67" s="68"/>
      <c r="DF67" s="65"/>
      <c r="DG67" s="68"/>
      <c r="DH67" s="70"/>
      <c r="DI67" s="70"/>
      <c r="DJ67" s="65"/>
      <c r="DK67" s="68"/>
      <c r="DL67" s="70"/>
      <c r="DM67" s="65"/>
      <c r="DN67" s="68"/>
      <c r="DO67" s="70"/>
      <c r="DP67" s="65"/>
      <c r="DQ67" s="68"/>
      <c r="DR67" s="70"/>
      <c r="DS67" s="111"/>
      <c r="DT67" s="111"/>
      <c r="DU67" s="111"/>
      <c r="DV67" s="111"/>
      <c r="DW67" s="111"/>
      <c r="DX67" s="111"/>
      <c r="DY67" s="64" t="s">
        <v>6315</v>
      </c>
      <c r="DZ67" s="68"/>
      <c r="EA67" s="68"/>
      <c r="EB67" s="111"/>
      <c r="EC67" s="111"/>
      <c r="ED67" s="110"/>
      <c r="EE67" s="65"/>
      <c r="EF67" s="329"/>
      <c r="EG67" s="639"/>
      <c r="EH67" s="199" t="s">
        <v>6318</v>
      </c>
      <c r="EI67" s="198"/>
      <c r="EJ67" s="198"/>
      <c r="EK67" s="198"/>
      <c r="EL67" s="198"/>
      <c r="EM67" s="198"/>
      <c r="EN67" s="260"/>
      <c r="EO67" s="260"/>
      <c r="EP67" s="260"/>
      <c r="EQ67" s="260"/>
      <c r="ER67" s="260"/>
      <c r="ES67" s="260"/>
      <c r="ET67" s="199" t="s">
        <v>6746</v>
      </c>
      <c r="EU67" s="198"/>
      <c r="EV67" s="198"/>
      <c r="EW67" s="260"/>
      <c r="EX67" s="260"/>
      <c r="EY67" s="260"/>
      <c r="EZ67" s="198"/>
      <c r="FA67" s="166" t="s">
        <v>6743</v>
      </c>
      <c r="FB67" s="198"/>
      <c r="FC67" s="235"/>
      <c r="FD67" s="198"/>
      <c r="FE67" s="198"/>
      <c r="FF67" s="199"/>
      <c r="FG67" s="198"/>
      <c r="FH67" s="268"/>
      <c r="FI67" s="124"/>
      <c r="FJ67" s="110"/>
      <c r="FK67" s="110"/>
      <c r="FL67" s="110"/>
      <c r="FM67" s="110"/>
      <c r="FN67" s="110"/>
      <c r="FO67" s="147" t="s">
        <v>6402</v>
      </c>
      <c r="FP67" s="70"/>
      <c r="FQ67" s="70"/>
      <c r="FR67" s="70"/>
      <c r="FS67" s="70" t="s">
        <v>6668</v>
      </c>
      <c r="FT67" s="70"/>
      <c r="FU67" s="70"/>
      <c r="FV67" s="70" t="s">
        <v>7012</v>
      </c>
      <c r="FW67" s="70"/>
      <c r="FX67" s="76"/>
      <c r="FY67" s="70"/>
      <c r="FZ67" s="70"/>
      <c r="GA67" s="358"/>
      <c r="GB67" s="356"/>
      <c r="GC67" s="69"/>
      <c r="GD67" s="110"/>
      <c r="GE67" s="110"/>
      <c r="GF67" s="110"/>
      <c r="GG67" s="110"/>
      <c r="GH67" s="110"/>
      <c r="GI67" s="110"/>
      <c r="GJ67" s="65" t="s">
        <v>6937</v>
      </c>
      <c r="GK67" s="68"/>
      <c r="GL67" s="70" t="s">
        <v>6937</v>
      </c>
      <c r="GM67" s="68"/>
      <c r="GN67" s="68"/>
      <c r="GO67" s="70"/>
      <c r="GP67" s="64" t="s">
        <v>6415</v>
      </c>
      <c r="GQ67" s="68" t="s">
        <v>6415</v>
      </c>
      <c r="GR67" s="70"/>
      <c r="GS67" s="147"/>
      <c r="GT67" s="70"/>
      <c r="GU67" s="70"/>
      <c r="GV67" s="76"/>
      <c r="GW67" s="70"/>
      <c r="GX67" s="70"/>
      <c r="GY67" s="87"/>
      <c r="GZ67" s="87"/>
      <c r="HA67" s="87"/>
      <c r="HB67" s="110"/>
      <c r="HC67" s="110"/>
      <c r="HD67" s="110"/>
      <c r="HE67" s="333" t="s">
        <v>7013</v>
      </c>
      <c r="HF67" s="70" t="s">
        <v>7014</v>
      </c>
      <c r="HG67" s="70"/>
      <c r="HH67" s="77" t="s">
        <v>6422</v>
      </c>
      <c r="HI67" s="77"/>
      <c r="HJ67" s="70"/>
      <c r="HK67" s="70"/>
      <c r="HL67" s="70" t="s">
        <v>7015</v>
      </c>
      <c r="HM67" s="70"/>
      <c r="HN67" s="393" t="s">
        <v>6699</v>
      </c>
      <c r="HO67" s="68"/>
      <c r="HP67" s="70"/>
      <c r="HQ67" s="393" t="s">
        <v>6699</v>
      </c>
      <c r="HR67" s="70" t="s">
        <v>6937</v>
      </c>
      <c r="HS67" s="656" t="s">
        <v>7016</v>
      </c>
      <c r="HT67" s="260"/>
      <c r="HU67" s="260"/>
      <c r="HV67" s="260"/>
      <c r="HW67" s="260"/>
      <c r="HX67" s="260"/>
      <c r="HY67" s="260"/>
      <c r="HZ67" s="260"/>
      <c r="IA67" s="260"/>
      <c r="IB67" s="274"/>
      <c r="IC67" s="657"/>
      <c r="ID67" s="198"/>
      <c r="IE67" s="268"/>
      <c r="IF67" s="234"/>
      <c r="IG67" s="645" t="s">
        <v>6521</v>
      </c>
      <c r="IH67" s="268"/>
      <c r="II67" s="197" t="s">
        <v>6538</v>
      </c>
      <c r="IJ67" s="199" t="s">
        <v>7017</v>
      </c>
      <c r="IK67" s="268"/>
      <c r="IL67" s="201"/>
      <c r="IM67" s="434" t="s">
        <v>6437</v>
      </c>
      <c r="IN67" s="268"/>
      <c r="IO67" s="288"/>
      <c r="IP67" s="260"/>
      <c r="IQ67" s="296"/>
      <c r="IR67" s="288"/>
      <c r="IS67" s="260"/>
      <c r="IT67" s="296"/>
      <c r="IU67" s="659"/>
      <c r="IV67" s="454"/>
      <c r="IW67" s="470"/>
      <c r="IX67" s="657"/>
      <c r="IY67" s="198"/>
      <c r="IZ67" s="268"/>
      <c r="JA67" s="234"/>
      <c r="JB67" s="198"/>
      <c r="JC67" s="268"/>
      <c r="JD67" s="201" t="s">
        <v>6344</v>
      </c>
      <c r="JE67" s="198" t="s">
        <v>6527</v>
      </c>
      <c r="JF67" s="268"/>
      <c r="JG67" s="201" t="s">
        <v>7018</v>
      </c>
      <c r="JH67" s="68"/>
      <c r="JI67" s="268"/>
      <c r="JJ67" s="288"/>
      <c r="JK67" s="260"/>
      <c r="JL67" s="296"/>
      <c r="JM67" s="288"/>
      <c r="JN67" s="260"/>
      <c r="JO67" s="296"/>
      <c r="JP67" s="525" t="s">
        <v>6937</v>
      </c>
      <c r="JQ67" s="388" t="s">
        <v>6937</v>
      </c>
      <c r="JR67" s="489"/>
      <c r="JS67" s="524"/>
      <c r="JT67" s="491"/>
      <c r="JU67" s="69"/>
      <c r="JV67" s="515" t="s">
        <v>6340</v>
      </c>
      <c r="JW67" s="68" t="s">
        <v>6937</v>
      </c>
      <c r="JX67" s="70"/>
      <c r="JY67" s="152" t="s">
        <v>6498</v>
      </c>
      <c r="JZ67" s="68" t="s">
        <v>6498</v>
      </c>
      <c r="KA67" s="70"/>
      <c r="KB67" s="525"/>
      <c r="KC67" s="68" t="s">
        <v>7019</v>
      </c>
      <c r="KD67" s="70"/>
      <c r="KE67" s="111"/>
      <c r="KF67" s="111"/>
      <c r="KG67" s="111"/>
      <c r="KH67" s="111"/>
      <c r="KI67" s="111"/>
      <c r="KJ67" s="111"/>
      <c r="KK67" s="525"/>
      <c r="KL67" s="68"/>
      <c r="KM67" s="513"/>
      <c r="KN67" s="65"/>
      <c r="KO67" s="68"/>
      <c r="KP67" s="70"/>
      <c r="KQ67" s="525" t="s">
        <v>6937</v>
      </c>
      <c r="KR67" s="68" t="s">
        <v>6937</v>
      </c>
      <c r="KS67" s="70"/>
      <c r="KT67" s="525"/>
      <c r="KU67" s="68"/>
      <c r="KV67" s="70"/>
      <c r="KW67" s="525"/>
      <c r="KX67" s="68"/>
      <c r="KY67" s="70"/>
      <c r="KZ67" s="111"/>
      <c r="LA67" s="111"/>
      <c r="LB67" s="111"/>
      <c r="LC67" s="111"/>
      <c r="LD67" s="111"/>
      <c r="LE67" s="111"/>
      <c r="LF67" s="65"/>
      <c r="LG67" s="503"/>
      <c r="LH67" s="513"/>
      <c r="LI67" s="65"/>
      <c r="LJ67" s="68"/>
      <c r="LK67" s="70"/>
      <c r="LL67" s="65"/>
      <c r="LM67" s="68"/>
      <c r="LN67" s="70"/>
      <c r="LO67" s="525"/>
      <c r="LP67" s="68"/>
      <c r="LQ67" s="70"/>
      <c r="LR67" s="525"/>
      <c r="LS67" s="68"/>
      <c r="LT67" s="70"/>
      <c r="LU67" s="111"/>
      <c r="LV67" s="111"/>
      <c r="LW67" s="111"/>
      <c r="LX67" s="111"/>
      <c r="LY67" s="111"/>
      <c r="LZ67" s="111"/>
      <c r="MA67" s="525"/>
      <c r="MB67" s="503"/>
      <c r="MC67" s="513"/>
      <c r="ME67" s="692"/>
      <c r="MF67" s="70"/>
      <c r="MG67" s="513"/>
      <c r="MH67" s="70"/>
      <c r="MI67" s="70"/>
      <c r="MJ67" s="70"/>
      <c r="MK67" s="70"/>
      <c r="ML67" s="70"/>
      <c r="MM67" s="70"/>
      <c r="MN67" s="70"/>
      <c r="MO67" s="70"/>
      <c r="MP67" s="70"/>
      <c r="MQ67" s="70"/>
      <c r="MR67" s="70"/>
      <c r="MS67" s="70"/>
      <c r="MT67" s="110"/>
      <c r="MU67" s="110"/>
      <c r="MV67" s="110"/>
      <c r="MW67" s="696"/>
      <c r="MX67" s="110"/>
      <c r="MY67" s="128"/>
      <c r="MZ67" s="234"/>
      <c r="NA67" s="454"/>
      <c r="NB67" s="603"/>
      <c r="NC67" s="201"/>
      <c r="ND67" s="198"/>
      <c r="NE67" s="198"/>
      <c r="NF67" s="198"/>
      <c r="NG67" s="198"/>
      <c r="NH67" s="198"/>
      <c r="NI67" s="198"/>
      <c r="NJ67" s="198"/>
      <c r="NK67" s="198"/>
      <c r="NL67" s="198"/>
      <c r="NM67" s="198"/>
      <c r="NN67" s="198"/>
      <c r="NO67" s="260"/>
      <c r="NP67" s="260"/>
      <c r="NQ67" s="260"/>
      <c r="NR67" s="405"/>
      <c r="NS67" s="260"/>
      <c r="NT67" s="260"/>
      <c r="NU67" s="235"/>
      <c r="NV67" s="454"/>
      <c r="NW67" s="470"/>
    </row>
    <row r="68" spans="1:387" ht="14.4">
      <c r="A68" s="1638"/>
      <c r="B68" s="1651"/>
      <c r="C68" s="1666"/>
      <c r="D68" s="70"/>
      <c r="E68" s="70"/>
      <c r="F68" s="70"/>
      <c r="G68" s="68"/>
      <c r="H68" s="70"/>
      <c r="I68" s="70"/>
      <c r="J68" s="111"/>
      <c r="K68" s="110"/>
      <c r="L68" s="110"/>
      <c r="M68" s="110"/>
      <c r="N68" s="110"/>
      <c r="O68" s="110"/>
      <c r="P68" s="619"/>
      <c r="Q68" s="70"/>
      <c r="R68" s="70"/>
      <c r="S68" s="619"/>
      <c r="T68" s="70"/>
      <c r="U68" s="70"/>
      <c r="V68" s="619"/>
      <c r="W68" s="70"/>
      <c r="X68" s="70"/>
      <c r="Y68" s="619" t="s">
        <v>6937</v>
      </c>
      <c r="Z68" s="70"/>
      <c r="AA68" s="70"/>
      <c r="AB68" s="619" t="s">
        <v>6315</v>
      </c>
      <c r="AC68" s="70"/>
      <c r="AD68" s="70"/>
      <c r="AE68" s="110"/>
      <c r="AF68" s="110"/>
      <c r="AG68" s="110"/>
      <c r="AH68" s="110"/>
      <c r="AI68" s="110"/>
      <c r="AJ68" s="110"/>
      <c r="AK68" s="70"/>
      <c r="AL68" s="66" t="s">
        <v>6557</v>
      </c>
      <c r="AM68" s="70"/>
      <c r="AN68" s="76" t="s">
        <v>6730</v>
      </c>
      <c r="AO68" s="154"/>
      <c r="AP68" s="70"/>
      <c r="AQ68" s="619"/>
      <c r="AR68" s="70"/>
      <c r="AS68" s="70"/>
      <c r="AT68" s="619"/>
      <c r="AU68" s="70"/>
      <c r="AV68" s="70"/>
      <c r="AW68" s="619"/>
      <c r="AX68" s="70"/>
      <c r="AY68" s="70"/>
      <c r="AZ68" s="110"/>
      <c r="BA68" s="110"/>
      <c r="BB68" s="110"/>
      <c r="BC68" s="110"/>
      <c r="BD68" s="110"/>
      <c r="BE68" s="110"/>
      <c r="BF68" s="70" t="s">
        <v>6318</v>
      </c>
      <c r="BG68" s="70"/>
      <c r="BH68" s="70"/>
      <c r="BI68" s="189"/>
      <c r="BJ68" s="177"/>
      <c r="BK68" s="177"/>
      <c r="BL68" s="619"/>
      <c r="BM68" s="70"/>
      <c r="BN68" s="70"/>
      <c r="BO68" s="70"/>
      <c r="BP68" s="619"/>
      <c r="BQ68" s="70"/>
      <c r="BR68" s="70"/>
      <c r="BS68" s="70"/>
      <c r="BT68" s="619"/>
      <c r="BU68" s="70"/>
      <c r="BV68" s="70"/>
      <c r="BW68" s="70"/>
      <c r="BX68" s="110"/>
      <c r="BY68" s="110"/>
      <c r="BZ68" s="110"/>
      <c r="CA68" s="110"/>
      <c r="CB68" s="110"/>
      <c r="CC68" s="128"/>
      <c r="CD68" s="201"/>
      <c r="CE68" s="198"/>
      <c r="CF68" s="198"/>
      <c r="CG68" s="198"/>
      <c r="CH68" s="198"/>
      <c r="CI68" s="198"/>
      <c r="CJ68" s="198"/>
      <c r="CK68" s="198"/>
      <c r="CL68" s="198"/>
      <c r="CM68" s="198"/>
      <c r="CN68" s="198"/>
      <c r="CO68" s="198"/>
      <c r="CP68" s="198"/>
      <c r="CQ68" s="198"/>
      <c r="CR68" s="198"/>
      <c r="CS68" s="198"/>
      <c r="CT68" s="198"/>
      <c r="CU68" s="198"/>
      <c r="CV68" s="220"/>
      <c r="CW68" s="288"/>
      <c r="CX68" s="260"/>
      <c r="CY68" s="260"/>
      <c r="CZ68" s="260"/>
      <c r="DA68" s="260"/>
      <c r="DB68" s="296"/>
      <c r="DC68" s="626"/>
      <c r="DD68" s="70"/>
      <c r="DE68" s="70"/>
      <c r="DF68" s="619"/>
      <c r="DG68" s="70"/>
      <c r="DH68" s="70"/>
      <c r="DI68" s="70"/>
      <c r="DJ68" s="619"/>
      <c r="DK68" s="70"/>
      <c r="DL68" s="70"/>
      <c r="DM68" s="619"/>
      <c r="DN68" s="70"/>
      <c r="DO68" s="70"/>
      <c r="DP68" s="619"/>
      <c r="DQ68" s="70"/>
      <c r="DR68" s="70"/>
      <c r="DS68" s="110"/>
      <c r="DT68" s="110"/>
      <c r="DU68" s="110"/>
      <c r="DV68" s="110"/>
      <c r="DW68" s="110"/>
      <c r="DX68" s="110"/>
      <c r="DY68" s="68" t="s">
        <v>6392</v>
      </c>
      <c r="DZ68" s="70"/>
      <c r="EA68" s="70"/>
      <c r="EB68" s="110"/>
      <c r="EC68" s="110"/>
      <c r="ED68" s="110"/>
      <c r="EE68" s="619"/>
      <c r="EF68" s="218"/>
      <c r="EG68" s="639"/>
      <c r="EH68" s="199" t="s">
        <v>6393</v>
      </c>
      <c r="EI68" s="198"/>
      <c r="EJ68" s="198"/>
      <c r="EK68" s="235"/>
      <c r="EL68" s="198"/>
      <c r="EM68" s="198"/>
      <c r="EN68" s="260"/>
      <c r="EO68" s="260"/>
      <c r="EP68" s="260"/>
      <c r="EQ68" s="260"/>
      <c r="ER68" s="260"/>
      <c r="ES68" s="260"/>
      <c r="ET68" s="645" t="s">
        <v>6937</v>
      </c>
      <c r="EU68" s="198"/>
      <c r="EV68" s="198"/>
      <c r="EW68" s="260"/>
      <c r="EX68" s="260"/>
      <c r="EY68" s="260"/>
      <c r="EZ68" s="198"/>
      <c r="FA68" s="198"/>
      <c r="FB68" s="198"/>
      <c r="FC68" s="198"/>
      <c r="FD68" s="198"/>
      <c r="FE68" s="198"/>
      <c r="FF68" s="198"/>
      <c r="FG68" s="198"/>
      <c r="FH68" s="268"/>
      <c r="FI68" s="124"/>
      <c r="FJ68" s="110"/>
      <c r="FK68" s="110"/>
      <c r="FL68" s="110"/>
      <c r="FM68" s="110"/>
      <c r="FN68" s="110"/>
      <c r="FO68" s="70"/>
      <c r="FP68" s="70"/>
      <c r="FQ68" s="70"/>
      <c r="FR68" s="70"/>
      <c r="FS68" s="70"/>
      <c r="FT68" s="70"/>
      <c r="FU68" s="70"/>
      <c r="FV68" s="70"/>
      <c r="FW68" s="70"/>
      <c r="FX68" s="70"/>
      <c r="FY68" s="70"/>
      <c r="FZ68" s="70"/>
      <c r="GA68" s="218"/>
      <c r="GB68" s="633"/>
      <c r="GC68" s="69"/>
      <c r="GD68" s="110"/>
      <c r="GE68" s="110"/>
      <c r="GF68" s="110"/>
      <c r="GG68" s="110"/>
      <c r="GH68" s="110"/>
      <c r="GI68" s="110"/>
      <c r="GJ68" s="87" t="s">
        <v>7020</v>
      </c>
      <c r="GK68" s="70"/>
      <c r="GL68" s="70"/>
      <c r="GM68" s="76"/>
      <c r="GN68" s="70"/>
      <c r="GO68" s="70"/>
      <c r="GP68" s="70"/>
      <c r="GQ68" s="70"/>
      <c r="GR68" s="70"/>
      <c r="GS68" s="70"/>
      <c r="GT68" s="70"/>
      <c r="GU68" s="70"/>
      <c r="GV68" s="70"/>
      <c r="GW68" s="70"/>
      <c r="GX68" s="70"/>
      <c r="GY68" s="87"/>
      <c r="GZ68" s="87"/>
      <c r="HA68" s="87"/>
      <c r="HB68" s="110"/>
      <c r="HC68" s="110"/>
      <c r="HD68" s="110"/>
      <c r="HE68" s="70"/>
      <c r="HF68" s="70"/>
      <c r="HG68" s="70"/>
      <c r="HH68" s="70"/>
      <c r="HI68" s="70"/>
      <c r="HJ68" s="70"/>
      <c r="HK68" s="68"/>
      <c r="HL68" s="70"/>
      <c r="HM68" s="70"/>
      <c r="HN68" s="394" t="s">
        <v>6899</v>
      </c>
      <c r="HO68" s="70"/>
      <c r="HP68" s="70"/>
      <c r="HQ68" s="394" t="s">
        <v>7021</v>
      </c>
      <c r="HR68" s="70" t="s">
        <v>7022</v>
      </c>
      <c r="HS68" s="218"/>
      <c r="HT68" s="260"/>
      <c r="HU68" s="260"/>
      <c r="HV68" s="260"/>
      <c r="HW68" s="260"/>
      <c r="HX68" s="260"/>
      <c r="HY68" s="260"/>
      <c r="HZ68" s="260"/>
      <c r="IA68" s="260"/>
      <c r="IB68" s="274"/>
      <c r="IC68" s="201"/>
      <c r="ID68" s="198"/>
      <c r="IE68" s="268"/>
      <c r="IF68" s="201"/>
      <c r="IG68" s="645"/>
      <c r="IH68" s="268"/>
      <c r="II68" s="201"/>
      <c r="IJ68" s="199" t="s">
        <v>7023</v>
      </c>
      <c r="IK68" s="268"/>
      <c r="IL68" s="234"/>
      <c r="IM68" s="198"/>
      <c r="IN68" s="268"/>
      <c r="IO68" s="288"/>
      <c r="IP68" s="260"/>
      <c r="IQ68" s="296"/>
      <c r="IR68" s="288"/>
      <c r="IS68" s="260"/>
      <c r="IT68" s="296"/>
      <c r="IU68" s="432"/>
      <c r="IV68" s="454"/>
      <c r="IW68" s="470"/>
      <c r="IX68" s="201"/>
      <c r="IY68" s="198"/>
      <c r="IZ68" s="268"/>
      <c r="JA68" s="201"/>
      <c r="JB68" s="198"/>
      <c r="JC68" s="268"/>
      <c r="JD68" s="201"/>
      <c r="JE68" s="198"/>
      <c r="JF68" s="268"/>
      <c r="JG68" s="234"/>
      <c r="JH68" s="70"/>
      <c r="JI68" s="268"/>
      <c r="JJ68" s="288"/>
      <c r="JK68" s="260"/>
      <c r="JL68" s="296"/>
      <c r="JM68" s="288"/>
      <c r="JN68" s="260"/>
      <c r="JO68" s="296"/>
      <c r="JP68" s="494" t="s">
        <v>6607</v>
      </c>
      <c r="JQ68" s="388" t="s">
        <v>7024</v>
      </c>
      <c r="JR68" s="489"/>
      <c r="JS68" s="667"/>
      <c r="JT68" s="491"/>
      <c r="JU68" s="69"/>
      <c r="JV68" s="529" t="s">
        <v>6432</v>
      </c>
      <c r="JW68" s="65" t="s">
        <v>7025</v>
      </c>
      <c r="JX68" s="70"/>
      <c r="JY68" s="510"/>
      <c r="JZ68" s="70" t="s">
        <v>6520</v>
      </c>
      <c r="KA68" s="70"/>
      <c r="KB68" s="64"/>
      <c r="KC68" s="70"/>
      <c r="KD68" s="70"/>
      <c r="KE68" s="110"/>
      <c r="KF68" s="110"/>
      <c r="KG68" s="110"/>
      <c r="KH68" s="110"/>
      <c r="KI68" s="110"/>
      <c r="KJ68" s="110"/>
      <c r="KK68" s="148"/>
      <c r="KL68" s="70"/>
      <c r="KM68" s="513"/>
      <c r="KN68" s="619"/>
      <c r="KO68" s="70"/>
      <c r="KP68" s="70"/>
      <c r="KQ68" s="148" t="s">
        <v>6618</v>
      </c>
      <c r="KR68" s="68" t="s">
        <v>6457</v>
      </c>
      <c r="KS68" s="70"/>
      <c r="KT68" s="77"/>
      <c r="KU68" s="70"/>
      <c r="KV68" s="70"/>
      <c r="KW68" s="64"/>
      <c r="KX68" s="70"/>
      <c r="KY68" s="70"/>
      <c r="KZ68" s="110"/>
      <c r="LA68" s="110"/>
      <c r="LB68" s="110"/>
      <c r="LC68" s="110"/>
      <c r="LD68" s="110"/>
      <c r="LE68" s="110"/>
      <c r="LF68" s="148"/>
      <c r="LG68" s="513"/>
      <c r="LH68" s="513"/>
      <c r="LI68" s="619"/>
      <c r="LJ68" s="70"/>
      <c r="LK68" s="70"/>
      <c r="LL68" s="619"/>
      <c r="LM68" s="68"/>
      <c r="LN68" s="70"/>
      <c r="LO68" s="77"/>
      <c r="LP68" s="70"/>
      <c r="LQ68" s="70"/>
      <c r="LR68" s="64"/>
      <c r="LS68" s="70"/>
      <c r="LT68" s="70"/>
      <c r="LU68" s="110"/>
      <c r="LV68" s="110"/>
      <c r="LW68" s="110"/>
      <c r="LX68" s="110"/>
      <c r="LY68" s="110"/>
      <c r="LZ68" s="110"/>
      <c r="MA68" s="148"/>
      <c r="MB68" s="513"/>
      <c r="MC68" s="513"/>
      <c r="ME68" s="672"/>
      <c r="MF68" s="70"/>
      <c r="MG68" s="513"/>
      <c r="MH68" s="70"/>
      <c r="MI68" s="70"/>
      <c r="MJ68" s="70"/>
      <c r="MK68" s="70"/>
      <c r="ML68" s="70"/>
      <c r="MM68" s="70"/>
      <c r="MN68" s="70"/>
      <c r="MO68" s="70"/>
      <c r="MP68" s="70"/>
      <c r="MQ68" s="70"/>
      <c r="MR68" s="70"/>
      <c r="MS68" s="70"/>
      <c r="MT68" s="110"/>
      <c r="MU68" s="110"/>
      <c r="MV68" s="110"/>
      <c r="MW68" s="110"/>
      <c r="MX68" s="110"/>
      <c r="MY68" s="128"/>
      <c r="MZ68" s="432"/>
      <c r="NA68" s="454"/>
      <c r="NB68" s="603"/>
      <c r="NC68" s="201"/>
      <c r="ND68" s="198"/>
      <c r="NE68" s="198"/>
      <c r="NF68" s="198"/>
      <c r="NG68" s="198"/>
      <c r="NH68" s="198"/>
      <c r="NI68" s="198"/>
      <c r="NJ68" s="198"/>
      <c r="NK68" s="198"/>
      <c r="NL68" s="198"/>
      <c r="NM68" s="198"/>
      <c r="NN68" s="198"/>
      <c r="NO68" s="260"/>
      <c r="NP68" s="260"/>
      <c r="NQ68" s="260"/>
      <c r="NR68" s="260"/>
      <c r="NS68" s="260"/>
      <c r="NT68" s="260"/>
      <c r="NU68" s="454"/>
      <c r="NV68" s="454"/>
      <c r="NW68" s="470"/>
    </row>
    <row r="69" spans="1:387" ht="14.4">
      <c r="A69" s="1638"/>
      <c r="B69" s="1651"/>
      <c r="C69" s="1666"/>
      <c r="D69" s="70"/>
      <c r="E69" s="70"/>
      <c r="F69" s="70"/>
      <c r="G69" s="70"/>
      <c r="H69" s="70"/>
      <c r="I69" s="70"/>
      <c r="J69" s="110"/>
      <c r="K69" s="110"/>
      <c r="L69" s="110"/>
      <c r="M69" s="110"/>
      <c r="N69" s="110"/>
      <c r="O69" s="110"/>
      <c r="P69" s="70"/>
      <c r="Q69" s="70"/>
      <c r="R69" s="70"/>
      <c r="S69" s="70"/>
      <c r="T69" s="70"/>
      <c r="U69" s="70"/>
      <c r="V69" s="70"/>
      <c r="W69" s="70"/>
      <c r="X69" s="70"/>
      <c r="Y69" s="70" t="s">
        <v>6555</v>
      </c>
      <c r="Z69" s="70"/>
      <c r="AA69" s="70"/>
      <c r="AB69" s="70" t="s">
        <v>6507</v>
      </c>
      <c r="AC69" s="70"/>
      <c r="AD69" s="70"/>
      <c r="AE69" s="110"/>
      <c r="AF69" s="110"/>
      <c r="AG69" s="110"/>
      <c r="AH69" s="110"/>
      <c r="AI69" s="110"/>
      <c r="AJ69" s="110"/>
      <c r="AK69" s="70"/>
      <c r="AL69" s="70"/>
      <c r="AM69" s="70"/>
      <c r="AN69" s="70"/>
      <c r="AO69" s="154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110"/>
      <c r="BA69" s="110"/>
      <c r="BB69" s="110"/>
      <c r="BC69" s="110"/>
      <c r="BD69" s="110"/>
      <c r="BE69" s="110"/>
      <c r="BF69" s="70" t="s">
        <v>6907</v>
      </c>
      <c r="BG69" s="70"/>
      <c r="BH69" s="70"/>
      <c r="BI69" s="177"/>
      <c r="BJ69" s="177"/>
      <c r="BK69" s="177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110"/>
      <c r="BY69" s="110"/>
      <c r="BZ69" s="110"/>
      <c r="CA69" s="110"/>
      <c r="CB69" s="110"/>
      <c r="CC69" s="128"/>
      <c r="CD69" s="201"/>
      <c r="CE69" s="198"/>
      <c r="CF69" s="198"/>
      <c r="CG69" s="198"/>
      <c r="CH69" s="198"/>
      <c r="CI69" s="198"/>
      <c r="CJ69" s="198"/>
      <c r="CK69" s="198"/>
      <c r="CL69" s="198"/>
      <c r="CM69" s="198"/>
      <c r="CN69" s="198"/>
      <c r="CO69" s="198"/>
      <c r="CP69" s="198"/>
      <c r="CQ69" s="198"/>
      <c r="CR69" s="198"/>
      <c r="CS69" s="198"/>
      <c r="CT69" s="198"/>
      <c r="CU69" s="198"/>
      <c r="CV69" s="220"/>
      <c r="CW69" s="288"/>
      <c r="CX69" s="260"/>
      <c r="CY69" s="260"/>
      <c r="CZ69" s="260"/>
      <c r="DA69" s="260"/>
      <c r="DB69" s="296"/>
      <c r="DC69" s="69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110"/>
      <c r="DT69" s="110"/>
      <c r="DU69" s="110"/>
      <c r="DV69" s="110"/>
      <c r="DW69" s="110"/>
      <c r="DX69" s="110"/>
      <c r="DY69" s="65" t="s">
        <v>6415</v>
      </c>
      <c r="DZ69" s="70"/>
      <c r="EA69" s="70"/>
      <c r="EB69" s="110"/>
      <c r="EC69" s="110"/>
      <c r="ED69" s="110"/>
      <c r="EE69" s="70"/>
      <c r="EF69" s="218"/>
      <c r="EG69" s="639"/>
      <c r="EH69" s="198"/>
      <c r="EI69" s="198"/>
      <c r="EJ69" s="198"/>
      <c r="EK69" s="198"/>
      <c r="EL69" s="198"/>
      <c r="EM69" s="198"/>
      <c r="EN69" s="260"/>
      <c r="EO69" s="260"/>
      <c r="EP69" s="260"/>
      <c r="EQ69" s="260"/>
      <c r="ER69" s="260"/>
      <c r="ES69" s="260"/>
      <c r="ET69" s="199" t="s">
        <v>6587</v>
      </c>
      <c r="EU69" s="198"/>
      <c r="EV69" s="198"/>
      <c r="EW69" s="260"/>
      <c r="EX69" s="260"/>
      <c r="EY69" s="260"/>
      <c r="EZ69" s="198"/>
      <c r="FA69" s="198"/>
      <c r="FB69" s="198"/>
      <c r="FC69" s="198"/>
      <c r="FD69" s="198"/>
      <c r="FE69" s="198"/>
      <c r="FF69" s="198"/>
      <c r="FG69" s="198"/>
      <c r="FH69" s="268"/>
      <c r="FI69" s="647"/>
      <c r="FJ69" s="338"/>
      <c r="FK69" s="338"/>
      <c r="FL69" s="338"/>
      <c r="FM69" s="338"/>
      <c r="FN69" s="338"/>
      <c r="FO69" s="70"/>
      <c r="FP69" s="229"/>
      <c r="FQ69" s="229"/>
      <c r="FR69" s="229"/>
      <c r="FS69" s="229"/>
      <c r="FT69" s="229"/>
      <c r="FU69" s="229"/>
      <c r="FV69" s="229"/>
      <c r="FW69" s="229"/>
      <c r="FX69" s="229"/>
      <c r="FY69" s="229"/>
      <c r="FZ69" s="252"/>
      <c r="GA69" s="198"/>
      <c r="GB69" s="198"/>
      <c r="GC69" s="198"/>
      <c r="GD69" s="260"/>
      <c r="GE69" s="260"/>
      <c r="GF69" s="260"/>
      <c r="GG69" s="260"/>
      <c r="GH69" s="260"/>
      <c r="GI69" s="260"/>
      <c r="GJ69" s="198"/>
      <c r="GK69" s="198"/>
      <c r="GL69" s="198"/>
      <c r="GM69" s="198"/>
      <c r="GN69" s="198"/>
      <c r="GO69" s="198"/>
      <c r="GP69" s="198"/>
      <c r="GQ69" s="198"/>
      <c r="GR69" s="198"/>
      <c r="GS69" s="70"/>
      <c r="GT69" s="70"/>
      <c r="GU69" s="70"/>
      <c r="GV69" s="229"/>
      <c r="GW69" s="229"/>
      <c r="GX69" s="229"/>
      <c r="GY69" s="367"/>
      <c r="GZ69" s="367"/>
      <c r="HA69" s="367"/>
      <c r="HB69" s="338"/>
      <c r="HC69" s="338"/>
      <c r="HD69" s="338"/>
      <c r="HE69" s="70"/>
      <c r="HF69" s="229"/>
      <c r="HG69" s="229"/>
      <c r="HH69" s="229"/>
      <c r="HI69" s="229"/>
      <c r="HJ69" s="229"/>
      <c r="HK69" s="229"/>
      <c r="HL69" s="229"/>
      <c r="HM69" s="229"/>
      <c r="HN69" s="229"/>
      <c r="HO69" s="229"/>
      <c r="HP69" s="229"/>
      <c r="HQ69" s="229"/>
      <c r="HR69" s="229"/>
      <c r="HS69" s="252"/>
      <c r="HT69" s="260"/>
      <c r="HU69" s="260"/>
      <c r="HV69" s="260"/>
      <c r="HW69" s="260"/>
      <c r="HX69" s="260"/>
      <c r="HY69" s="260"/>
      <c r="HZ69" s="260"/>
      <c r="IA69" s="260"/>
      <c r="IB69" s="274"/>
      <c r="IC69" s="201"/>
      <c r="ID69" s="198"/>
      <c r="IE69" s="268"/>
      <c r="IF69" s="201"/>
      <c r="IG69" s="645"/>
      <c r="IH69" s="268"/>
      <c r="II69" s="201"/>
      <c r="IJ69" s="199" t="s">
        <v>7017</v>
      </c>
      <c r="IK69" s="268"/>
      <c r="IL69" s="201"/>
      <c r="IM69" s="198"/>
      <c r="IN69" s="268"/>
      <c r="IO69" s="288"/>
      <c r="IP69" s="260"/>
      <c r="IQ69" s="296"/>
      <c r="IR69" s="288"/>
      <c r="IS69" s="260"/>
      <c r="IT69" s="296"/>
      <c r="IU69" s="432"/>
      <c r="IV69" s="454"/>
      <c r="IW69" s="470"/>
      <c r="IX69" s="201"/>
      <c r="IY69" s="198"/>
      <c r="IZ69" s="268"/>
      <c r="JA69" s="201"/>
      <c r="JB69" s="198"/>
      <c r="JC69" s="268"/>
      <c r="JD69" s="201"/>
      <c r="JE69" s="198"/>
      <c r="JF69" s="268"/>
      <c r="JG69" s="201"/>
      <c r="JH69" s="70"/>
      <c r="JI69" s="268"/>
      <c r="JJ69" s="288"/>
      <c r="JK69" s="260"/>
      <c r="JL69" s="296"/>
      <c r="JM69" s="288"/>
      <c r="JN69" s="260"/>
      <c r="JO69" s="296"/>
      <c r="JP69" s="513"/>
      <c r="JQ69" s="388" t="s">
        <v>6657</v>
      </c>
      <c r="JR69" s="489"/>
      <c r="JS69" s="517"/>
      <c r="JT69" s="491"/>
      <c r="JU69" s="69"/>
      <c r="JV69" s="152" t="s">
        <v>6498</v>
      </c>
      <c r="JW69" s="70"/>
      <c r="JX69" s="70"/>
      <c r="JY69" s="510"/>
      <c r="JZ69" s="70"/>
      <c r="KA69" s="70"/>
      <c r="KB69" s="76"/>
      <c r="KC69" s="70"/>
      <c r="KD69" s="70"/>
      <c r="KE69" s="110"/>
      <c r="KF69" s="110"/>
      <c r="KG69" s="110"/>
      <c r="KH69" s="110"/>
      <c r="KI69" s="110"/>
      <c r="KJ69" s="110"/>
      <c r="KK69" s="513"/>
      <c r="KL69" s="70"/>
      <c r="KM69" s="513"/>
      <c r="KN69" s="70"/>
      <c r="KO69" s="70"/>
      <c r="KP69" s="70"/>
      <c r="KQ69" s="152"/>
      <c r="KR69" s="70"/>
      <c r="KS69" s="70"/>
      <c r="KT69" s="70"/>
      <c r="KU69" s="70"/>
      <c r="KV69" s="70"/>
      <c r="KW69" s="76"/>
      <c r="KX69" s="70"/>
      <c r="KY69" s="70"/>
      <c r="KZ69" s="110"/>
      <c r="LA69" s="110"/>
      <c r="LB69" s="110"/>
      <c r="LC69" s="110"/>
      <c r="LD69" s="110"/>
      <c r="LE69" s="110"/>
      <c r="LF69" s="513"/>
      <c r="LG69" s="513"/>
      <c r="LH69" s="513"/>
      <c r="LI69" s="70"/>
      <c r="LJ69" s="70"/>
      <c r="LK69" s="70"/>
      <c r="LL69" s="70"/>
      <c r="LM69" s="70"/>
      <c r="LN69" s="70"/>
      <c r="LO69" s="70"/>
      <c r="LP69" s="70"/>
      <c r="LQ69" s="70"/>
      <c r="LR69" s="76"/>
      <c r="LS69" s="70"/>
      <c r="LT69" s="70"/>
      <c r="LU69" s="110"/>
      <c r="LV69" s="110"/>
      <c r="LW69" s="110"/>
      <c r="LX69" s="110"/>
      <c r="LY69" s="110"/>
      <c r="LZ69" s="110"/>
      <c r="MA69" s="513"/>
      <c r="MB69" s="513"/>
      <c r="MC69" s="513"/>
      <c r="ME69" s="672"/>
      <c r="MF69" s="70"/>
      <c r="MG69" s="513"/>
      <c r="MH69" s="694"/>
      <c r="MI69" s="70"/>
      <c r="MJ69" s="70"/>
      <c r="MK69" s="70"/>
      <c r="ML69" s="70"/>
      <c r="MM69" s="70"/>
      <c r="MN69" s="545"/>
      <c r="MO69" s="70"/>
      <c r="MP69" s="70"/>
      <c r="MQ69" s="545"/>
      <c r="MR69" s="70"/>
      <c r="MS69" s="70"/>
      <c r="MT69" s="110"/>
      <c r="MU69" s="110"/>
      <c r="MV69" s="110"/>
      <c r="MW69" s="110"/>
      <c r="MX69" s="110"/>
      <c r="MY69" s="128"/>
      <c r="MZ69" s="432"/>
      <c r="NA69" s="454"/>
      <c r="NB69" s="603"/>
      <c r="NC69" s="201"/>
      <c r="ND69" s="198"/>
      <c r="NE69" s="198"/>
      <c r="NF69" s="198"/>
      <c r="NG69" s="198"/>
      <c r="NH69" s="198"/>
      <c r="NI69" s="701"/>
      <c r="NJ69" s="198"/>
      <c r="NK69" s="198"/>
      <c r="NL69" s="701"/>
      <c r="NM69" s="198"/>
      <c r="NN69" s="198"/>
      <c r="NO69" s="260"/>
      <c r="NP69" s="260"/>
      <c r="NQ69" s="260"/>
      <c r="NR69" s="260"/>
      <c r="NS69" s="260"/>
      <c r="NT69" s="260"/>
      <c r="NU69" s="454"/>
      <c r="NV69" s="454"/>
      <c r="NW69" s="470"/>
    </row>
    <row r="70" spans="1:387" ht="14.4">
      <c r="A70" s="1638"/>
      <c r="B70" s="1651"/>
      <c r="C70" s="1666"/>
      <c r="D70" s="70"/>
      <c r="E70" s="70"/>
      <c r="F70" s="70"/>
      <c r="G70" s="70"/>
      <c r="H70" s="70"/>
      <c r="I70" s="70"/>
      <c r="J70" s="110"/>
      <c r="K70" s="110"/>
      <c r="L70" s="110"/>
      <c r="M70" s="110"/>
      <c r="N70" s="110"/>
      <c r="O70" s="11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110"/>
      <c r="AF70" s="110"/>
      <c r="AG70" s="110"/>
      <c r="AH70" s="110"/>
      <c r="AI70" s="110"/>
      <c r="AJ70" s="110"/>
      <c r="AK70" s="70"/>
      <c r="AL70" s="70"/>
      <c r="AM70" s="70"/>
      <c r="AN70" s="70"/>
      <c r="AO70" s="154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110"/>
      <c r="BA70" s="110"/>
      <c r="BB70" s="110"/>
      <c r="BC70" s="110"/>
      <c r="BD70" s="110"/>
      <c r="BE70" s="110"/>
      <c r="BF70" s="70"/>
      <c r="BG70" s="70"/>
      <c r="BH70" s="70"/>
      <c r="BI70" s="177"/>
      <c r="BJ70" s="177"/>
      <c r="BK70" s="177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110"/>
      <c r="BY70" s="110"/>
      <c r="BZ70" s="110"/>
      <c r="CA70" s="110"/>
      <c r="CB70" s="110"/>
      <c r="CC70" s="128"/>
      <c r="CD70" s="620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198"/>
      <c r="CV70" s="220"/>
      <c r="CW70" s="288"/>
      <c r="CX70" s="260"/>
      <c r="CY70" s="260"/>
      <c r="CZ70" s="260"/>
      <c r="DA70" s="260"/>
      <c r="DB70" s="296"/>
      <c r="DC70" s="69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110"/>
      <c r="DT70" s="110"/>
      <c r="DU70" s="110"/>
      <c r="DV70" s="110"/>
      <c r="DW70" s="110"/>
      <c r="DX70" s="110"/>
      <c r="DY70" s="70"/>
      <c r="DZ70" s="70"/>
      <c r="EA70" s="70"/>
      <c r="EB70" s="110"/>
      <c r="EC70" s="110"/>
      <c r="ED70" s="110"/>
      <c r="EE70" s="70"/>
      <c r="EF70" s="218"/>
      <c r="EG70" s="639"/>
      <c r="EH70" s="198"/>
      <c r="EI70" s="198"/>
      <c r="EJ70" s="198"/>
      <c r="EK70" s="198"/>
      <c r="EL70" s="198"/>
      <c r="EM70" s="198"/>
      <c r="EN70" s="260"/>
      <c r="EO70" s="260"/>
      <c r="EP70" s="260"/>
      <c r="EQ70" s="260"/>
      <c r="ER70" s="260"/>
      <c r="ES70" s="260"/>
      <c r="ET70" s="198"/>
      <c r="EU70" s="198"/>
      <c r="EV70" s="198"/>
      <c r="EW70" s="260"/>
      <c r="EX70" s="260"/>
      <c r="EY70" s="260"/>
      <c r="EZ70" s="198"/>
      <c r="FA70" s="198"/>
      <c r="FB70" s="198"/>
      <c r="FC70" s="198"/>
      <c r="FD70" s="198"/>
      <c r="FE70" s="198"/>
      <c r="FF70" s="198"/>
      <c r="FG70" s="198"/>
      <c r="FH70" s="268"/>
      <c r="FI70" s="648"/>
      <c r="FJ70" s="339"/>
      <c r="FK70" s="339"/>
      <c r="FL70" s="339"/>
      <c r="FM70" s="339"/>
      <c r="FN70" s="577"/>
      <c r="FO70" s="93"/>
      <c r="FP70" s="527"/>
      <c r="FQ70" s="230"/>
      <c r="FR70" s="230"/>
      <c r="FS70" s="230"/>
      <c r="FT70" s="230"/>
      <c r="FU70" s="230"/>
      <c r="FV70" s="230"/>
      <c r="FW70" s="230"/>
      <c r="FX70" s="230"/>
      <c r="FY70" s="230"/>
      <c r="FZ70" s="230"/>
      <c r="GA70" s="64"/>
      <c r="GB70" s="64"/>
      <c r="GC70" s="64"/>
      <c r="GD70" s="109"/>
      <c r="GE70" s="109"/>
      <c r="GF70" s="109"/>
      <c r="GG70" s="109"/>
      <c r="GH70" s="109"/>
      <c r="GI70" s="196"/>
      <c r="GJ70" s="81"/>
      <c r="GK70" s="79"/>
      <c r="GL70" s="64"/>
      <c r="GM70" s="64"/>
      <c r="GN70" s="64"/>
      <c r="GO70" s="64"/>
      <c r="GP70" s="64"/>
      <c r="GQ70" s="64"/>
      <c r="GR70" s="64"/>
      <c r="GS70" s="229"/>
      <c r="GT70" s="229"/>
      <c r="GU70" s="229"/>
      <c r="GV70" s="230"/>
      <c r="GW70" s="230"/>
      <c r="GX70" s="230"/>
      <c r="GY70" s="377"/>
      <c r="GZ70" s="377"/>
      <c r="HA70" s="377"/>
      <c r="HB70" s="339"/>
      <c r="HC70" s="339"/>
      <c r="HD70" s="577"/>
      <c r="HE70" s="93"/>
      <c r="HF70" s="527"/>
      <c r="HG70" s="230"/>
      <c r="HH70" s="230"/>
      <c r="HI70" s="230"/>
      <c r="HJ70" s="230"/>
      <c r="HK70" s="230"/>
      <c r="HL70" s="230"/>
      <c r="HM70" s="230"/>
      <c r="HN70" s="230"/>
      <c r="HO70" s="230"/>
      <c r="HP70" s="230"/>
      <c r="HQ70" s="230"/>
      <c r="HR70" s="230"/>
      <c r="HS70" s="253"/>
      <c r="HT70" s="260"/>
      <c r="HU70" s="260"/>
      <c r="HV70" s="260"/>
      <c r="HW70" s="260"/>
      <c r="HX70" s="260"/>
      <c r="HY70" s="260"/>
      <c r="HZ70" s="89"/>
      <c r="IA70" s="89"/>
      <c r="IB70" s="216"/>
      <c r="IC70" s="620"/>
      <c r="ID70" s="89"/>
      <c r="IE70" s="658"/>
      <c r="IF70" s="620"/>
      <c r="IG70" s="645"/>
      <c r="IH70" s="658"/>
      <c r="II70" s="620"/>
      <c r="IJ70" s="89"/>
      <c r="IK70" s="658"/>
      <c r="IL70" s="620"/>
      <c r="IM70" s="89"/>
      <c r="IN70" s="658"/>
      <c r="IO70" s="620"/>
      <c r="IP70" s="89"/>
      <c r="IQ70" s="658"/>
      <c r="IR70" s="620"/>
      <c r="IS70" s="89"/>
      <c r="IT70" s="658"/>
      <c r="IU70" s="620"/>
      <c r="IV70" s="89"/>
      <c r="IW70" s="658"/>
      <c r="IX70" s="620"/>
      <c r="IY70" s="89"/>
      <c r="IZ70" s="658"/>
      <c r="JA70" s="620"/>
      <c r="JB70" s="89"/>
      <c r="JC70" s="658"/>
      <c r="JD70" s="620"/>
      <c r="JE70" s="89"/>
      <c r="JF70" s="658"/>
      <c r="JG70" s="620"/>
      <c r="JH70" s="70"/>
      <c r="JI70" s="658"/>
      <c r="JJ70" s="620"/>
      <c r="JK70" s="89"/>
      <c r="JL70" s="658"/>
      <c r="JM70" s="620"/>
      <c r="JN70" s="89"/>
      <c r="JO70" s="658"/>
      <c r="JP70" s="513"/>
      <c r="JQ70" s="388"/>
      <c r="JR70" s="489"/>
      <c r="JS70" s="517"/>
      <c r="JT70" s="491"/>
      <c r="JU70" s="69"/>
      <c r="JV70" s="70"/>
      <c r="JW70" s="70"/>
      <c r="JX70" s="70"/>
      <c r="JY70" s="510"/>
      <c r="JZ70" s="70"/>
      <c r="KA70" s="70"/>
      <c r="KB70" s="70"/>
      <c r="KC70" s="70"/>
      <c r="KD70" s="70"/>
      <c r="KE70" s="110"/>
      <c r="KF70" s="110"/>
      <c r="KG70" s="110"/>
      <c r="KH70" s="110"/>
      <c r="KI70" s="110"/>
      <c r="KJ70" s="110"/>
      <c r="KK70" s="513"/>
      <c r="KL70" s="70"/>
      <c r="KM70" s="513"/>
      <c r="KN70" s="70"/>
      <c r="KO70" s="70"/>
      <c r="KP70" s="70"/>
      <c r="KQ70" s="70"/>
      <c r="KR70" s="70"/>
      <c r="KS70" s="70"/>
      <c r="KT70" s="70"/>
      <c r="KU70" s="70"/>
      <c r="KV70" s="70"/>
      <c r="KW70" s="70"/>
      <c r="KX70" s="70"/>
      <c r="KY70" s="70"/>
      <c r="KZ70" s="110"/>
      <c r="LA70" s="110"/>
      <c r="LB70" s="110"/>
      <c r="LC70" s="110"/>
      <c r="LD70" s="110"/>
      <c r="LE70" s="110"/>
      <c r="LF70" s="513"/>
      <c r="LG70" s="513"/>
      <c r="LH70" s="513"/>
      <c r="LI70" s="70"/>
      <c r="LJ70" s="70"/>
      <c r="LK70" s="70"/>
      <c r="LL70" s="70"/>
      <c r="LM70" s="70"/>
      <c r="LN70" s="70"/>
      <c r="LO70" s="70"/>
      <c r="LP70" s="70"/>
      <c r="LQ70" s="70"/>
      <c r="LR70" s="70"/>
      <c r="LS70" s="70"/>
      <c r="LT70" s="70"/>
      <c r="LU70" s="110"/>
      <c r="LV70" s="110"/>
      <c r="LW70" s="110"/>
      <c r="LX70" s="110"/>
      <c r="LY70" s="110"/>
      <c r="LZ70" s="110"/>
      <c r="MA70" s="513"/>
      <c r="MB70" s="513"/>
      <c r="MC70" s="513"/>
      <c r="ME70" s="672"/>
      <c r="MF70" s="70"/>
      <c r="MG70" s="513"/>
      <c r="MH70" s="70"/>
      <c r="MI70" s="70"/>
      <c r="MJ70" s="70"/>
      <c r="MK70" s="70"/>
      <c r="ML70" s="70"/>
      <c r="MM70" s="70"/>
      <c r="MN70" s="70"/>
      <c r="MO70" s="70"/>
      <c r="MP70" s="70"/>
      <c r="MQ70" s="70"/>
      <c r="MR70" s="70"/>
      <c r="MS70" s="70"/>
      <c r="MT70" s="110"/>
      <c r="MU70" s="110"/>
      <c r="MV70" s="110"/>
      <c r="MW70" s="110"/>
      <c r="MX70" s="110"/>
      <c r="MY70" s="128"/>
      <c r="MZ70" s="467"/>
      <c r="NA70" s="468"/>
      <c r="NB70" s="605"/>
      <c r="NC70" s="201"/>
      <c r="ND70" s="198"/>
      <c r="NE70" s="198"/>
      <c r="NF70" s="198"/>
      <c r="NG70" s="198"/>
      <c r="NH70" s="198"/>
      <c r="NI70" s="198"/>
      <c r="NJ70" s="198"/>
      <c r="NK70" s="198"/>
      <c r="NL70" s="198"/>
      <c r="NM70" s="198"/>
      <c r="NN70" s="198"/>
      <c r="NO70" s="260"/>
      <c r="NP70" s="260"/>
      <c r="NQ70" s="260"/>
      <c r="NR70" s="260"/>
      <c r="NS70" s="260"/>
      <c r="NT70" s="260"/>
      <c r="NU70" s="454"/>
      <c r="NV70" s="454"/>
      <c r="NW70" s="470"/>
    </row>
    <row r="71" spans="1:387" ht="14.4">
      <c r="A71" s="1639"/>
      <c r="B71" s="1652"/>
      <c r="C71" s="1667"/>
      <c r="D71" s="73"/>
      <c r="E71" s="73"/>
      <c r="F71" s="73"/>
      <c r="G71" s="73"/>
      <c r="H71" s="73"/>
      <c r="I71" s="73"/>
      <c r="J71" s="114"/>
      <c r="K71" s="114"/>
      <c r="L71" s="114"/>
      <c r="M71" s="114"/>
      <c r="N71" s="114"/>
      <c r="O71" s="114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114"/>
      <c r="AF71" s="114"/>
      <c r="AG71" s="114"/>
      <c r="AH71" s="114"/>
      <c r="AI71" s="114"/>
      <c r="AJ71" s="114"/>
      <c r="AK71" s="73"/>
      <c r="AL71" s="73"/>
      <c r="AM71" s="73"/>
      <c r="AN71" s="73"/>
      <c r="AO71" s="155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114"/>
      <c r="BA71" s="114"/>
      <c r="BB71" s="114"/>
      <c r="BC71" s="114"/>
      <c r="BD71" s="114"/>
      <c r="BE71" s="114"/>
      <c r="BF71" s="73"/>
      <c r="BG71" s="73"/>
      <c r="BH71" s="73"/>
      <c r="BI71" s="180"/>
      <c r="BJ71" s="180"/>
      <c r="BK71" s="180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114"/>
      <c r="BY71" s="114"/>
      <c r="BZ71" s="114"/>
      <c r="CA71" s="114"/>
      <c r="CB71" s="114"/>
      <c r="CC71" s="130"/>
      <c r="CD71" s="202"/>
      <c r="CE71" s="203"/>
      <c r="CF71" s="203"/>
      <c r="CG71" s="203"/>
      <c r="CH71" s="203"/>
      <c r="CI71" s="203"/>
      <c r="CJ71" s="203"/>
      <c r="CK71" s="203"/>
      <c r="CL71" s="203"/>
      <c r="CM71" s="203"/>
      <c r="CN71" s="203"/>
      <c r="CO71" s="203"/>
      <c r="CP71" s="203"/>
      <c r="CQ71" s="203"/>
      <c r="CR71" s="203"/>
      <c r="CS71" s="203"/>
      <c r="CT71" s="203"/>
      <c r="CU71" s="205"/>
      <c r="CV71" s="261"/>
      <c r="CW71" s="289"/>
      <c r="CX71" s="271"/>
      <c r="CY71" s="271"/>
      <c r="CZ71" s="271"/>
      <c r="DA71" s="271"/>
      <c r="DB71" s="298"/>
      <c r="DC71" s="72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114"/>
      <c r="DT71" s="114"/>
      <c r="DU71" s="114"/>
      <c r="DV71" s="114"/>
      <c r="DW71" s="114"/>
      <c r="DX71" s="114"/>
      <c r="DY71" s="73"/>
      <c r="DZ71" s="73"/>
      <c r="EA71" s="73"/>
      <c r="EB71" s="114"/>
      <c r="EC71" s="114"/>
      <c r="ED71" s="114"/>
      <c r="EE71" s="73"/>
      <c r="EF71" s="254"/>
      <c r="EG71" s="573"/>
      <c r="EH71" s="203"/>
      <c r="EI71" s="203"/>
      <c r="EJ71" s="203"/>
      <c r="EK71" s="203"/>
      <c r="EL71" s="205"/>
      <c r="EM71" s="205"/>
      <c r="EN71" s="271"/>
      <c r="EO71" s="271"/>
      <c r="EP71" s="271"/>
      <c r="EQ71" s="271"/>
      <c r="ER71" s="271"/>
      <c r="ES71" s="271"/>
      <c r="ET71" s="203"/>
      <c r="EU71" s="205"/>
      <c r="EV71" s="205"/>
      <c r="EW71" s="271"/>
      <c r="EX71" s="271"/>
      <c r="EY71" s="271"/>
      <c r="EZ71" s="205"/>
      <c r="FA71" s="205"/>
      <c r="FB71" s="205"/>
      <c r="FC71" s="203"/>
      <c r="FD71" s="203"/>
      <c r="FE71" s="203"/>
      <c r="FF71" s="203"/>
      <c r="FG71" s="203"/>
      <c r="FH71" s="269"/>
      <c r="FI71" s="623"/>
      <c r="FJ71" s="129"/>
      <c r="FK71" s="129"/>
      <c r="FL71" s="129"/>
      <c r="FM71" s="129"/>
      <c r="FN71" s="624"/>
      <c r="FO71" s="543"/>
      <c r="FP71" s="543"/>
      <c r="FQ71" s="543"/>
      <c r="FR71" s="543"/>
      <c r="FS71" s="543"/>
      <c r="FT71" s="543"/>
      <c r="FU71" s="543"/>
      <c r="FV71" s="543"/>
      <c r="FW71" s="543"/>
      <c r="FX71" s="543"/>
      <c r="FY71" s="543"/>
      <c r="FZ71" s="543"/>
      <c r="GA71" s="543"/>
      <c r="GB71" s="543"/>
      <c r="GC71" s="543"/>
      <c r="GD71" s="129"/>
      <c r="GE71" s="129"/>
      <c r="GF71" s="129"/>
      <c r="GG71" s="129"/>
      <c r="GH71" s="129"/>
      <c r="GI71" s="624"/>
      <c r="GJ71" s="543"/>
      <c r="GK71" s="543"/>
      <c r="GL71" s="543"/>
      <c r="GM71" s="543"/>
      <c r="GN71" s="543"/>
      <c r="GO71" s="543"/>
      <c r="GP71" s="543"/>
      <c r="GQ71" s="371"/>
      <c r="GR71" s="543"/>
      <c r="GS71" s="543"/>
      <c r="GT71" s="543"/>
      <c r="GU71" s="543"/>
      <c r="GV71" s="543"/>
      <c r="GW71" s="543"/>
      <c r="GX71" s="543"/>
      <c r="GY71" s="543"/>
      <c r="GZ71" s="543"/>
      <c r="HA71" s="543"/>
      <c r="HB71" s="543"/>
      <c r="HC71" s="543"/>
      <c r="HD71" s="543"/>
      <c r="HE71" s="543"/>
      <c r="HF71" s="543"/>
      <c r="HG71" s="543"/>
      <c r="HH71" s="543"/>
      <c r="HI71" s="543"/>
      <c r="HJ71" s="543"/>
      <c r="HK71" s="543"/>
      <c r="HL71" s="543"/>
      <c r="HM71" s="543"/>
      <c r="HN71" s="543"/>
      <c r="HO71" s="543"/>
      <c r="HP71" s="543"/>
      <c r="HQ71" s="543"/>
      <c r="HR71" s="73"/>
      <c r="HS71" s="254"/>
      <c r="HT71" s="271"/>
      <c r="HU71" s="271"/>
      <c r="HV71" s="271"/>
      <c r="HW71" s="271"/>
      <c r="HX71" s="271"/>
      <c r="HY71" s="271"/>
      <c r="HZ71" s="203"/>
      <c r="IA71" s="203"/>
      <c r="IB71" s="221"/>
      <c r="IC71" s="202"/>
      <c r="ID71" s="203"/>
      <c r="IE71" s="568"/>
      <c r="IF71" s="202"/>
      <c r="IG71" s="653"/>
      <c r="IH71" s="568"/>
      <c r="II71" s="202"/>
      <c r="IJ71" s="203"/>
      <c r="IK71" s="568"/>
      <c r="IL71" s="202"/>
      <c r="IM71" s="203"/>
      <c r="IN71" s="568"/>
      <c r="IO71" s="202"/>
      <c r="IP71" s="203"/>
      <c r="IQ71" s="568"/>
      <c r="IR71" s="202"/>
      <c r="IS71" s="203"/>
      <c r="IT71" s="568"/>
      <c r="IU71" s="202"/>
      <c r="IV71" s="203"/>
      <c r="IW71" s="568"/>
      <c r="IX71" s="202"/>
      <c r="IY71" s="203"/>
      <c r="IZ71" s="568"/>
      <c r="JA71" s="202"/>
      <c r="JB71" s="203"/>
      <c r="JC71" s="568"/>
      <c r="JD71" s="202"/>
      <c r="JE71" s="203"/>
      <c r="JF71" s="568"/>
      <c r="JG71" s="202"/>
      <c r="JH71" s="229"/>
      <c r="JI71" s="568"/>
      <c r="JJ71" s="202"/>
      <c r="JK71" s="203"/>
      <c r="JL71" s="568"/>
      <c r="JM71" s="202"/>
      <c r="JN71" s="203"/>
      <c r="JO71" s="568"/>
      <c r="JP71" s="513"/>
      <c r="JQ71" s="388"/>
      <c r="JR71" s="499"/>
      <c r="JS71" s="517"/>
      <c r="JT71" s="501"/>
      <c r="JU71" s="531"/>
      <c r="JV71" s="229"/>
      <c r="JW71" s="229"/>
      <c r="JX71" s="229"/>
      <c r="JY71" s="530"/>
      <c r="JZ71" s="229"/>
      <c r="KA71" s="229"/>
      <c r="KB71" s="229"/>
      <c r="KC71" s="229"/>
      <c r="KD71" s="229"/>
      <c r="KE71" s="338"/>
      <c r="KF71" s="338"/>
      <c r="KG71" s="338"/>
      <c r="KH71" s="338"/>
      <c r="KI71" s="338"/>
      <c r="KJ71" s="338"/>
      <c r="KK71" s="513"/>
      <c r="KL71" s="70"/>
      <c r="KM71" s="513"/>
      <c r="KN71" s="70"/>
      <c r="KO71" s="70"/>
      <c r="KP71" s="70"/>
      <c r="KQ71" s="70"/>
      <c r="KR71" s="70"/>
      <c r="KS71" s="70"/>
      <c r="KT71" s="229"/>
      <c r="KU71" s="229"/>
      <c r="KV71" s="229"/>
      <c r="KW71" s="229"/>
      <c r="KX71" s="229"/>
      <c r="KY71" s="229"/>
      <c r="KZ71" s="338"/>
      <c r="LA71" s="338"/>
      <c r="LB71" s="338"/>
      <c r="LC71" s="338"/>
      <c r="LD71" s="338"/>
      <c r="LE71" s="338"/>
      <c r="LF71" s="513"/>
      <c r="LG71" s="497"/>
      <c r="LH71" s="497"/>
      <c r="LI71" s="70"/>
      <c r="LJ71" s="229"/>
      <c r="LK71" s="229"/>
      <c r="LL71" s="229"/>
      <c r="LM71" s="229"/>
      <c r="LN71" s="229"/>
      <c r="LO71" s="229"/>
      <c r="LP71" s="229"/>
      <c r="LQ71" s="229"/>
      <c r="LR71" s="229"/>
      <c r="LS71" s="229"/>
      <c r="LT71" s="229"/>
      <c r="LU71" s="338"/>
      <c r="LV71" s="338"/>
      <c r="LW71" s="338"/>
      <c r="LX71" s="338"/>
      <c r="LY71" s="338"/>
      <c r="LZ71" s="338"/>
      <c r="MA71" s="513"/>
      <c r="MB71" s="497"/>
      <c r="MC71" s="497"/>
      <c r="MD71" s="543"/>
      <c r="ME71" s="238"/>
      <c r="MF71" s="70"/>
      <c r="MG71" s="238"/>
      <c r="MH71" s="238"/>
      <c r="MI71" s="238"/>
      <c r="MJ71" s="238"/>
      <c r="MK71" s="238"/>
      <c r="ML71" s="238"/>
      <c r="MM71" s="238"/>
      <c r="MN71" s="238"/>
      <c r="MO71" s="238"/>
      <c r="MP71" s="238"/>
      <c r="MQ71" s="238"/>
      <c r="MR71" s="238"/>
      <c r="MS71" s="238"/>
      <c r="MT71" s="238"/>
      <c r="MU71" s="238"/>
      <c r="MV71" s="238"/>
      <c r="MW71" s="238"/>
      <c r="MX71" s="238"/>
      <c r="MY71" s="238"/>
      <c r="MZ71" s="238"/>
      <c r="NA71" s="238"/>
      <c r="NB71" s="219"/>
      <c r="NC71" s="236"/>
      <c r="ND71" s="237"/>
      <c r="NE71" s="237"/>
      <c r="NF71" s="237"/>
      <c r="NG71" s="237"/>
      <c r="NH71" s="237"/>
      <c r="NI71" s="237"/>
      <c r="NJ71" s="237"/>
      <c r="NK71" s="237"/>
      <c r="NL71" s="237"/>
      <c r="NM71" s="237"/>
      <c r="NN71" s="237"/>
      <c r="NO71" s="286"/>
      <c r="NP71" s="286"/>
      <c r="NQ71" s="286"/>
      <c r="NR71" s="286"/>
      <c r="NS71" s="286"/>
      <c r="NT71" s="286"/>
      <c r="NU71" s="468"/>
      <c r="NV71" s="468"/>
      <c r="NW71" s="476"/>
    </row>
    <row r="72" spans="1:387" ht="28.8">
      <c r="A72" s="1637"/>
      <c r="B72" s="1648"/>
      <c r="C72" s="1663" t="s">
        <v>6529</v>
      </c>
      <c r="D72" s="61"/>
      <c r="E72" s="61"/>
      <c r="F72" s="61"/>
      <c r="G72" s="61"/>
      <c r="H72" s="61"/>
      <c r="I72" s="61"/>
      <c r="J72" s="108"/>
      <c r="K72" s="108"/>
      <c r="L72" s="108"/>
      <c r="M72" s="108"/>
      <c r="N72" s="108"/>
      <c r="O72" s="108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108"/>
      <c r="AF72" s="108"/>
      <c r="AG72" s="108"/>
      <c r="AH72" s="108"/>
      <c r="AI72" s="108"/>
      <c r="AJ72" s="108"/>
      <c r="AK72" s="61"/>
      <c r="AL72" s="86"/>
      <c r="AM72" s="61"/>
      <c r="AN72" s="61"/>
      <c r="AO72" s="150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108"/>
      <c r="BA72" s="108"/>
      <c r="BB72" s="108"/>
      <c r="BC72" s="108"/>
      <c r="BD72" s="108"/>
      <c r="BE72" s="108"/>
      <c r="BF72" s="86"/>
      <c r="BG72" s="61"/>
      <c r="BH72" s="61"/>
      <c r="BI72" s="173"/>
      <c r="BJ72" s="173"/>
      <c r="BK72" s="173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108"/>
      <c r="BY72" s="108"/>
      <c r="BZ72" s="108"/>
      <c r="CA72" s="108"/>
      <c r="CB72" s="108"/>
      <c r="CC72" s="126"/>
      <c r="CD72" s="386"/>
      <c r="CE72" s="280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6"/>
      <c r="CR72" s="86"/>
      <c r="CS72" s="86"/>
      <c r="CT72" s="86"/>
      <c r="CU72" s="86"/>
      <c r="CV72" s="282"/>
      <c r="CW72" s="287"/>
      <c r="CX72" s="265"/>
      <c r="CY72" s="265"/>
      <c r="CZ72" s="265"/>
      <c r="DA72" s="265"/>
      <c r="DB72" s="295"/>
      <c r="DC72" s="627"/>
      <c r="DD72" s="60"/>
      <c r="DE72" s="61"/>
      <c r="DF72" s="61"/>
      <c r="DG72" s="61"/>
      <c r="DH72" s="251"/>
      <c r="DI72" s="247"/>
      <c r="DJ72" s="61"/>
      <c r="DK72" s="61"/>
      <c r="DL72" s="61"/>
      <c r="DM72" s="61"/>
      <c r="DN72" s="61"/>
      <c r="DO72" s="61"/>
      <c r="DP72" s="61"/>
      <c r="DQ72" s="61"/>
      <c r="DR72" s="61"/>
      <c r="DS72" s="108"/>
      <c r="DT72" s="108"/>
      <c r="DU72" s="108"/>
      <c r="DV72" s="108"/>
      <c r="DW72" s="108"/>
      <c r="DX72" s="126"/>
      <c r="DY72" s="93"/>
      <c r="DZ72" s="60"/>
      <c r="EA72" s="61"/>
      <c r="EB72" s="108"/>
      <c r="EC72" s="108"/>
      <c r="ED72" s="108"/>
      <c r="EE72" s="61"/>
      <c r="EF72" s="61"/>
      <c r="EG72" s="251"/>
      <c r="EH72" s="570" t="s">
        <v>6318</v>
      </c>
      <c r="EI72" s="168" t="s">
        <v>6318</v>
      </c>
      <c r="EJ72" s="61"/>
      <c r="EK72" s="61" t="s">
        <v>6317</v>
      </c>
      <c r="EL72" s="86"/>
      <c r="EM72" s="86"/>
      <c r="EN72" s="108"/>
      <c r="EO72" s="108"/>
      <c r="EP72" s="108"/>
      <c r="EQ72" s="108"/>
      <c r="ER72" s="108"/>
      <c r="ES72" s="126"/>
      <c r="ET72" s="222"/>
      <c r="EU72" s="168" t="s">
        <v>6317</v>
      </c>
      <c r="EV72" s="61"/>
      <c r="EW72" s="108"/>
      <c r="EX72" s="108"/>
      <c r="EY72" s="108"/>
      <c r="EZ72" s="61"/>
      <c r="FA72" s="61"/>
      <c r="FB72" s="61"/>
      <c r="FC72" s="211" t="s">
        <v>6331</v>
      </c>
      <c r="FD72" s="61"/>
      <c r="FE72" s="61"/>
      <c r="FF72" s="98" t="s">
        <v>6937</v>
      </c>
      <c r="FG72" s="61"/>
      <c r="FH72" s="86"/>
      <c r="FI72" s="108"/>
      <c r="FJ72" s="108"/>
      <c r="FK72" s="108"/>
      <c r="FL72" s="108"/>
      <c r="FM72" s="108"/>
      <c r="FN72" s="126"/>
      <c r="FO72" s="327" t="s">
        <v>6312</v>
      </c>
      <c r="FP72" s="60" t="s">
        <v>6937</v>
      </c>
      <c r="FQ72" s="61"/>
      <c r="FR72" s="327" t="s">
        <v>6312</v>
      </c>
      <c r="FS72" s="61" t="s">
        <v>6937</v>
      </c>
      <c r="FT72" s="649" t="s">
        <v>7026</v>
      </c>
      <c r="FU72" s="351" t="s">
        <v>6699</v>
      </c>
      <c r="FV72" s="61" t="s">
        <v>6937</v>
      </c>
      <c r="FW72" s="649" t="s">
        <v>7027</v>
      </c>
      <c r="FX72" s="98" t="s">
        <v>6937</v>
      </c>
      <c r="FY72" s="61"/>
      <c r="FZ72" s="61"/>
      <c r="GA72" s="98" t="s">
        <v>6937</v>
      </c>
      <c r="GB72" s="61" t="s">
        <v>6937</v>
      </c>
      <c r="GC72" s="61" t="s">
        <v>6966</v>
      </c>
      <c r="GD72" s="108"/>
      <c r="GE72" s="108"/>
      <c r="GF72" s="108"/>
      <c r="GG72" s="108"/>
      <c r="GH72" s="108"/>
      <c r="GI72" s="126"/>
      <c r="GJ72" s="61" t="s">
        <v>6318</v>
      </c>
      <c r="GK72" s="60" t="s">
        <v>6937</v>
      </c>
      <c r="GL72" s="61"/>
      <c r="GM72" s="61" t="s">
        <v>6331</v>
      </c>
      <c r="GN72" s="61"/>
      <c r="GO72" s="61"/>
      <c r="GP72" s="251" t="s">
        <v>6331</v>
      </c>
      <c r="GQ72" s="194" t="s">
        <v>6318</v>
      </c>
      <c r="GR72" s="185"/>
      <c r="GS72" s="341" t="s">
        <v>6699</v>
      </c>
      <c r="GT72" s="185"/>
      <c r="GU72" s="185"/>
      <c r="GV72" s="206" t="s">
        <v>6317</v>
      </c>
      <c r="GW72" s="185" t="s">
        <v>6343</v>
      </c>
      <c r="GX72" s="185" t="s">
        <v>7028</v>
      </c>
      <c r="GY72" s="185" t="s">
        <v>6331</v>
      </c>
      <c r="GZ72" s="206" t="s">
        <v>7029</v>
      </c>
      <c r="HA72" s="206" t="s">
        <v>7030</v>
      </c>
      <c r="HB72" s="265"/>
      <c r="HC72" s="265"/>
      <c r="HD72" s="265"/>
      <c r="HE72" s="185" t="s">
        <v>6318</v>
      </c>
      <c r="HF72" s="185" t="s">
        <v>6937</v>
      </c>
      <c r="HG72" s="185"/>
      <c r="HH72" s="185" t="s">
        <v>6318</v>
      </c>
      <c r="HI72" s="61" t="s">
        <v>6923</v>
      </c>
      <c r="HJ72" s="61"/>
      <c r="HK72" s="185" t="s">
        <v>6318</v>
      </c>
      <c r="HL72" s="185" t="s">
        <v>6937</v>
      </c>
      <c r="HM72" s="185"/>
      <c r="HN72" s="206" t="s">
        <v>6317</v>
      </c>
      <c r="HO72" s="185" t="s">
        <v>7029</v>
      </c>
      <c r="HP72" s="185"/>
      <c r="HQ72" s="206" t="s">
        <v>6317</v>
      </c>
      <c r="HR72" s="185" t="s">
        <v>6937</v>
      </c>
      <c r="HS72" s="272"/>
      <c r="HT72" s="265"/>
      <c r="HU72" s="265"/>
      <c r="HV72" s="265"/>
      <c r="HW72" s="265"/>
      <c r="HX72" s="265"/>
      <c r="HY72" s="265"/>
      <c r="HZ72" s="265" t="s">
        <v>6318</v>
      </c>
      <c r="IA72" s="265"/>
      <c r="IB72" s="273"/>
      <c r="IC72" s="194" t="s">
        <v>6331</v>
      </c>
      <c r="ID72" s="195"/>
      <c r="IE72" s="257"/>
      <c r="IF72" s="450" t="s">
        <v>6340</v>
      </c>
      <c r="IG72" s="449"/>
      <c r="IH72" s="257"/>
      <c r="II72" s="415" t="s">
        <v>6318</v>
      </c>
      <c r="IJ72" s="206" t="s">
        <v>6318</v>
      </c>
      <c r="IK72" s="257"/>
      <c r="IL72" s="415" t="s">
        <v>6317</v>
      </c>
      <c r="IM72" s="438" t="s">
        <v>6317</v>
      </c>
      <c r="IN72" s="257"/>
      <c r="IO72" s="287"/>
      <c r="IP72" s="265"/>
      <c r="IQ72" s="295"/>
      <c r="IR72" s="287"/>
      <c r="IS72" s="265"/>
      <c r="IT72" s="295"/>
      <c r="IU72" s="415" t="s">
        <v>6317</v>
      </c>
      <c r="IV72" s="453" t="s">
        <v>6318</v>
      </c>
      <c r="IW72" s="469"/>
      <c r="IX72" s="415" t="s">
        <v>6708</v>
      </c>
      <c r="IY72" s="185" t="s">
        <v>6318</v>
      </c>
      <c r="IZ72" s="257"/>
      <c r="JA72" s="415" t="s">
        <v>6317</v>
      </c>
      <c r="JB72" s="185" t="s">
        <v>6317</v>
      </c>
      <c r="JC72" s="257"/>
      <c r="JD72" s="415" t="s">
        <v>6317</v>
      </c>
      <c r="JE72" s="185" t="s">
        <v>7031</v>
      </c>
      <c r="JF72" s="257"/>
      <c r="JG72" s="414" t="s">
        <v>6317</v>
      </c>
      <c r="JH72" s="527" t="s">
        <v>6937</v>
      </c>
      <c r="JI72" s="257"/>
      <c r="JJ72" s="287"/>
      <c r="JK72" s="265"/>
      <c r="JL72" s="295"/>
      <c r="JM72" s="287"/>
      <c r="JN72" s="265"/>
      <c r="JO72" s="295"/>
      <c r="JP72" s="589"/>
      <c r="JQ72" s="388" t="s">
        <v>6937</v>
      </c>
      <c r="JR72" s="486"/>
      <c r="JS72" s="668"/>
      <c r="JT72" s="488" t="s">
        <v>6937</v>
      </c>
      <c r="JU72" s="527" t="s">
        <v>6919</v>
      </c>
      <c r="JV72" s="230"/>
      <c r="JW72" s="230" t="s">
        <v>6937</v>
      </c>
      <c r="JX72" s="230"/>
      <c r="JY72" s="528"/>
      <c r="JZ72" s="230" t="s">
        <v>6937</v>
      </c>
      <c r="KA72" s="230"/>
      <c r="KB72" s="230"/>
      <c r="KC72" s="230"/>
      <c r="KD72" s="230"/>
      <c r="KE72" s="339"/>
      <c r="KF72" s="339"/>
      <c r="KG72" s="339"/>
      <c r="KH72" s="339"/>
      <c r="KI72" s="339"/>
      <c r="KJ72" s="577"/>
      <c r="KK72" s="681" t="s">
        <v>6937</v>
      </c>
      <c r="KL72" s="70" t="s">
        <v>6937</v>
      </c>
      <c r="KM72" s="682"/>
      <c r="KN72" s="683" t="s">
        <v>6937</v>
      </c>
      <c r="KO72" s="60" t="s">
        <v>6317</v>
      </c>
      <c r="KP72" s="61"/>
      <c r="KQ72" s="683" t="s">
        <v>6937</v>
      </c>
      <c r="KR72" s="61" t="s">
        <v>6937</v>
      </c>
      <c r="KS72" s="61"/>
      <c r="KT72" s="230"/>
      <c r="KU72" s="230"/>
      <c r="KV72" s="230"/>
      <c r="KW72" s="230"/>
      <c r="KX72" s="230"/>
      <c r="KY72" s="230"/>
      <c r="KZ72" s="339"/>
      <c r="LA72" s="339"/>
      <c r="LB72" s="339"/>
      <c r="LC72" s="339"/>
      <c r="LD72" s="339"/>
      <c r="LE72" s="577"/>
      <c r="LF72" s="589"/>
      <c r="LG72" s="537"/>
      <c r="LH72" s="484"/>
      <c r="LI72" s="93"/>
      <c r="LJ72" s="527"/>
      <c r="LK72" s="230"/>
      <c r="LL72" s="230"/>
      <c r="LM72" s="230"/>
      <c r="LN72" s="230"/>
      <c r="LO72" s="230"/>
      <c r="LP72" s="230"/>
      <c r="LQ72" s="230"/>
      <c r="LR72" s="230"/>
      <c r="LS72" s="230"/>
      <c r="LT72" s="230"/>
      <c r="LU72" s="339"/>
      <c r="LV72" s="339"/>
      <c r="LW72" s="339"/>
      <c r="LX72" s="339"/>
      <c r="LY72" s="339"/>
      <c r="LZ72" s="577"/>
      <c r="MA72" s="589"/>
      <c r="MB72" s="537"/>
      <c r="MC72" s="484"/>
      <c r="MD72" s="222"/>
      <c r="ME72" s="589"/>
      <c r="MF72" s="93" t="s">
        <v>6937</v>
      </c>
      <c r="MG72" s="589"/>
      <c r="MH72" s="93"/>
      <c r="MI72" s="93" t="s">
        <v>6937</v>
      </c>
      <c r="MJ72" s="93"/>
      <c r="MK72" s="93"/>
      <c r="ML72" s="93" t="s">
        <v>6919</v>
      </c>
      <c r="MM72" s="93"/>
      <c r="MN72" s="93"/>
      <c r="MO72" s="93"/>
      <c r="MP72" s="93"/>
      <c r="MQ72" s="93"/>
      <c r="MR72" s="93"/>
      <c r="MS72" s="93"/>
      <c r="MT72" s="339"/>
      <c r="MU72" s="564"/>
      <c r="MV72" s="564"/>
      <c r="MW72" s="564"/>
      <c r="MX72" s="564"/>
      <c r="MY72" s="564"/>
      <c r="MZ72" s="589"/>
      <c r="NA72" s="589"/>
      <c r="NB72" s="697"/>
      <c r="NC72" s="415" t="s">
        <v>6318</v>
      </c>
      <c r="ND72" s="185" t="s">
        <v>6331</v>
      </c>
      <c r="NE72" s="185"/>
      <c r="NF72" s="453" t="s">
        <v>6318</v>
      </c>
      <c r="NG72" s="453"/>
      <c r="NH72" s="185"/>
      <c r="NI72" s="206" t="s">
        <v>6331</v>
      </c>
      <c r="NJ72" s="185"/>
      <c r="NK72" s="185"/>
      <c r="NL72" s="185" t="s">
        <v>6317</v>
      </c>
      <c r="NM72" s="185" t="s">
        <v>6318</v>
      </c>
      <c r="NN72" s="185"/>
      <c r="NO72" s="265"/>
      <c r="NP72" s="265"/>
      <c r="NQ72" s="265"/>
      <c r="NR72" s="413"/>
      <c r="NS72" s="265"/>
      <c r="NT72" s="265"/>
      <c r="NU72" s="206" t="s">
        <v>6317</v>
      </c>
      <c r="NV72" s="185"/>
      <c r="NW72" s="257"/>
    </row>
    <row r="73" spans="1:387" ht="28.8">
      <c r="A73" s="1638"/>
      <c r="B73" s="1651"/>
      <c r="C73" s="1664"/>
      <c r="D73" s="64" t="s">
        <v>6318</v>
      </c>
      <c r="E73" s="68"/>
      <c r="F73" s="68"/>
      <c r="G73" s="146" t="s">
        <v>6331</v>
      </c>
      <c r="H73" s="64"/>
      <c r="I73" s="68"/>
      <c r="J73" s="109"/>
      <c r="K73" s="109"/>
      <c r="L73" s="111"/>
      <c r="M73" s="109"/>
      <c r="N73" s="109"/>
      <c r="O73" s="109"/>
      <c r="P73" s="64" t="s">
        <v>6317</v>
      </c>
      <c r="R73" s="68"/>
      <c r="S73" s="70" t="s">
        <v>6317</v>
      </c>
      <c r="T73" s="67" t="s">
        <v>6317</v>
      </c>
      <c r="U73" s="68"/>
      <c r="V73" s="70" t="s">
        <v>6317</v>
      </c>
      <c r="X73" s="68"/>
      <c r="Y73" s="619" t="s">
        <v>6937</v>
      </c>
      <c r="Z73" s="67" t="s">
        <v>6937</v>
      </c>
      <c r="AA73" s="68"/>
      <c r="AB73" s="76" t="s">
        <v>6317</v>
      </c>
      <c r="AC73" s="67" t="s">
        <v>6317</v>
      </c>
      <c r="AD73" s="68"/>
      <c r="AE73" s="109"/>
      <c r="AF73" s="109"/>
      <c r="AG73" s="109"/>
      <c r="AH73" s="109"/>
      <c r="AI73" s="109"/>
      <c r="AJ73" s="109"/>
      <c r="AK73" s="328" t="s">
        <v>6315</v>
      </c>
      <c r="AL73" s="142" t="s">
        <v>6329</v>
      </c>
      <c r="AM73" s="79"/>
      <c r="AN73" s="70" t="s">
        <v>6937</v>
      </c>
      <c r="AO73" s="153" t="s">
        <v>6323</v>
      </c>
      <c r="AP73" s="68"/>
      <c r="AQ73" s="70" t="s">
        <v>6937</v>
      </c>
      <c r="AR73" s="68"/>
      <c r="AS73" s="68"/>
      <c r="AT73" s="152" t="s">
        <v>6937</v>
      </c>
      <c r="AU73" s="67" t="s">
        <v>6937</v>
      </c>
      <c r="AV73" s="68"/>
      <c r="AW73" s="148" t="s">
        <v>6317</v>
      </c>
      <c r="AX73" s="75" t="s">
        <v>6691</v>
      </c>
      <c r="AY73" s="68"/>
      <c r="AZ73" s="109"/>
      <c r="BA73" s="109"/>
      <c r="BB73" s="109"/>
      <c r="BC73" s="109"/>
      <c r="BD73" s="109"/>
      <c r="BE73" s="109"/>
      <c r="BF73" s="89"/>
      <c r="BG73" s="79"/>
      <c r="BH73" s="64"/>
      <c r="BI73" s="177"/>
      <c r="BJ73" s="176"/>
      <c r="BK73" s="176"/>
      <c r="BL73" s="70" t="s">
        <v>6318</v>
      </c>
      <c r="BN73" s="67" t="s">
        <v>6317</v>
      </c>
      <c r="BP73" s="152" t="s">
        <v>6317</v>
      </c>
      <c r="BQ73" s="68"/>
      <c r="BS73" s="68"/>
      <c r="BT73" s="148" t="s">
        <v>6317</v>
      </c>
      <c r="BU73" s="68"/>
      <c r="BV73" s="67" t="s">
        <v>6317</v>
      </c>
      <c r="BW73" s="68"/>
      <c r="BX73" s="109"/>
      <c r="BY73" s="109"/>
      <c r="BZ73" s="109"/>
      <c r="CA73" s="109"/>
      <c r="CB73" s="109"/>
      <c r="CC73" s="196"/>
      <c r="CD73" s="197" t="s">
        <v>6317</v>
      </c>
      <c r="CE73" s="198"/>
      <c r="CF73" s="198"/>
      <c r="CG73" s="199" t="s">
        <v>6317</v>
      </c>
      <c r="CH73" s="198"/>
      <c r="CI73" s="166" t="s">
        <v>7031</v>
      </c>
      <c r="CJ73" s="198"/>
      <c r="CK73" s="199" t="s">
        <v>6318</v>
      </c>
      <c r="CL73" s="198"/>
      <c r="CM73" s="166" t="s">
        <v>6314</v>
      </c>
      <c r="CN73" s="198"/>
      <c r="CO73" s="199" t="s">
        <v>6331</v>
      </c>
      <c r="CP73" s="198"/>
      <c r="CQ73" s="166" t="s">
        <v>7032</v>
      </c>
      <c r="CR73" s="198"/>
      <c r="CS73" s="199" t="s">
        <v>6937</v>
      </c>
      <c r="CT73" s="198"/>
      <c r="CU73" s="198"/>
      <c r="CV73" s="220"/>
      <c r="CW73" s="288"/>
      <c r="CX73" s="260"/>
      <c r="CY73" s="260"/>
      <c r="CZ73" s="260"/>
      <c r="DA73" s="260"/>
      <c r="DB73" s="296"/>
      <c r="DC73" s="628" t="s">
        <v>6937</v>
      </c>
      <c r="DD73" s="629" t="s">
        <v>6937</v>
      </c>
      <c r="DE73" s="64"/>
      <c r="DF73" s="152" t="s">
        <v>6318</v>
      </c>
      <c r="DG73" s="68"/>
      <c r="DH73" s="630" t="s">
        <v>6937</v>
      </c>
      <c r="DI73" s="248"/>
      <c r="DJ73" s="152" t="s">
        <v>6318</v>
      </c>
      <c r="DK73" s="67" t="s">
        <v>6318</v>
      </c>
      <c r="DL73" s="68"/>
      <c r="DM73" s="152" t="s">
        <v>6331</v>
      </c>
      <c r="DN73" s="68"/>
      <c r="DO73" s="68"/>
      <c r="DP73" s="152" t="s">
        <v>6318</v>
      </c>
      <c r="DQ73" s="68"/>
      <c r="DR73" s="68"/>
      <c r="DS73" s="109"/>
      <c r="DT73" s="109"/>
      <c r="DU73" s="109"/>
      <c r="DV73" s="109"/>
      <c r="DW73" s="109"/>
      <c r="DX73" s="196"/>
      <c r="DY73" s="64" t="s">
        <v>6315</v>
      </c>
      <c r="DZ73" s="79"/>
      <c r="EA73" s="64"/>
      <c r="EB73" s="111"/>
      <c r="EC73" s="111"/>
      <c r="ED73" s="111"/>
      <c r="EE73" s="64" t="s">
        <v>6315</v>
      </c>
      <c r="EF73" s="67" t="s">
        <v>6315</v>
      </c>
      <c r="EG73" s="329"/>
      <c r="EH73" s="640" t="s">
        <v>6584</v>
      </c>
      <c r="EI73" s="66" t="s">
        <v>7033</v>
      </c>
      <c r="EJ73" s="70"/>
      <c r="EK73" s="147" t="s">
        <v>6394</v>
      </c>
      <c r="EL73" s="70"/>
      <c r="EM73" s="70"/>
      <c r="EN73" s="110"/>
      <c r="EO73" s="110"/>
      <c r="EP73" s="110"/>
      <c r="EQ73" s="110"/>
      <c r="ER73" s="110"/>
      <c r="ES73" s="128"/>
      <c r="ET73" s="365" t="s">
        <v>6937</v>
      </c>
      <c r="EU73" s="66" t="s">
        <v>6587</v>
      </c>
      <c r="EV73" s="70"/>
      <c r="EW73" s="111"/>
      <c r="EX73" s="111"/>
      <c r="EY73" s="111"/>
      <c r="EZ73" s="64" t="s">
        <v>6317</v>
      </c>
      <c r="FA73" s="67" t="s">
        <v>7031</v>
      </c>
      <c r="FB73" s="68"/>
      <c r="FC73" s="148"/>
      <c r="FD73" s="70"/>
      <c r="FE73" s="70"/>
      <c r="FF73" s="147" t="s">
        <v>6540</v>
      </c>
      <c r="FG73" s="70"/>
      <c r="FH73" s="70"/>
      <c r="FI73" s="110"/>
      <c r="FJ73" s="110"/>
      <c r="FK73" s="110"/>
      <c r="FL73" s="110"/>
      <c r="FM73" s="110"/>
      <c r="FN73" s="128"/>
      <c r="FO73" s="330" t="s">
        <v>7034</v>
      </c>
      <c r="FP73" s="80" t="s">
        <v>7035</v>
      </c>
      <c r="FQ73" s="68"/>
      <c r="FR73" s="330" t="s">
        <v>7036</v>
      </c>
      <c r="FS73" s="70" t="s">
        <v>7037</v>
      </c>
      <c r="FT73" s="70"/>
      <c r="FU73" s="333" t="s">
        <v>6754</v>
      </c>
      <c r="FV73" s="70" t="s">
        <v>7038</v>
      </c>
      <c r="FW73" s="385" t="s">
        <v>7039</v>
      </c>
      <c r="FX73" s="330" t="s">
        <v>6409</v>
      </c>
      <c r="FY73" s="70" t="s">
        <v>6937</v>
      </c>
      <c r="FZ73" s="70"/>
      <c r="GA73" s="650" t="s">
        <v>7040</v>
      </c>
      <c r="GB73" s="68" t="s">
        <v>7041</v>
      </c>
      <c r="GC73" s="68" t="s">
        <v>6969</v>
      </c>
      <c r="GD73" s="110"/>
      <c r="GE73" s="110"/>
      <c r="GF73" s="110"/>
      <c r="GG73" s="110"/>
      <c r="GH73" s="110"/>
      <c r="GI73" s="128"/>
      <c r="GJ73" s="152" t="s">
        <v>6759</v>
      </c>
      <c r="GK73" s="80" t="s">
        <v>7020</v>
      </c>
      <c r="GL73" s="68"/>
      <c r="GM73" s="70"/>
      <c r="GN73" s="70"/>
      <c r="GO73" s="70"/>
      <c r="GP73" s="218"/>
      <c r="GQ73" s="201" t="s">
        <v>7042</v>
      </c>
      <c r="GR73" s="198"/>
      <c r="GS73" s="637" t="s">
        <v>6934</v>
      </c>
      <c r="GT73" s="198"/>
      <c r="GU73" s="198"/>
      <c r="GV73" s="199" t="s">
        <v>6416</v>
      </c>
      <c r="GW73" s="198" t="s">
        <v>7043</v>
      </c>
      <c r="GX73" s="198"/>
      <c r="GY73" s="199"/>
      <c r="GZ73" s="199" t="s">
        <v>7044</v>
      </c>
      <c r="HA73" s="199"/>
      <c r="HB73" s="260"/>
      <c r="HC73" s="260"/>
      <c r="HD73" s="260"/>
      <c r="HE73" s="235" t="s">
        <v>6420</v>
      </c>
      <c r="HF73" s="199" t="s">
        <v>7045</v>
      </c>
      <c r="HG73" s="198"/>
      <c r="HH73" s="235" t="s">
        <v>6752</v>
      </c>
      <c r="HI73" s="64" t="s">
        <v>6763</v>
      </c>
      <c r="HJ73" s="350" t="s">
        <v>7046</v>
      </c>
      <c r="HK73" s="235" t="s">
        <v>6591</v>
      </c>
      <c r="HL73" s="198" t="s">
        <v>7047</v>
      </c>
      <c r="HM73" s="198"/>
      <c r="HN73" s="198" t="s">
        <v>6426</v>
      </c>
      <c r="HO73" s="198" t="s">
        <v>7048</v>
      </c>
      <c r="HP73" s="198"/>
      <c r="HQ73" s="198" t="s">
        <v>6437</v>
      </c>
      <c r="HR73" s="198" t="s">
        <v>6429</v>
      </c>
      <c r="HS73" s="220"/>
      <c r="HT73" s="260"/>
      <c r="HU73" s="260"/>
      <c r="HV73" s="260"/>
      <c r="HW73" s="260"/>
      <c r="HX73" s="260"/>
      <c r="HY73" s="260"/>
      <c r="HZ73" s="260" t="s">
        <v>6430</v>
      </c>
      <c r="IA73" s="260"/>
      <c r="IB73" s="274"/>
      <c r="IC73" s="197"/>
      <c r="ID73" s="89"/>
      <c r="IE73" s="268"/>
      <c r="IF73" s="411" t="s">
        <v>6432</v>
      </c>
      <c r="IG73" s="645"/>
      <c r="IH73" s="268"/>
      <c r="II73" s="197" t="s">
        <v>6434</v>
      </c>
      <c r="IJ73" s="199" t="s">
        <v>7049</v>
      </c>
      <c r="IK73" s="268"/>
      <c r="IL73" s="201" t="s">
        <v>6436</v>
      </c>
      <c r="IM73" s="434" t="s">
        <v>6436</v>
      </c>
      <c r="IN73" s="268"/>
      <c r="IO73" s="288"/>
      <c r="IP73" s="260"/>
      <c r="IQ73" s="296"/>
      <c r="IR73" s="288"/>
      <c r="IS73" s="260"/>
      <c r="IT73" s="296"/>
      <c r="IU73" s="201" t="s">
        <v>6543</v>
      </c>
      <c r="IV73" s="454" t="s">
        <v>6434</v>
      </c>
      <c r="IW73" s="470"/>
      <c r="IX73" s="432" t="s">
        <v>6826</v>
      </c>
      <c r="IY73" s="198" t="s">
        <v>7050</v>
      </c>
      <c r="IZ73" s="268"/>
      <c r="JA73" s="201" t="s">
        <v>6441</v>
      </c>
      <c r="JB73" s="198" t="s">
        <v>6522</v>
      </c>
      <c r="JC73" s="268"/>
      <c r="JD73" s="234" t="s">
        <v>6443</v>
      </c>
      <c r="JE73" s="198" t="s">
        <v>7051</v>
      </c>
      <c r="JF73" s="268"/>
      <c r="JG73" s="234" t="s">
        <v>6827</v>
      </c>
      <c r="JH73" s="79" t="s">
        <v>7052</v>
      </c>
      <c r="JI73" s="268"/>
      <c r="JJ73" s="288"/>
      <c r="JK73" s="260"/>
      <c r="JL73" s="296"/>
      <c r="JM73" s="288"/>
      <c r="JN73" s="260"/>
      <c r="JO73" s="296"/>
      <c r="JP73" s="525" t="s">
        <v>6937</v>
      </c>
      <c r="JQ73" s="388" t="s">
        <v>7053</v>
      </c>
      <c r="JR73" s="489"/>
      <c r="JS73" s="490" t="s">
        <v>6318</v>
      </c>
      <c r="JT73" s="491" t="s">
        <v>6451</v>
      </c>
      <c r="JU73" s="79"/>
      <c r="JV73" s="525" t="s">
        <v>6937</v>
      </c>
      <c r="JW73" s="68" t="s">
        <v>7054</v>
      </c>
      <c r="JX73" s="68"/>
      <c r="JY73" s="515" t="s">
        <v>6318</v>
      </c>
      <c r="JZ73" s="68" t="s">
        <v>7055</v>
      </c>
      <c r="KA73" s="68"/>
      <c r="KB73" s="525" t="s">
        <v>6317</v>
      </c>
      <c r="KC73" s="87" t="s">
        <v>6317</v>
      </c>
      <c r="KD73" s="68"/>
      <c r="KE73" s="109"/>
      <c r="KF73" s="109"/>
      <c r="KG73" s="109"/>
      <c r="KH73" s="109"/>
      <c r="KI73" s="109"/>
      <c r="KJ73" s="196"/>
      <c r="KK73" s="100" t="s">
        <v>7056</v>
      </c>
      <c r="KL73" s="65" t="s">
        <v>7056</v>
      </c>
      <c r="KM73" s="534"/>
      <c r="KN73" s="148" t="s">
        <v>7057</v>
      </c>
      <c r="KO73" s="69" t="s">
        <v>6883</v>
      </c>
      <c r="KP73" s="68"/>
      <c r="KQ73" s="148" t="s">
        <v>7058</v>
      </c>
      <c r="KR73" s="68" t="s">
        <v>7059</v>
      </c>
      <c r="KS73" s="70"/>
      <c r="KT73" s="77" t="s">
        <v>6317</v>
      </c>
      <c r="KU73" s="68"/>
      <c r="KV73" s="68"/>
      <c r="KW73" s="77" t="s">
        <v>6318</v>
      </c>
      <c r="KX73" s="68"/>
      <c r="KY73" s="64"/>
      <c r="KZ73" s="109"/>
      <c r="LA73" s="109"/>
      <c r="LB73" s="109"/>
      <c r="LC73" s="109"/>
      <c r="LD73" s="109"/>
      <c r="LE73" s="196"/>
      <c r="LF73" s="77" t="s">
        <v>6318</v>
      </c>
      <c r="LG73" s="538"/>
      <c r="LH73" s="525"/>
      <c r="LI73" s="77" t="s">
        <v>6318</v>
      </c>
      <c r="LJ73" s="79"/>
      <c r="LK73" s="64"/>
      <c r="LL73" s="77" t="s">
        <v>6318</v>
      </c>
      <c r="LM73" s="68"/>
      <c r="LN73" s="68"/>
      <c r="LO73" s="525" t="s">
        <v>6937</v>
      </c>
      <c r="LP73" s="68"/>
      <c r="LQ73" s="68"/>
      <c r="LR73" s="77" t="s">
        <v>6317</v>
      </c>
      <c r="LS73" s="68"/>
      <c r="LT73" s="64"/>
      <c r="LU73" s="109"/>
      <c r="LV73" s="109"/>
      <c r="LW73" s="109"/>
      <c r="LX73" s="109"/>
      <c r="LY73" s="109"/>
      <c r="LZ73" s="196"/>
      <c r="MA73" s="77" t="s">
        <v>6931</v>
      </c>
      <c r="MB73" s="538"/>
      <c r="MC73" s="525"/>
      <c r="ME73" s="380" t="s">
        <v>6937</v>
      </c>
      <c r="MF73" s="146" t="s">
        <v>7060</v>
      </c>
      <c r="MG73" s="146"/>
      <c r="MH73" s="380" t="s">
        <v>6937</v>
      </c>
      <c r="MI73" s="146" t="s">
        <v>7061</v>
      </c>
      <c r="MJ73" s="146"/>
      <c r="MK73" s="560" t="s">
        <v>6318</v>
      </c>
      <c r="ML73" s="146" t="s">
        <v>6937</v>
      </c>
      <c r="MM73" s="146"/>
      <c r="MN73" s="560" t="s">
        <v>6318</v>
      </c>
      <c r="MO73" s="146"/>
      <c r="MP73" s="146"/>
      <c r="MQ73" s="560" t="s">
        <v>6318</v>
      </c>
      <c r="MR73" s="49" t="s">
        <v>6318</v>
      </c>
      <c r="MS73" s="146"/>
      <c r="MT73" s="132"/>
      <c r="MU73" s="132"/>
      <c r="MV73" s="132"/>
      <c r="MW73" s="132"/>
      <c r="MX73" s="132"/>
      <c r="MY73" s="132"/>
      <c r="MZ73" s="146" t="s">
        <v>6331</v>
      </c>
      <c r="NA73" s="146" t="s">
        <v>6331</v>
      </c>
      <c r="NB73" s="698"/>
      <c r="NC73" s="234" t="s">
        <v>6477</v>
      </c>
      <c r="ND73" s="198"/>
      <c r="NE73" s="198"/>
      <c r="NF73" s="235" t="s">
        <v>6479</v>
      </c>
      <c r="NG73" s="198"/>
      <c r="NH73" s="198"/>
      <c r="NI73" s="235"/>
      <c r="NJ73" s="198"/>
      <c r="NK73" s="198"/>
      <c r="NL73" s="198" t="s">
        <v>6473</v>
      </c>
      <c r="NM73" s="198" t="s">
        <v>6349</v>
      </c>
      <c r="NN73" s="198"/>
      <c r="NO73" s="260"/>
      <c r="NP73" s="260"/>
      <c r="NQ73" s="260"/>
      <c r="NR73" s="260"/>
      <c r="NS73" s="260"/>
      <c r="NT73" s="260"/>
      <c r="NU73" s="199" t="s">
        <v>6481</v>
      </c>
      <c r="NV73" s="703" t="s">
        <v>6482</v>
      </c>
      <c r="NW73" s="268"/>
    </row>
    <row r="74" spans="1:387" ht="14.4">
      <c r="A74" s="1638"/>
      <c r="B74" s="1651"/>
      <c r="C74" s="1664"/>
      <c r="D74" s="76" t="s">
        <v>6548</v>
      </c>
      <c r="E74" s="76"/>
      <c r="F74" s="70"/>
      <c r="G74" s="70"/>
      <c r="H74" s="68"/>
      <c r="I74" s="68"/>
      <c r="J74" s="581"/>
      <c r="K74" s="111"/>
      <c r="L74" s="109"/>
      <c r="M74" s="111"/>
      <c r="N74" s="111"/>
      <c r="O74" s="111"/>
      <c r="P74" s="77" t="s">
        <v>7062</v>
      </c>
      <c r="R74" s="70"/>
      <c r="S74" s="68" t="s">
        <v>7063</v>
      </c>
      <c r="T74" s="66" t="s">
        <v>7063</v>
      </c>
      <c r="U74" s="70"/>
      <c r="V74" s="68" t="s">
        <v>6553</v>
      </c>
      <c r="W74" s="66" t="s">
        <v>6937</v>
      </c>
      <c r="X74" s="70"/>
      <c r="Y74" s="70" t="s">
        <v>7064</v>
      </c>
      <c r="Z74" s="66" t="s">
        <v>7065</v>
      </c>
      <c r="AA74" s="70"/>
      <c r="AB74" s="143" t="s">
        <v>6360</v>
      </c>
      <c r="AC74" s="66" t="s">
        <v>6361</v>
      </c>
      <c r="AD74" s="70"/>
      <c r="AE74" s="111"/>
      <c r="AF74" s="111"/>
      <c r="AG74" s="111"/>
      <c r="AH74" s="111"/>
      <c r="AI74" s="111"/>
      <c r="AJ74" s="111"/>
      <c r="AK74" s="329" t="s">
        <v>7066</v>
      </c>
      <c r="AL74" s="142" t="s">
        <v>7067</v>
      </c>
      <c r="AM74" s="80"/>
      <c r="AN74" s="68" t="s">
        <v>7068</v>
      </c>
      <c r="AO74" s="157" t="s">
        <v>7069</v>
      </c>
      <c r="AP74" s="70"/>
      <c r="AQ74" s="68" t="s">
        <v>7070</v>
      </c>
      <c r="AR74" s="70"/>
      <c r="AS74" s="70"/>
      <c r="AT74" s="148" t="s">
        <v>7071</v>
      </c>
      <c r="AU74" s="66" t="s">
        <v>6566</v>
      </c>
      <c r="AV74" s="70"/>
      <c r="AW74" s="148" t="s">
        <v>6507</v>
      </c>
      <c r="AX74" s="75" t="s">
        <v>6732</v>
      </c>
      <c r="AY74" s="70"/>
      <c r="AZ74" s="111"/>
      <c r="BA74" s="111"/>
      <c r="BB74" s="111"/>
      <c r="BC74" s="111"/>
      <c r="BD74" s="111"/>
      <c r="BE74" s="111"/>
      <c r="BF74" s="89"/>
      <c r="BG74" s="80"/>
      <c r="BH74" s="68"/>
      <c r="BI74" s="176"/>
      <c r="BJ74" s="177"/>
      <c r="BK74" s="177"/>
      <c r="BL74" s="68" t="s">
        <v>6569</v>
      </c>
      <c r="BN74" s="66" t="s">
        <v>6373</v>
      </c>
      <c r="BP74" s="148" t="s">
        <v>6373</v>
      </c>
      <c r="BQ74" s="70"/>
      <c r="BS74" s="70"/>
      <c r="BT74" s="148" t="s">
        <v>6375</v>
      </c>
      <c r="BU74" s="70"/>
      <c r="BV74" s="66" t="s">
        <v>6375</v>
      </c>
      <c r="BW74" s="70"/>
      <c r="BX74" s="111"/>
      <c r="BY74" s="111"/>
      <c r="BZ74" s="111"/>
      <c r="CA74" s="111"/>
      <c r="CB74" s="111"/>
      <c r="CC74" s="200"/>
      <c r="CD74" s="197" t="s">
        <v>6376</v>
      </c>
      <c r="CE74" s="198"/>
      <c r="CF74" s="198"/>
      <c r="CG74" s="198" t="s">
        <v>6377</v>
      </c>
      <c r="CH74" s="198"/>
      <c r="CI74" s="166" t="s">
        <v>6377</v>
      </c>
      <c r="CJ74" s="198"/>
      <c r="CK74" s="199" t="s">
        <v>6378</v>
      </c>
      <c r="CL74" s="198"/>
      <c r="CM74" s="166" t="s">
        <v>6378</v>
      </c>
      <c r="CN74" s="198"/>
      <c r="CO74" s="198"/>
      <c r="CP74" s="198"/>
      <c r="CQ74" s="166" t="s">
        <v>6510</v>
      </c>
      <c r="CR74" s="198"/>
      <c r="CS74" s="199" t="s">
        <v>7072</v>
      </c>
      <c r="CT74" s="198"/>
      <c r="CU74" s="198"/>
      <c r="CV74" s="220"/>
      <c r="CW74" s="288"/>
      <c r="CX74" s="260"/>
      <c r="CY74" s="260"/>
      <c r="CZ74" s="260"/>
      <c r="DA74" s="260"/>
      <c r="DB74" s="296"/>
      <c r="DC74" s="310" t="s">
        <v>7073</v>
      </c>
      <c r="DD74" s="224" t="s">
        <v>7074</v>
      </c>
      <c r="DE74" s="68"/>
      <c r="DF74" s="76" t="s">
        <v>6512</v>
      </c>
      <c r="DG74" s="70"/>
      <c r="DH74" s="88" t="s">
        <v>7075</v>
      </c>
      <c r="DI74" s="249"/>
      <c r="DJ74" s="64" t="s">
        <v>7076</v>
      </c>
      <c r="DK74" s="66" t="s">
        <v>6525</v>
      </c>
      <c r="DL74" s="70"/>
      <c r="DM74" s="148"/>
      <c r="DN74" s="70"/>
      <c r="DO74" s="70"/>
      <c r="DP74" s="64" t="s">
        <v>7077</v>
      </c>
      <c r="DQ74" s="70"/>
      <c r="DR74" s="70"/>
      <c r="DS74" s="111"/>
      <c r="DT74" s="111"/>
      <c r="DU74" s="111"/>
      <c r="DV74" s="111"/>
      <c r="DW74" s="111"/>
      <c r="DX74" s="200"/>
      <c r="DY74" s="68" t="s">
        <v>6392</v>
      </c>
      <c r="DZ74" s="80"/>
      <c r="EA74" s="68"/>
      <c r="EB74" s="110"/>
      <c r="EC74" s="110"/>
      <c r="ED74" s="110"/>
      <c r="EE74" s="68" t="s">
        <v>6392</v>
      </c>
      <c r="EF74" s="66" t="s">
        <v>6392</v>
      </c>
      <c r="EG74" s="218"/>
      <c r="EH74" s="640" t="s">
        <v>6937</v>
      </c>
      <c r="EI74" s="66" t="s">
        <v>6937</v>
      </c>
      <c r="EJ74" s="70"/>
      <c r="EK74" s="64"/>
      <c r="EL74" s="70"/>
      <c r="EM74" s="70"/>
      <c r="EN74" s="110"/>
      <c r="EO74" s="110"/>
      <c r="EP74" s="110"/>
      <c r="EQ74" s="110"/>
      <c r="ER74" s="110"/>
      <c r="ES74" s="128"/>
      <c r="ET74" s="147" t="s">
        <v>7078</v>
      </c>
      <c r="EU74" s="66" t="s">
        <v>6937</v>
      </c>
      <c r="EV74" s="70"/>
      <c r="EW74" s="110"/>
      <c r="EX74" s="110"/>
      <c r="EY74" s="110"/>
      <c r="EZ74" s="147" t="s">
        <v>6396</v>
      </c>
      <c r="FA74" s="66" t="s">
        <v>6488</v>
      </c>
      <c r="FB74" s="70"/>
      <c r="FC74" s="64"/>
      <c r="FD74" s="70"/>
      <c r="FE74" s="70"/>
      <c r="FF74" s="64" t="s">
        <v>6317</v>
      </c>
      <c r="FG74" s="70"/>
      <c r="FH74" s="70"/>
      <c r="FI74" s="110"/>
      <c r="FJ74" s="110"/>
      <c r="FK74" s="110"/>
      <c r="FL74" s="110"/>
      <c r="FM74" s="110"/>
      <c r="FN74" s="128"/>
      <c r="FO74" s="104"/>
      <c r="FP74" s="69" t="s">
        <v>6317</v>
      </c>
      <c r="FQ74" s="70"/>
      <c r="FR74" s="70"/>
      <c r="FS74" s="70" t="s">
        <v>7031</v>
      </c>
      <c r="FT74" s="1628" t="s">
        <v>7079</v>
      </c>
      <c r="FU74" s="65"/>
      <c r="FV74" s="70" t="s">
        <v>6318</v>
      </c>
      <c r="FW74" s="70"/>
      <c r="FX74" s="148" t="s">
        <v>6490</v>
      </c>
      <c r="FY74" s="70" t="s">
        <v>6425</v>
      </c>
      <c r="FZ74" s="70"/>
      <c r="GA74" s="64"/>
      <c r="GB74" s="68" t="s">
        <v>6318</v>
      </c>
      <c r="GC74" s="70" t="s">
        <v>6937</v>
      </c>
      <c r="GD74" s="110"/>
      <c r="GE74" s="110"/>
      <c r="GF74" s="110"/>
      <c r="GG74" s="110"/>
      <c r="GH74" s="110"/>
      <c r="GI74" s="128"/>
      <c r="GJ74" s="64"/>
      <c r="GK74" s="69" t="s">
        <v>6318</v>
      </c>
      <c r="GL74" s="70"/>
      <c r="GM74" s="70"/>
      <c r="GN74" s="70"/>
      <c r="GO74" s="70"/>
      <c r="GP74" s="218"/>
      <c r="GQ74" s="201"/>
      <c r="GR74" s="198"/>
      <c r="GS74" s="199"/>
      <c r="GT74" s="198"/>
      <c r="GU74" s="198"/>
      <c r="GV74" s="198" t="s">
        <v>6691</v>
      </c>
      <c r="GW74" s="198"/>
      <c r="GX74" s="198"/>
      <c r="GY74" s="199"/>
      <c r="GZ74" s="199" t="s">
        <v>7080</v>
      </c>
      <c r="HA74" s="199"/>
      <c r="HB74" s="260"/>
      <c r="HC74" s="260"/>
      <c r="HD74" s="260"/>
      <c r="HE74" s="199" t="s">
        <v>6317</v>
      </c>
      <c r="HF74" s="198" t="s">
        <v>7081</v>
      </c>
      <c r="HG74" s="198"/>
      <c r="HH74" s="198"/>
      <c r="HI74" s="64" t="s">
        <v>6949</v>
      </c>
      <c r="HJ74" s="64"/>
      <c r="HK74" s="198"/>
      <c r="HL74" s="198"/>
      <c r="HM74" s="198"/>
      <c r="HN74" s="198" t="s">
        <v>6318</v>
      </c>
      <c r="HO74" s="198"/>
      <c r="HP74" s="198"/>
      <c r="HQ74" s="198" t="s">
        <v>6937</v>
      </c>
      <c r="HR74" s="198" t="s">
        <v>7082</v>
      </c>
      <c r="HS74" s="220"/>
      <c r="HT74" s="260"/>
      <c r="HU74" s="260"/>
      <c r="HV74" s="260"/>
      <c r="HW74" s="260"/>
      <c r="HX74" s="260"/>
      <c r="HY74" s="260"/>
      <c r="HZ74" s="260"/>
      <c r="IA74" s="260"/>
      <c r="IB74" s="274"/>
      <c r="IC74" s="201"/>
      <c r="ID74" s="89"/>
      <c r="IE74" s="268"/>
      <c r="IF74" s="410" t="s">
        <v>6494</v>
      </c>
      <c r="IG74" s="645"/>
      <c r="IH74" s="268"/>
      <c r="II74" s="234" t="s">
        <v>6424</v>
      </c>
      <c r="IJ74" s="199"/>
      <c r="IK74" s="268"/>
      <c r="IL74" s="201"/>
      <c r="IM74" s="198"/>
      <c r="IN74" s="268"/>
      <c r="IO74" s="288"/>
      <c r="IP74" s="260"/>
      <c r="IQ74" s="296"/>
      <c r="IR74" s="288"/>
      <c r="IS74" s="260"/>
      <c r="IT74" s="296"/>
      <c r="IU74" s="432"/>
      <c r="IV74" s="454" t="s">
        <v>6317</v>
      </c>
      <c r="IW74" s="470"/>
      <c r="IX74" s="201"/>
      <c r="IY74" s="198"/>
      <c r="IZ74" s="268"/>
      <c r="JA74" s="432" t="s">
        <v>6318</v>
      </c>
      <c r="JB74" s="198" t="s">
        <v>6708</v>
      </c>
      <c r="JC74" s="268"/>
      <c r="JD74" s="201"/>
      <c r="JE74" s="198" t="s">
        <v>6442</v>
      </c>
      <c r="JF74" s="268"/>
      <c r="JG74" s="201"/>
      <c r="JH74" s="65" t="s">
        <v>6318</v>
      </c>
      <c r="JI74" s="268"/>
      <c r="JJ74" s="288"/>
      <c r="JK74" s="260"/>
      <c r="JL74" s="296"/>
      <c r="JM74" s="288"/>
      <c r="JN74" s="260"/>
      <c r="JO74" s="296"/>
      <c r="JP74" s="494" t="s">
        <v>6610</v>
      </c>
      <c r="JQ74" s="388" t="s">
        <v>6318</v>
      </c>
      <c r="JR74" s="489"/>
      <c r="JS74" s="493" t="s">
        <v>7083</v>
      </c>
      <c r="JT74" s="491" t="s">
        <v>6318</v>
      </c>
      <c r="JU74" s="80"/>
      <c r="JV74" s="494" t="s">
        <v>7084</v>
      </c>
      <c r="JW74" s="65"/>
      <c r="JX74" s="70"/>
      <c r="JY74" s="492" t="s">
        <v>6806</v>
      </c>
      <c r="JZ74" s="65" t="s">
        <v>6318</v>
      </c>
      <c r="KA74" s="70"/>
      <c r="KB74" s="64" t="s">
        <v>6882</v>
      </c>
      <c r="KC74" s="65" t="s">
        <v>7085</v>
      </c>
      <c r="KD74" s="70"/>
      <c r="KE74" s="111"/>
      <c r="KF74" s="111"/>
      <c r="KG74" s="111"/>
      <c r="KH74" s="111"/>
      <c r="KI74" s="111"/>
      <c r="KJ74" s="200"/>
      <c r="KK74" s="684"/>
      <c r="KL74" s="104"/>
      <c r="KM74" s="535"/>
      <c r="KN74" s="77" t="s">
        <v>6317</v>
      </c>
      <c r="KO74" s="69" t="s">
        <v>6346</v>
      </c>
      <c r="KP74" s="70"/>
      <c r="KQ74" s="525"/>
      <c r="KR74" s="70"/>
      <c r="KS74" s="70"/>
      <c r="KT74" s="492" t="s">
        <v>7086</v>
      </c>
      <c r="KU74" s="546" t="s">
        <v>7087</v>
      </c>
      <c r="KV74" s="70"/>
      <c r="KW74" s="529" t="s">
        <v>6886</v>
      </c>
      <c r="KX74" s="547" t="s">
        <v>6621</v>
      </c>
      <c r="KY74" s="68"/>
      <c r="KZ74" s="111"/>
      <c r="LA74" s="111"/>
      <c r="LB74" s="111"/>
      <c r="LC74" s="111"/>
      <c r="LD74" s="111"/>
      <c r="LE74" s="200"/>
      <c r="LF74" s="529" t="s">
        <v>6462</v>
      </c>
      <c r="LG74" s="546" t="s">
        <v>6463</v>
      </c>
      <c r="LH74" s="503"/>
      <c r="LI74" s="529" t="s">
        <v>6889</v>
      </c>
      <c r="LJ74" s="546" t="s">
        <v>6890</v>
      </c>
      <c r="LK74" s="68"/>
      <c r="LL74" s="529" t="s">
        <v>6786</v>
      </c>
      <c r="LM74" s="547" t="s">
        <v>6787</v>
      </c>
      <c r="LN74" s="70"/>
      <c r="LO74" s="148" t="s">
        <v>7088</v>
      </c>
      <c r="LP74" s="70"/>
      <c r="LQ74" s="70"/>
      <c r="LR74" s="148" t="s">
        <v>6456</v>
      </c>
      <c r="LS74" s="70"/>
      <c r="LT74" s="68"/>
      <c r="LU74" s="111"/>
      <c r="LV74" s="111"/>
      <c r="LW74" s="111"/>
      <c r="LX74" s="111"/>
      <c r="LY74" s="111"/>
      <c r="LZ74" s="200"/>
      <c r="MA74" s="148" t="s">
        <v>7089</v>
      </c>
      <c r="MB74" s="534"/>
      <c r="MC74" s="503"/>
      <c r="ME74" s="146" t="s">
        <v>7090</v>
      </c>
      <c r="MF74" s="146" t="s">
        <v>6318</v>
      </c>
      <c r="MG74" s="146"/>
      <c r="MH74" s="146" t="s">
        <v>7091</v>
      </c>
      <c r="MI74" s="146" t="s">
        <v>6318</v>
      </c>
      <c r="MJ74" s="146"/>
      <c r="MK74" s="146" t="s">
        <v>6988</v>
      </c>
      <c r="ML74" s="146" t="s">
        <v>7092</v>
      </c>
      <c r="MM74" s="146"/>
      <c r="MN74" s="146" t="s">
        <v>6472</v>
      </c>
      <c r="MO74" s="146"/>
      <c r="MP74" s="146"/>
      <c r="MQ74" s="695" t="s">
        <v>6792</v>
      </c>
      <c r="MR74" s="49" t="s">
        <v>7093</v>
      </c>
      <c r="MS74" s="146"/>
      <c r="MT74" s="132"/>
      <c r="MU74" s="132"/>
      <c r="MV74" s="132"/>
      <c r="MW74" s="132"/>
      <c r="MX74" s="132"/>
      <c r="MY74" s="132"/>
      <c r="MZ74" s="560"/>
      <c r="NA74" s="560"/>
      <c r="NB74" s="698"/>
      <c r="NC74" s="201"/>
      <c r="ND74" s="198"/>
      <c r="NE74" s="198"/>
      <c r="NF74" s="198"/>
      <c r="NG74" s="198"/>
      <c r="NH74" s="198"/>
      <c r="NI74" s="198"/>
      <c r="NJ74" s="199"/>
      <c r="NK74" s="454"/>
      <c r="NL74" s="198"/>
      <c r="NM74" s="198"/>
      <c r="NN74" s="198"/>
      <c r="NO74" s="260"/>
      <c r="NP74" s="260"/>
      <c r="NQ74" s="260"/>
      <c r="NR74" s="260"/>
      <c r="NS74" s="260"/>
      <c r="NT74" s="260"/>
      <c r="NU74" s="454"/>
      <c r="NV74" s="454"/>
      <c r="NW74" s="470"/>
    </row>
    <row r="75" spans="1:387" ht="14.4">
      <c r="A75" s="1638"/>
      <c r="B75" s="1651"/>
      <c r="C75" s="1664"/>
      <c r="D75" s="77"/>
      <c r="E75" s="70"/>
      <c r="F75" s="70"/>
      <c r="G75" s="65"/>
      <c r="H75" s="70"/>
      <c r="I75" s="70"/>
      <c r="J75" s="109"/>
      <c r="K75" s="110"/>
      <c r="L75" s="111"/>
      <c r="M75" s="110"/>
      <c r="N75" s="110"/>
      <c r="O75" s="110"/>
      <c r="P75" s="70" t="s">
        <v>6937</v>
      </c>
      <c r="R75" s="70"/>
      <c r="S75" s="70" t="s">
        <v>6937</v>
      </c>
      <c r="T75" s="66" t="s">
        <v>6347</v>
      </c>
      <c r="U75" s="70"/>
      <c r="V75" s="70" t="s">
        <v>6937</v>
      </c>
      <c r="W75" s="66" t="s">
        <v>6354</v>
      </c>
      <c r="X75" s="70"/>
      <c r="Y75" s="64"/>
      <c r="Z75" s="70"/>
      <c r="AA75" s="70"/>
      <c r="AB75" s="76"/>
      <c r="AC75" s="66" t="s">
        <v>6315</v>
      </c>
      <c r="AD75" s="70"/>
      <c r="AE75" s="110"/>
      <c r="AF75" s="110"/>
      <c r="AG75" s="110"/>
      <c r="AH75" s="110"/>
      <c r="AI75" s="110"/>
      <c r="AJ75" s="110"/>
      <c r="AK75" s="218" t="s">
        <v>6937</v>
      </c>
      <c r="AL75" s="142" t="s">
        <v>6937</v>
      </c>
      <c r="AM75" s="69"/>
      <c r="AN75" s="70"/>
      <c r="AO75" s="157" t="s">
        <v>6937</v>
      </c>
      <c r="AP75" s="70"/>
      <c r="AQ75" s="70"/>
      <c r="AR75" s="70"/>
      <c r="AS75" s="70"/>
      <c r="AT75" s="64"/>
      <c r="AU75" s="70"/>
      <c r="AV75" s="70"/>
      <c r="AW75" s="76"/>
      <c r="AX75" s="66"/>
      <c r="AY75" s="70"/>
      <c r="AZ75" s="110"/>
      <c r="BA75" s="110"/>
      <c r="BB75" s="110"/>
      <c r="BC75" s="110"/>
      <c r="BD75" s="110"/>
      <c r="BE75" s="110"/>
      <c r="BF75" s="89"/>
      <c r="BG75" s="69"/>
      <c r="BH75" s="70"/>
      <c r="BI75" s="177"/>
      <c r="BJ75" s="177"/>
      <c r="BK75" s="177"/>
      <c r="BL75" s="70"/>
      <c r="BM75" s="70"/>
      <c r="BN75" s="70"/>
      <c r="BO75" s="70"/>
      <c r="BP75" s="64"/>
      <c r="BQ75" s="70"/>
      <c r="BR75" s="70"/>
      <c r="BS75" s="70"/>
      <c r="BT75" s="76"/>
      <c r="BU75" s="70"/>
      <c r="BV75" s="70"/>
      <c r="BW75" s="70"/>
      <c r="BX75" s="110"/>
      <c r="BY75" s="110"/>
      <c r="BZ75" s="110"/>
      <c r="CA75" s="110"/>
      <c r="CB75" s="110"/>
      <c r="CC75" s="128"/>
      <c r="CD75" s="201" t="s">
        <v>6485</v>
      </c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9"/>
      <c r="CT75" s="198"/>
      <c r="CU75" s="198"/>
      <c r="CV75" s="220"/>
      <c r="CW75" s="288"/>
      <c r="CX75" s="260"/>
      <c r="CY75" s="260"/>
      <c r="CZ75" s="260"/>
      <c r="DA75" s="260"/>
      <c r="DB75" s="296"/>
      <c r="DC75" s="300" t="s">
        <v>6318</v>
      </c>
      <c r="DD75" s="69"/>
      <c r="DE75" s="70"/>
      <c r="DF75" s="70"/>
      <c r="DG75" s="70"/>
      <c r="DH75" s="218"/>
      <c r="DI75" s="249"/>
      <c r="DJ75" s="70" t="s">
        <v>6643</v>
      </c>
      <c r="DK75" s="66" t="s">
        <v>7094</v>
      </c>
      <c r="DL75" s="70"/>
      <c r="DM75" s="64"/>
      <c r="DN75" s="70"/>
      <c r="DO75" s="70"/>
      <c r="DP75" s="76"/>
      <c r="DQ75" s="70"/>
      <c r="DR75" s="70"/>
      <c r="DS75" s="110"/>
      <c r="DT75" s="110"/>
      <c r="DU75" s="110"/>
      <c r="DV75" s="110"/>
      <c r="DW75" s="110"/>
      <c r="DX75" s="128"/>
      <c r="DY75" s="65" t="s">
        <v>6944</v>
      </c>
      <c r="DZ75" s="69"/>
      <c r="EA75" s="70"/>
      <c r="EB75" s="110"/>
      <c r="EC75" s="110"/>
      <c r="ED75" s="110"/>
      <c r="EE75" s="65" t="s">
        <v>6814</v>
      </c>
      <c r="EF75" s="66" t="s">
        <v>7095</v>
      </c>
      <c r="EG75" s="218"/>
      <c r="EH75" s="640" t="s">
        <v>6586</v>
      </c>
      <c r="EI75" s="66" t="s">
        <v>6586</v>
      </c>
      <c r="EJ75" s="70"/>
      <c r="EK75" s="147"/>
      <c r="EL75" s="229"/>
      <c r="EM75" s="229"/>
      <c r="EN75" s="338"/>
      <c r="EO75" s="338"/>
      <c r="EP75" s="338"/>
      <c r="EQ75" s="338"/>
      <c r="ER75" s="338"/>
      <c r="ES75" s="578"/>
      <c r="ET75" s="365"/>
      <c r="EU75" s="66" t="s">
        <v>6857</v>
      </c>
      <c r="EV75" s="70"/>
      <c r="EW75" s="110"/>
      <c r="EX75" s="110"/>
      <c r="EY75" s="110"/>
      <c r="EZ75" s="65"/>
      <c r="FA75" s="66" t="s">
        <v>6332</v>
      </c>
      <c r="FB75" s="70"/>
      <c r="FC75" s="87"/>
      <c r="FD75" s="70"/>
      <c r="FE75" s="70"/>
      <c r="FF75" s="147" t="s">
        <v>6750</v>
      </c>
      <c r="FG75" s="70"/>
      <c r="FH75" s="229"/>
      <c r="FI75" s="338"/>
      <c r="FJ75" s="338"/>
      <c r="FK75" s="338"/>
      <c r="FL75" s="338"/>
      <c r="FM75" s="338"/>
      <c r="FN75" s="578"/>
      <c r="FO75" s="646"/>
      <c r="FP75" s="69" t="s">
        <v>6402</v>
      </c>
      <c r="FQ75" s="70"/>
      <c r="FR75" s="70"/>
      <c r="FS75" s="70" t="s">
        <v>6402</v>
      </c>
      <c r="FT75" s="1629"/>
      <c r="FU75" s="146"/>
      <c r="FV75" s="70" t="s">
        <v>6407</v>
      </c>
      <c r="FW75" s="70"/>
      <c r="FX75" s="87"/>
      <c r="FY75" s="70" t="s">
        <v>6406</v>
      </c>
      <c r="FZ75" s="70"/>
      <c r="GA75" s="147"/>
      <c r="GB75" s="70" t="s">
        <v>6867</v>
      </c>
      <c r="GC75" s="478"/>
      <c r="GD75" s="112"/>
      <c r="GE75" s="112"/>
      <c r="GF75" s="112"/>
      <c r="GG75" s="112"/>
      <c r="GH75" s="112"/>
      <c r="GI75" s="651"/>
      <c r="GJ75" s="68"/>
      <c r="GK75" s="69" t="s">
        <v>6412</v>
      </c>
      <c r="GL75" s="70"/>
      <c r="GM75" s="70"/>
      <c r="GN75" s="70"/>
      <c r="GO75" s="70"/>
      <c r="GP75" s="218"/>
      <c r="GQ75" s="201"/>
      <c r="GR75" s="198"/>
      <c r="GS75" s="199"/>
      <c r="GT75" s="198"/>
      <c r="GU75" s="198"/>
      <c r="GV75" s="199" t="s">
        <v>6909</v>
      </c>
      <c r="GW75" s="198"/>
      <c r="GX75" s="198"/>
      <c r="GY75" s="199"/>
      <c r="GZ75" s="199" t="s">
        <v>6763</v>
      </c>
      <c r="HA75" s="199"/>
      <c r="HB75" s="260"/>
      <c r="HC75" s="260"/>
      <c r="HD75" s="260"/>
      <c r="HE75" s="199" t="s">
        <v>7096</v>
      </c>
      <c r="HF75" s="198" t="s">
        <v>7097</v>
      </c>
      <c r="HG75" s="198"/>
      <c r="HH75" s="198"/>
      <c r="HI75" s="68" t="s">
        <v>6686</v>
      </c>
      <c r="HJ75" s="64"/>
      <c r="HK75" s="198"/>
      <c r="HL75" s="198"/>
      <c r="HM75" s="198"/>
      <c r="HN75" s="235" t="s">
        <v>6406</v>
      </c>
      <c r="HO75" s="198"/>
      <c r="HP75" s="198"/>
      <c r="HQ75" s="199" t="s">
        <v>7098</v>
      </c>
      <c r="HR75" s="198" t="s">
        <v>7099</v>
      </c>
      <c r="HS75" s="220"/>
      <c r="HT75" s="260"/>
      <c r="HU75" s="260"/>
      <c r="HV75" s="260"/>
      <c r="HW75" s="260"/>
      <c r="HX75" s="260"/>
      <c r="HY75" s="260"/>
      <c r="HZ75" s="405"/>
      <c r="IA75" s="260"/>
      <c r="IB75" s="274"/>
      <c r="IC75" s="234"/>
      <c r="ID75" s="89"/>
      <c r="IE75" s="268"/>
      <c r="IF75" s="201"/>
      <c r="IG75" s="645"/>
      <c r="IH75" s="268"/>
      <c r="II75" s="234"/>
      <c r="IJ75" s="199"/>
      <c r="IK75" s="268"/>
      <c r="IL75" s="197"/>
      <c r="IM75" s="198"/>
      <c r="IN75" s="268"/>
      <c r="IO75" s="288"/>
      <c r="IP75" s="260"/>
      <c r="IQ75" s="296"/>
      <c r="IR75" s="288"/>
      <c r="IS75" s="260"/>
      <c r="IT75" s="296"/>
      <c r="IU75" s="582"/>
      <c r="IV75" s="454" t="s">
        <v>6544</v>
      </c>
      <c r="IW75" s="470"/>
      <c r="IX75" s="234"/>
      <c r="IY75" s="198"/>
      <c r="IZ75" s="268"/>
      <c r="JA75" s="197" t="s">
        <v>6653</v>
      </c>
      <c r="JB75" s="198" t="s">
        <v>6826</v>
      </c>
      <c r="JC75" s="268"/>
      <c r="JD75" s="234"/>
      <c r="JE75" s="198"/>
      <c r="JF75" s="268"/>
      <c r="JG75" s="197"/>
      <c r="JH75" s="69" t="s">
        <v>6914</v>
      </c>
      <c r="JI75" s="268"/>
      <c r="JJ75" s="288"/>
      <c r="JK75" s="260"/>
      <c r="JL75" s="296"/>
      <c r="JM75" s="288"/>
      <c r="JN75" s="260"/>
      <c r="JO75" s="296"/>
      <c r="JP75" s="513"/>
      <c r="JQ75" s="388" t="s">
        <v>6449</v>
      </c>
      <c r="JR75" s="489"/>
      <c r="JS75" s="517"/>
      <c r="JT75" s="491" t="s">
        <v>6777</v>
      </c>
      <c r="JU75" s="69"/>
      <c r="JV75" s="525"/>
      <c r="JW75" s="70"/>
      <c r="JX75" s="70"/>
      <c r="JY75" s="510" t="s">
        <v>6937</v>
      </c>
      <c r="JZ75" s="70" t="s">
        <v>6806</v>
      </c>
      <c r="KA75" s="70"/>
      <c r="KB75" s="64"/>
      <c r="KC75" s="70"/>
      <c r="KD75" s="70"/>
      <c r="KE75" s="110"/>
      <c r="KF75" s="110"/>
      <c r="KG75" s="110"/>
      <c r="KH75" s="110"/>
      <c r="KI75" s="110"/>
      <c r="KJ75" s="128"/>
      <c r="KK75" s="685"/>
      <c r="KL75" s="104"/>
      <c r="KM75" s="535"/>
      <c r="KN75" s="349" t="s">
        <v>6455</v>
      </c>
      <c r="KO75" s="70"/>
      <c r="KP75" s="70"/>
      <c r="KQ75" s="357"/>
      <c r="KR75" s="70"/>
      <c r="KS75" s="70"/>
      <c r="KT75" s="70"/>
      <c r="KU75" s="70"/>
      <c r="KV75" s="70"/>
      <c r="KW75" s="64"/>
      <c r="KX75" s="70"/>
      <c r="KY75" s="70"/>
      <c r="KZ75" s="110"/>
      <c r="LA75" s="110"/>
      <c r="LB75" s="110"/>
      <c r="LC75" s="110"/>
      <c r="LD75" s="110"/>
      <c r="LE75" s="128"/>
      <c r="LF75" s="77" t="s">
        <v>6317</v>
      </c>
      <c r="LG75" s="535"/>
      <c r="LH75" s="513"/>
      <c r="LI75" s="513"/>
      <c r="LJ75" s="513"/>
      <c r="LK75" s="70"/>
      <c r="LL75" s="77" t="s">
        <v>6317</v>
      </c>
      <c r="LM75" s="70"/>
      <c r="LN75" s="70"/>
      <c r="LO75" s="525"/>
      <c r="LP75" s="70"/>
      <c r="LQ75" s="70"/>
      <c r="LR75" s="525" t="s">
        <v>6937</v>
      </c>
      <c r="LS75" s="70"/>
      <c r="LT75" s="70"/>
      <c r="LU75" s="110"/>
      <c r="LV75" s="110"/>
      <c r="LW75" s="110"/>
      <c r="LX75" s="110"/>
      <c r="LY75" s="110"/>
      <c r="LZ75" s="128"/>
      <c r="MA75" s="513"/>
      <c r="MB75" s="535"/>
      <c r="MC75" s="513"/>
      <c r="ME75" s="560" t="s">
        <v>6318</v>
      </c>
      <c r="MF75" s="146" t="s">
        <v>7100</v>
      </c>
      <c r="MG75" s="560"/>
      <c r="MH75" s="560" t="s">
        <v>6318</v>
      </c>
      <c r="MI75" s="146" t="s">
        <v>6892</v>
      </c>
      <c r="MJ75" s="146"/>
      <c r="MK75" s="380" t="s">
        <v>6937</v>
      </c>
      <c r="ML75" s="146"/>
      <c r="MM75" s="146"/>
      <c r="MN75" s="695" t="s">
        <v>6502</v>
      </c>
      <c r="MO75" s="380"/>
      <c r="MP75" s="560"/>
      <c r="MQ75" s="146" t="s">
        <v>6317</v>
      </c>
      <c r="MR75" s="146"/>
      <c r="MS75" s="146"/>
      <c r="MT75" s="132"/>
      <c r="MU75" s="132"/>
      <c r="MV75" s="132"/>
      <c r="MW75" s="132"/>
      <c r="MX75" s="132"/>
      <c r="MY75" s="132"/>
      <c r="MZ75" s="560"/>
      <c r="NA75" s="560"/>
      <c r="NB75" s="699"/>
      <c r="NC75" s="201"/>
      <c r="ND75" s="198"/>
      <c r="NE75" s="198"/>
      <c r="NF75" s="198"/>
      <c r="NG75" s="198"/>
      <c r="NH75" s="454"/>
      <c r="NI75" s="454"/>
      <c r="NJ75" s="454"/>
      <c r="NK75" s="454"/>
      <c r="NL75" s="198"/>
      <c r="NM75" s="198"/>
      <c r="NN75" s="198"/>
      <c r="NO75" s="260"/>
      <c r="NP75" s="260"/>
      <c r="NQ75" s="260"/>
      <c r="NR75" s="260"/>
      <c r="NS75" s="260"/>
      <c r="NT75" s="260"/>
      <c r="NU75" s="454"/>
      <c r="NV75" s="454"/>
      <c r="NW75" s="470"/>
    </row>
    <row r="76" spans="1:387" ht="14.4">
      <c r="A76" s="1638"/>
      <c r="B76" s="1651"/>
      <c r="C76" s="1664"/>
      <c r="D76" s="65"/>
      <c r="E76" s="70"/>
      <c r="F76" s="70"/>
      <c r="G76" s="64"/>
      <c r="H76" s="76"/>
      <c r="I76" s="70"/>
      <c r="J76" s="111"/>
      <c r="K76" s="110"/>
      <c r="L76" s="110"/>
      <c r="M76" s="110"/>
      <c r="N76" s="110"/>
      <c r="O76" s="110"/>
      <c r="P76" s="77" t="s">
        <v>7101</v>
      </c>
      <c r="R76" s="70"/>
      <c r="S76" s="77" t="s">
        <v>6356</v>
      </c>
      <c r="T76" s="66" t="s">
        <v>6817</v>
      </c>
      <c r="U76" s="70"/>
      <c r="V76" s="143" t="s">
        <v>7102</v>
      </c>
      <c r="X76" s="70"/>
      <c r="Y76" s="143"/>
      <c r="Z76" s="70"/>
      <c r="AA76" s="70"/>
      <c r="AB76" s="143"/>
      <c r="AC76" s="66" t="s">
        <v>6727</v>
      </c>
      <c r="AD76" s="70"/>
      <c r="AE76" s="110"/>
      <c r="AF76" s="110"/>
      <c r="AG76" s="110"/>
      <c r="AH76" s="110"/>
      <c r="AI76" s="110"/>
      <c r="AJ76" s="110"/>
      <c r="AK76" s="218" t="s">
        <v>7103</v>
      </c>
      <c r="AL76" s="142" t="s">
        <v>7104</v>
      </c>
      <c r="AM76" s="69"/>
      <c r="AN76" s="77"/>
      <c r="AO76" s="157" t="s">
        <v>7105</v>
      </c>
      <c r="AP76" s="70"/>
      <c r="AQ76" s="143"/>
      <c r="AR76" s="70"/>
      <c r="AS76" s="70"/>
      <c r="AT76" s="143"/>
      <c r="AU76" s="70"/>
      <c r="AV76" s="70"/>
      <c r="AW76" s="143"/>
      <c r="AX76" s="66" t="s">
        <v>6937</v>
      </c>
      <c r="AY76" s="70"/>
      <c r="AZ76" s="110"/>
      <c r="BA76" s="110"/>
      <c r="BB76" s="110"/>
      <c r="BC76" s="110"/>
      <c r="BD76" s="110"/>
      <c r="BE76" s="110"/>
      <c r="BF76" s="89"/>
      <c r="BG76" s="69"/>
      <c r="BH76" s="70"/>
      <c r="BI76" s="178"/>
      <c r="BJ76" s="177"/>
      <c r="BK76" s="177"/>
      <c r="BL76" s="143"/>
      <c r="BM76" s="70"/>
      <c r="BN76" s="70"/>
      <c r="BO76" s="70"/>
      <c r="BP76" s="143"/>
      <c r="BQ76" s="70"/>
      <c r="BR76" s="70"/>
      <c r="BS76" s="70"/>
      <c r="BT76" s="143"/>
      <c r="BU76" s="70"/>
      <c r="BV76" s="70"/>
      <c r="BW76" s="70"/>
      <c r="BX76" s="110"/>
      <c r="BY76" s="110"/>
      <c r="BZ76" s="110"/>
      <c r="CA76" s="110"/>
      <c r="CB76" s="110"/>
      <c r="CC76" s="128"/>
      <c r="CD76" s="201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/>
      <c r="CO76" s="198"/>
      <c r="CP76" s="198"/>
      <c r="CQ76" s="198"/>
      <c r="CR76" s="198"/>
      <c r="CS76" s="198"/>
      <c r="CT76" s="198"/>
      <c r="CU76" s="198"/>
      <c r="CV76" s="220"/>
      <c r="CW76" s="288"/>
      <c r="CX76" s="260"/>
      <c r="CY76" s="260"/>
      <c r="CZ76" s="260"/>
      <c r="DA76" s="286"/>
      <c r="DB76" s="311"/>
      <c r="DC76" s="631" t="s">
        <v>6510</v>
      </c>
      <c r="DD76" s="69"/>
      <c r="DE76" s="70"/>
      <c r="DF76" s="87"/>
      <c r="DG76" s="70"/>
      <c r="DH76" s="218"/>
      <c r="DI76" s="249"/>
      <c r="DJ76" s="76" t="s">
        <v>7106</v>
      </c>
      <c r="DK76" s="70"/>
      <c r="DL76" s="70"/>
      <c r="DM76" s="76"/>
      <c r="DN76" s="70"/>
      <c r="DO76" s="70"/>
      <c r="DP76" s="87"/>
      <c r="DQ76" s="70"/>
      <c r="DR76" s="70"/>
      <c r="DS76" s="110"/>
      <c r="DT76" s="110"/>
      <c r="DU76" s="110"/>
      <c r="DV76" s="110"/>
      <c r="DW76" s="110"/>
      <c r="DX76" s="128"/>
      <c r="DY76" s="633"/>
      <c r="DZ76" s="69"/>
      <c r="EA76" s="70"/>
      <c r="EB76" s="110"/>
      <c r="EC76" s="110"/>
      <c r="ED76" s="110"/>
      <c r="EE76" s="349" t="s">
        <v>6318</v>
      </c>
      <c r="EF76" s="70"/>
      <c r="EG76" s="218"/>
      <c r="EH76" s="641"/>
      <c r="EI76" s="230"/>
      <c r="EJ76" s="230"/>
      <c r="EK76" s="230"/>
      <c r="EL76" s="230"/>
      <c r="EM76" s="230"/>
      <c r="EN76" s="339"/>
      <c r="EO76" s="339"/>
      <c r="EP76" s="339"/>
      <c r="EQ76" s="339"/>
      <c r="ER76" s="339"/>
      <c r="ES76" s="339"/>
      <c r="ET76" s="77"/>
      <c r="EU76" s="69"/>
      <c r="EV76" s="70"/>
      <c r="EW76" s="110"/>
      <c r="EX76" s="110"/>
      <c r="EY76" s="110"/>
      <c r="EZ76" s="146"/>
      <c r="FA76" s="66" t="s">
        <v>6858</v>
      </c>
      <c r="FB76" s="70"/>
      <c r="FC76" s="229"/>
      <c r="FD76" s="229"/>
      <c r="FE76" s="229"/>
      <c r="FF76" s="229"/>
      <c r="FG76" s="229"/>
      <c r="FH76" s="230"/>
      <c r="FI76" s="339"/>
      <c r="FJ76" s="339"/>
      <c r="FK76" s="339"/>
      <c r="FL76" s="339"/>
      <c r="FM76" s="339"/>
      <c r="FN76" s="339"/>
      <c r="FO76" s="392"/>
      <c r="FP76" s="531"/>
      <c r="FQ76" s="229"/>
      <c r="FR76" s="229"/>
      <c r="FS76" s="229"/>
      <c r="FT76" s="229"/>
      <c r="FU76" s="368"/>
      <c r="FV76" s="229"/>
      <c r="FW76" s="229"/>
      <c r="FX76" s="229"/>
      <c r="FY76" s="229"/>
      <c r="FZ76" s="229"/>
      <c r="GA76" s="229"/>
      <c r="GB76" s="229"/>
      <c r="GC76" s="71"/>
      <c r="GD76" s="119"/>
      <c r="GE76" s="119"/>
      <c r="GF76" s="119"/>
      <c r="GG76" s="119"/>
      <c r="GH76" s="119"/>
      <c r="GI76" s="119"/>
      <c r="GJ76" s="84"/>
      <c r="GK76" s="69"/>
      <c r="GL76" s="70"/>
      <c r="GM76" s="70"/>
      <c r="GN76" s="70"/>
      <c r="GO76" s="70"/>
      <c r="GP76" s="652"/>
      <c r="GQ76" s="201"/>
      <c r="GR76" s="198"/>
      <c r="GS76" s="198"/>
      <c r="GT76" s="198"/>
      <c r="GU76" s="198"/>
      <c r="GV76" s="198"/>
      <c r="GW76" s="198"/>
      <c r="GX76" s="198"/>
      <c r="GY76" s="199"/>
      <c r="GZ76" s="199" t="s">
        <v>6647</v>
      </c>
      <c r="HA76" s="199"/>
      <c r="HB76" s="260"/>
      <c r="HC76" s="260"/>
      <c r="HD76" s="260"/>
      <c r="HE76" s="198"/>
      <c r="HF76" s="198"/>
      <c r="HG76" s="198"/>
      <c r="HH76" s="198"/>
      <c r="HI76" s="49" t="s">
        <v>7107</v>
      </c>
      <c r="HJ76" s="68"/>
      <c r="HK76" s="198"/>
      <c r="HL76" s="198"/>
      <c r="HM76" s="198"/>
      <c r="HN76" s="198"/>
      <c r="HO76" s="198"/>
      <c r="HP76" s="198"/>
      <c r="HQ76" s="198"/>
      <c r="HR76" s="198" t="s">
        <v>6318</v>
      </c>
      <c r="HS76" s="220"/>
      <c r="HT76" s="89"/>
      <c r="HU76" s="89"/>
      <c r="HV76" s="89"/>
      <c r="HW76" s="89"/>
      <c r="HX76" s="89"/>
      <c r="HY76" s="89"/>
      <c r="HZ76" s="89"/>
      <c r="IA76" s="89"/>
      <c r="IB76" s="216"/>
      <c r="IC76" s="620"/>
      <c r="ID76" s="89"/>
      <c r="IE76" s="658"/>
      <c r="IF76" s="620"/>
      <c r="IG76" s="645"/>
      <c r="IH76" s="658"/>
      <c r="II76" s="620"/>
      <c r="IJ76" s="89"/>
      <c r="IK76" s="658"/>
      <c r="IL76" s="620"/>
      <c r="IM76" s="89"/>
      <c r="IN76" s="658"/>
      <c r="IO76" s="620"/>
      <c r="IP76" s="89"/>
      <c r="IQ76" s="658"/>
      <c r="IR76" s="620"/>
      <c r="IS76" s="89"/>
      <c r="IT76" s="658"/>
      <c r="IU76" s="620"/>
      <c r="IV76" s="89"/>
      <c r="IW76" s="658"/>
      <c r="IX76" s="620"/>
      <c r="IY76" s="89"/>
      <c r="IZ76" s="658"/>
      <c r="JA76" s="620"/>
      <c r="JB76" s="89"/>
      <c r="JC76" s="658"/>
      <c r="JD76" s="620"/>
      <c r="JE76" s="89"/>
      <c r="JF76" s="658"/>
      <c r="JG76" s="620"/>
      <c r="JH76" s="69"/>
      <c r="JI76" s="658"/>
      <c r="JJ76" s="620"/>
      <c r="JK76" s="89"/>
      <c r="JL76" s="658"/>
      <c r="JM76" s="620"/>
      <c r="JN76" s="89"/>
      <c r="JO76" s="658"/>
      <c r="JP76" s="512"/>
      <c r="JQ76" s="388"/>
      <c r="JR76" s="489"/>
      <c r="JS76" s="521"/>
      <c r="JT76" s="491"/>
      <c r="JU76" s="69"/>
      <c r="JV76" s="357"/>
      <c r="JW76" s="70"/>
      <c r="JX76" s="70"/>
      <c r="JY76" s="510" t="s">
        <v>6615</v>
      </c>
      <c r="JZ76" s="65"/>
      <c r="KA76" s="70"/>
      <c r="KB76" s="147"/>
      <c r="KC76" s="70"/>
      <c r="KD76" s="70"/>
      <c r="KE76" s="110"/>
      <c r="KF76" s="110"/>
      <c r="KG76" s="110"/>
      <c r="KH76" s="110"/>
      <c r="KI76" s="110"/>
      <c r="KJ76" s="128"/>
      <c r="KK76" s="560"/>
      <c r="KL76" s="146"/>
      <c r="KM76" s="560"/>
      <c r="KN76" s="686" t="s">
        <v>6500</v>
      </c>
      <c r="KO76" s="198"/>
      <c r="KP76" s="198"/>
      <c r="KQ76" s="198"/>
      <c r="KR76" s="198"/>
      <c r="KS76" s="198"/>
      <c r="KT76" s="64"/>
      <c r="KU76" s="70"/>
      <c r="KV76" s="70"/>
      <c r="KW76" s="147"/>
      <c r="KX76" s="70"/>
      <c r="KY76" s="70"/>
      <c r="KZ76" s="110"/>
      <c r="LA76" s="110"/>
      <c r="LB76" s="110"/>
      <c r="LC76" s="110"/>
      <c r="LD76" s="110"/>
      <c r="LE76" s="128"/>
      <c r="LF76" s="492" t="s">
        <v>6807</v>
      </c>
      <c r="LG76" s="547" t="s">
        <v>6785</v>
      </c>
      <c r="LH76" s="513"/>
      <c r="LI76" s="513"/>
      <c r="LJ76" s="513"/>
      <c r="LK76" s="70"/>
      <c r="LL76" s="492" t="s">
        <v>7108</v>
      </c>
      <c r="LM76" s="547" t="s">
        <v>6888</v>
      </c>
      <c r="LN76" s="70"/>
      <c r="LO76" s="148"/>
      <c r="LP76" s="70"/>
      <c r="LQ76" s="70"/>
      <c r="LR76" s="148" t="s">
        <v>7109</v>
      </c>
      <c r="LS76" s="70"/>
      <c r="LT76" s="70"/>
      <c r="LU76" s="110"/>
      <c r="LV76" s="110"/>
      <c r="LW76" s="110"/>
      <c r="LX76" s="110"/>
      <c r="LY76" s="110"/>
      <c r="LZ76" s="128"/>
      <c r="MA76" s="693"/>
      <c r="MB76" s="535"/>
      <c r="MC76" s="513"/>
      <c r="ME76" s="380" t="s">
        <v>6789</v>
      </c>
      <c r="MF76" s="146"/>
      <c r="MG76" s="560"/>
      <c r="MH76" s="146" t="s">
        <v>7110</v>
      </c>
      <c r="MI76" s="146"/>
      <c r="MJ76" s="146"/>
      <c r="MK76" s="695" t="s">
        <v>7111</v>
      </c>
      <c r="ML76" s="146"/>
      <c r="MM76" s="560"/>
      <c r="MN76" s="560"/>
      <c r="MO76" s="146"/>
      <c r="MP76" s="560"/>
      <c r="MQ76" s="146" t="s">
        <v>6473</v>
      </c>
      <c r="MR76" s="146"/>
      <c r="MS76" s="146"/>
      <c r="MT76" s="132"/>
      <c r="MU76" s="132"/>
      <c r="MV76" s="132"/>
      <c r="MW76" s="132"/>
      <c r="MX76" s="132"/>
      <c r="MY76" s="132"/>
      <c r="MZ76" s="560"/>
      <c r="NA76" s="560"/>
      <c r="NB76" s="699"/>
      <c r="NC76" s="197"/>
      <c r="ND76" s="198"/>
      <c r="NE76" s="198"/>
      <c r="NF76" s="198"/>
      <c r="NG76" s="198"/>
      <c r="NH76" s="198"/>
      <c r="NI76" s="198"/>
      <c r="NJ76" s="198"/>
      <c r="NK76" s="198"/>
      <c r="NL76" s="198"/>
      <c r="NM76" s="198"/>
      <c r="NN76" s="198"/>
      <c r="NO76" s="260"/>
      <c r="NP76" s="260"/>
      <c r="NQ76" s="260"/>
      <c r="NR76" s="260"/>
      <c r="NS76" s="260"/>
      <c r="NT76" s="260"/>
      <c r="NU76" s="454"/>
      <c r="NV76" s="454"/>
      <c r="NW76" s="470"/>
    </row>
    <row r="77" spans="1:387" ht="14.4">
      <c r="A77" s="1638"/>
      <c r="B77" s="1651"/>
      <c r="C77" s="1664"/>
      <c r="D77" s="71"/>
      <c r="E77" s="70"/>
      <c r="F77" s="70"/>
      <c r="G77" s="64"/>
      <c r="H77" s="76"/>
      <c r="I77" s="70"/>
      <c r="J77" s="110"/>
      <c r="K77" s="110"/>
      <c r="L77" s="110"/>
      <c r="M77" s="110"/>
      <c r="N77" s="110"/>
      <c r="O77" s="110"/>
      <c r="P77" s="87"/>
      <c r="R77" s="70"/>
      <c r="S77" s="87"/>
      <c r="T77" s="66" t="s">
        <v>6320</v>
      </c>
      <c r="U77" s="70"/>
      <c r="V77" s="76"/>
      <c r="W77" s="70"/>
      <c r="X77" s="70"/>
      <c r="Y77" s="76"/>
      <c r="Z77" s="70"/>
      <c r="AA77" s="70"/>
      <c r="AB77" s="76"/>
      <c r="AC77" s="66" t="s">
        <v>6317</v>
      </c>
      <c r="AD77" s="70"/>
      <c r="AE77" s="110"/>
      <c r="AF77" s="110"/>
      <c r="AG77" s="110"/>
      <c r="AH77" s="110"/>
      <c r="AI77" s="110"/>
      <c r="AJ77" s="110"/>
      <c r="AK77" s="70"/>
      <c r="AL77" s="83"/>
      <c r="AM77" s="70"/>
      <c r="AN77" s="87"/>
      <c r="AO77" s="154"/>
      <c r="AP77" s="70"/>
      <c r="AQ77" s="76"/>
      <c r="AR77" s="70"/>
      <c r="AS77" s="70"/>
      <c r="AT77" s="76"/>
      <c r="AU77" s="70"/>
      <c r="AV77" s="70"/>
      <c r="AW77" s="76"/>
      <c r="AX77" s="66" t="s">
        <v>7112</v>
      </c>
      <c r="AY77" s="70"/>
      <c r="AZ77" s="110"/>
      <c r="BA77" s="110"/>
      <c r="BB77" s="110"/>
      <c r="BC77" s="110"/>
      <c r="BD77" s="110"/>
      <c r="BE77" s="110"/>
      <c r="BF77" s="70"/>
      <c r="BG77" s="69"/>
      <c r="BH77" s="70"/>
      <c r="BI77" s="181"/>
      <c r="BJ77" s="177"/>
      <c r="BK77" s="177"/>
      <c r="BL77" s="76"/>
      <c r="BM77" s="70"/>
      <c r="BN77" s="70"/>
      <c r="BO77" s="70"/>
      <c r="BP77" s="76"/>
      <c r="BQ77" s="70"/>
      <c r="BR77" s="70"/>
      <c r="BS77" s="70"/>
      <c r="BT77" s="76"/>
      <c r="BU77" s="70"/>
      <c r="BV77" s="70"/>
      <c r="BW77" s="70"/>
      <c r="BX77" s="110"/>
      <c r="BY77" s="110"/>
      <c r="BZ77" s="110"/>
      <c r="CA77" s="110"/>
      <c r="CB77" s="110"/>
      <c r="CC77" s="128"/>
      <c r="CD77" s="620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220"/>
      <c r="CW77" s="289"/>
      <c r="CX77" s="271"/>
      <c r="CY77" s="271"/>
      <c r="CZ77" s="271"/>
      <c r="DA77" s="260"/>
      <c r="DB77" s="260"/>
      <c r="DC77" s="235" t="s">
        <v>6524</v>
      </c>
      <c r="DD77" s="198"/>
      <c r="DE77" s="198"/>
      <c r="DF77" s="198"/>
      <c r="DG77" s="198"/>
      <c r="DH77" s="198"/>
      <c r="DI77" s="198"/>
      <c r="DJ77" s="198"/>
      <c r="DK77" s="198"/>
      <c r="DL77" s="198"/>
      <c r="DM77" s="198"/>
      <c r="DN77" s="198"/>
      <c r="DO77" s="198"/>
      <c r="DP77" s="198"/>
      <c r="DQ77" s="198"/>
      <c r="DR77" s="198"/>
      <c r="DS77" s="260"/>
      <c r="DT77" s="260"/>
      <c r="DU77" s="260"/>
      <c r="DV77" s="260"/>
      <c r="DW77" s="260"/>
      <c r="DX77" s="260"/>
      <c r="DY77" s="198"/>
      <c r="DZ77" s="198"/>
      <c r="EA77" s="198"/>
      <c r="EB77" s="260"/>
      <c r="EC77" s="260"/>
      <c r="ED77" s="634"/>
      <c r="EE77" s="235" t="s">
        <v>7113</v>
      </c>
      <c r="EF77" s="198"/>
      <c r="EG77" s="220"/>
      <c r="EH77" s="52"/>
      <c r="EL77" s="68"/>
      <c r="EM77" s="68"/>
      <c r="EN77" s="111"/>
      <c r="EO77" s="111"/>
      <c r="EP77" s="111"/>
      <c r="EQ77" s="111"/>
      <c r="ER77" s="111"/>
      <c r="ES77" s="111"/>
      <c r="ET77" s="365" t="s">
        <v>6937</v>
      </c>
      <c r="EU77" s="68"/>
      <c r="EV77" s="64" t="s">
        <v>6919</v>
      </c>
      <c r="EW77" s="111"/>
      <c r="EX77" s="111"/>
      <c r="EY77" s="111"/>
      <c r="EZ77" s="152" t="s">
        <v>6331</v>
      </c>
      <c r="FA77" s="68"/>
      <c r="FB77" s="68"/>
      <c r="FC77" s="230"/>
      <c r="FD77" s="230"/>
      <c r="FE77" s="230"/>
      <c r="FF77" s="230"/>
      <c r="FG77" s="230"/>
      <c r="FH77" s="68"/>
      <c r="FI77" s="111"/>
      <c r="FJ77" s="111"/>
      <c r="FK77" s="111"/>
      <c r="FL77" s="111"/>
      <c r="FM77" s="111"/>
      <c r="FN77" s="111"/>
      <c r="FO77" s="64"/>
      <c r="FP77" s="230"/>
      <c r="FQ77" s="230"/>
      <c r="FR77" s="230"/>
      <c r="FS77" s="230"/>
      <c r="FT77" s="230"/>
      <c r="FU77" s="230"/>
      <c r="FV77" s="230"/>
      <c r="FW77" s="230"/>
      <c r="FX77" s="230"/>
      <c r="FY77" s="230"/>
      <c r="FZ77" s="230"/>
      <c r="GA77" s="230"/>
      <c r="GB77" s="230"/>
      <c r="GC77" s="64"/>
      <c r="GD77" s="109"/>
      <c r="GE77" s="109"/>
      <c r="GF77" s="109"/>
      <c r="GG77" s="109"/>
      <c r="GH77" s="109"/>
      <c r="GI77" s="196"/>
      <c r="GJ77" s="84"/>
      <c r="GK77" s="69"/>
      <c r="GL77" s="70"/>
      <c r="GM77" s="70"/>
      <c r="GN77" s="70"/>
      <c r="GO77" s="70"/>
      <c r="GP77" s="652"/>
      <c r="GQ77" s="201"/>
      <c r="GR77" s="198"/>
      <c r="GS77" s="198"/>
      <c r="GT77" s="198"/>
      <c r="GU77" s="198"/>
      <c r="GV77" s="198"/>
      <c r="GW77" s="198"/>
      <c r="GX77" s="198"/>
      <c r="GY77" s="199"/>
      <c r="GZ77" s="199"/>
      <c r="HA77" s="199"/>
      <c r="HB77" s="260"/>
      <c r="HC77" s="260"/>
      <c r="HD77" s="260"/>
      <c r="HE77" s="198"/>
      <c r="HF77" s="198"/>
      <c r="HG77" s="198"/>
      <c r="HH77" s="198"/>
      <c r="HI77" s="229" t="s">
        <v>6949</v>
      </c>
      <c r="HJ77" s="229"/>
      <c r="HK77" s="198"/>
      <c r="HL77" s="198"/>
      <c r="HM77" s="198"/>
      <c r="HN77" s="198"/>
      <c r="HO77" s="198"/>
      <c r="HP77" s="198"/>
      <c r="HQ77" s="198"/>
      <c r="HR77" s="198" t="s">
        <v>6838</v>
      </c>
      <c r="HS77" s="220"/>
      <c r="HT77" s="260"/>
      <c r="HU77" s="260"/>
      <c r="HV77" s="260"/>
      <c r="HW77" s="260"/>
      <c r="HX77" s="260"/>
      <c r="HY77" s="260"/>
      <c r="HZ77" s="260"/>
      <c r="IA77" s="260"/>
      <c r="IB77" s="274"/>
      <c r="IC77" s="201"/>
      <c r="ID77" s="198"/>
      <c r="IE77" s="268"/>
      <c r="IF77" s="234"/>
      <c r="IG77" s="198"/>
      <c r="IH77" s="268"/>
      <c r="II77" s="234"/>
      <c r="IJ77" s="199"/>
      <c r="IK77" s="268"/>
      <c r="IL77" s="234"/>
      <c r="IM77" s="198"/>
      <c r="IN77" s="268"/>
      <c r="IO77" s="288"/>
      <c r="IP77" s="260"/>
      <c r="IQ77" s="296"/>
      <c r="IR77" s="288"/>
      <c r="IS77" s="260"/>
      <c r="IT77" s="296"/>
      <c r="IU77" s="432"/>
      <c r="IV77" s="454"/>
      <c r="IW77" s="470"/>
      <c r="IX77" s="201"/>
      <c r="IY77" s="198"/>
      <c r="IZ77" s="268"/>
      <c r="JA77" s="234"/>
      <c r="JB77" s="198"/>
      <c r="JC77" s="268"/>
      <c r="JD77" s="234"/>
      <c r="JE77" s="198"/>
      <c r="JF77" s="268"/>
      <c r="JG77" s="234"/>
      <c r="JH77" s="661"/>
      <c r="JI77" s="268"/>
      <c r="JJ77" s="288"/>
      <c r="JK77" s="260"/>
      <c r="JL77" s="296"/>
      <c r="JM77" s="288"/>
      <c r="JN77" s="260"/>
      <c r="JO77" s="296"/>
      <c r="JP77" s="669"/>
      <c r="JQ77" s="388"/>
      <c r="JR77" s="489"/>
      <c r="JS77" s="670"/>
      <c r="JT77" s="491"/>
      <c r="JU77" s="661"/>
      <c r="JV77" s="662"/>
      <c r="JW77" s="662"/>
      <c r="JX77" s="662"/>
      <c r="JY77" s="530"/>
      <c r="JZ77" s="229"/>
      <c r="KA77" s="229"/>
      <c r="KB77" s="229"/>
      <c r="KC77" s="229"/>
      <c r="KD77" s="229"/>
      <c r="KE77" s="338"/>
      <c r="KF77" s="338"/>
      <c r="KG77" s="338"/>
      <c r="KH77" s="338"/>
      <c r="KI77" s="338"/>
      <c r="KJ77" s="578"/>
      <c r="KK77" s="595"/>
      <c r="KL77" s="368"/>
      <c r="KM77" s="595"/>
      <c r="KN77" s="543"/>
      <c r="KO77" s="543"/>
      <c r="KP77" s="543"/>
      <c r="KQ77" s="543"/>
      <c r="KR77" s="543"/>
      <c r="KS77" s="543"/>
      <c r="KT77" s="229"/>
      <c r="KU77" s="229"/>
      <c r="KV77" s="229"/>
      <c r="KW77" s="229"/>
      <c r="KX77" s="229"/>
      <c r="KY77" s="229"/>
      <c r="KZ77" s="338"/>
      <c r="LA77" s="338"/>
      <c r="LB77" s="338"/>
      <c r="LC77" s="338"/>
      <c r="LD77" s="338"/>
      <c r="LE77" s="578"/>
      <c r="LF77" s="689"/>
      <c r="LG77" s="539"/>
      <c r="LH77" s="497"/>
      <c r="LI77" s="497"/>
      <c r="LJ77" s="497"/>
      <c r="LK77" s="229"/>
      <c r="LL77" s="148" t="s">
        <v>6890</v>
      </c>
      <c r="LM77" s="229"/>
      <c r="LN77" s="229"/>
      <c r="LO77" s="229"/>
      <c r="LP77" s="229"/>
      <c r="LQ77" s="229"/>
      <c r="LR77" s="229"/>
      <c r="LS77" s="229"/>
      <c r="LT77" s="229"/>
      <c r="LU77" s="338"/>
      <c r="LV77" s="338"/>
      <c r="LW77" s="338"/>
      <c r="LX77" s="338"/>
      <c r="LY77" s="338"/>
      <c r="LZ77" s="578"/>
      <c r="MA77" s="689"/>
      <c r="MB77" s="539"/>
      <c r="MC77" s="497"/>
      <c r="ME77" s="146" t="s">
        <v>6809</v>
      </c>
      <c r="MF77" s="146"/>
      <c r="MG77" s="560"/>
      <c r="MH77" s="380"/>
      <c r="MI77" s="146"/>
      <c r="MJ77" s="146"/>
      <c r="MK77" s="146"/>
      <c r="ML77" s="146"/>
      <c r="MM77" s="146"/>
      <c r="MN77" s="146"/>
      <c r="MO77" s="146"/>
      <c r="MP77" s="146"/>
      <c r="MQ77" s="146"/>
      <c r="MR77" s="146"/>
      <c r="MS77" s="146"/>
      <c r="MT77" s="132"/>
      <c r="MU77" s="132"/>
      <c r="MV77" s="132"/>
      <c r="MW77" s="132"/>
      <c r="MX77" s="132"/>
      <c r="MY77" s="132"/>
      <c r="MZ77" s="560"/>
      <c r="NA77" s="560"/>
      <c r="NB77" s="699"/>
      <c r="NC77" s="201"/>
      <c r="ND77" s="198"/>
      <c r="NE77" s="198"/>
      <c r="NF77" s="198"/>
      <c r="NG77" s="198"/>
      <c r="NH77" s="198"/>
      <c r="NI77" s="198"/>
      <c r="NJ77" s="198"/>
      <c r="NK77" s="198"/>
      <c r="NL77" s="198"/>
      <c r="NM77" s="198"/>
      <c r="NN77" s="198"/>
      <c r="NO77" s="260"/>
      <c r="NP77" s="260"/>
      <c r="NQ77" s="260"/>
      <c r="NR77" s="260"/>
      <c r="NS77" s="260"/>
      <c r="NT77" s="260"/>
      <c r="NU77" s="454"/>
      <c r="NV77" s="454"/>
      <c r="NW77" s="470"/>
    </row>
    <row r="78" spans="1:387" ht="14.4">
      <c r="A78" s="1639"/>
      <c r="B78" s="1652"/>
      <c r="C78" s="1665"/>
      <c r="D78" s="97"/>
      <c r="E78" s="73"/>
      <c r="F78" s="73"/>
      <c r="G78" s="97"/>
      <c r="H78" s="103"/>
      <c r="I78" s="73"/>
      <c r="J78" s="114"/>
      <c r="K78" s="114"/>
      <c r="L78" s="114"/>
      <c r="M78" s="114"/>
      <c r="N78" s="114"/>
      <c r="O78" s="114"/>
      <c r="P78" s="92"/>
      <c r="Q78" s="543"/>
      <c r="R78" s="73"/>
      <c r="S78" s="92"/>
      <c r="T78" s="144" t="s">
        <v>7114</v>
      </c>
      <c r="U78" s="73"/>
      <c r="V78" s="103"/>
      <c r="W78" s="73"/>
      <c r="X78" s="73"/>
      <c r="Y78" s="103"/>
      <c r="Z78" s="73"/>
      <c r="AA78" s="73"/>
      <c r="AB78" s="103"/>
      <c r="AC78" s="144" t="s">
        <v>6558</v>
      </c>
      <c r="AD78" s="73"/>
      <c r="AE78" s="114"/>
      <c r="AF78" s="114"/>
      <c r="AG78" s="114"/>
      <c r="AH78" s="114"/>
      <c r="AI78" s="114"/>
      <c r="AJ78" s="114"/>
      <c r="AK78" s="73"/>
      <c r="AL78" s="73"/>
      <c r="AM78" s="73"/>
      <c r="AN78" s="92"/>
      <c r="AO78" s="155"/>
      <c r="AP78" s="73"/>
      <c r="AQ78" s="103"/>
      <c r="AR78" s="73"/>
      <c r="AS78" s="73"/>
      <c r="AT78" s="103"/>
      <c r="AU78" s="73"/>
      <c r="AV78" s="73"/>
      <c r="AW78" s="103"/>
      <c r="AX78" s="144"/>
      <c r="AY78" s="73"/>
      <c r="AZ78" s="114"/>
      <c r="BA78" s="114"/>
      <c r="BB78" s="114"/>
      <c r="BC78" s="114"/>
      <c r="BD78" s="114"/>
      <c r="BE78" s="114"/>
      <c r="BF78" s="73"/>
      <c r="BG78" s="72"/>
      <c r="BH78" s="73"/>
      <c r="BI78" s="179"/>
      <c r="BJ78" s="180"/>
      <c r="BK78" s="180"/>
      <c r="BL78" s="103"/>
      <c r="BM78" s="73"/>
      <c r="BN78" s="73"/>
      <c r="BO78" s="73"/>
      <c r="BP78" s="103"/>
      <c r="BQ78" s="73"/>
      <c r="BR78" s="73"/>
      <c r="BS78" s="73"/>
      <c r="BT78" s="103"/>
      <c r="BU78" s="73"/>
      <c r="BV78" s="73"/>
      <c r="BW78" s="73"/>
      <c r="BX78" s="114"/>
      <c r="BY78" s="114"/>
      <c r="BZ78" s="114"/>
      <c r="CA78" s="114"/>
      <c r="CB78" s="114"/>
      <c r="CC78" s="130"/>
      <c r="CD78" s="445"/>
      <c r="CE78" s="205"/>
      <c r="CF78" s="205"/>
      <c r="CG78" s="621"/>
      <c r="CH78" s="205"/>
      <c r="CI78" s="205"/>
      <c r="CJ78" s="205"/>
      <c r="CK78" s="621"/>
      <c r="CL78" s="205"/>
      <c r="CM78" s="205"/>
      <c r="CN78" s="205"/>
      <c r="CO78" s="621"/>
      <c r="CP78" s="205"/>
      <c r="CQ78" s="205"/>
      <c r="CR78" s="205"/>
      <c r="CS78" s="621"/>
      <c r="CT78" s="205"/>
      <c r="CU78" s="205"/>
      <c r="CV78" s="261"/>
      <c r="CW78" s="622"/>
      <c r="CX78" s="622"/>
      <c r="CY78" s="622"/>
      <c r="CZ78" s="622"/>
      <c r="DA78" s="271"/>
      <c r="DB78" s="271"/>
      <c r="DC78" s="205"/>
      <c r="DD78" s="205"/>
      <c r="DE78" s="205"/>
      <c r="DF78" s="205"/>
      <c r="DG78" s="205"/>
      <c r="DH78" s="205"/>
      <c r="DI78" s="205"/>
      <c r="DJ78" s="205"/>
      <c r="DK78" s="205"/>
      <c r="DL78" s="205"/>
      <c r="DM78" s="205"/>
      <c r="DN78" s="205"/>
      <c r="DO78" s="205"/>
      <c r="DP78" s="205"/>
      <c r="DQ78" s="205"/>
      <c r="DR78" s="205"/>
      <c r="DS78" s="271"/>
      <c r="DT78" s="271"/>
      <c r="DU78" s="271"/>
      <c r="DV78" s="271"/>
      <c r="DW78" s="271"/>
      <c r="DX78" s="271"/>
      <c r="DY78" s="205"/>
      <c r="DZ78" s="205"/>
      <c r="EA78" s="205"/>
      <c r="EB78" s="271"/>
      <c r="EC78" s="271"/>
      <c r="ED78" s="623"/>
      <c r="EE78" s="97"/>
      <c r="EF78" s="97"/>
      <c r="EG78" s="227"/>
      <c r="EH78" s="642"/>
      <c r="EI78" s="73"/>
      <c r="EJ78" s="73"/>
      <c r="EK78" s="74"/>
      <c r="EL78" s="73"/>
      <c r="EM78" s="73"/>
      <c r="EN78" s="114"/>
      <c r="EO78" s="114"/>
      <c r="EP78" s="114"/>
      <c r="EQ78" s="114"/>
      <c r="ER78" s="114"/>
      <c r="ES78" s="114"/>
      <c r="ET78" s="73" t="s">
        <v>7115</v>
      </c>
      <c r="EU78" s="73"/>
      <c r="EV78" s="73" t="s">
        <v>6937</v>
      </c>
      <c r="EW78" s="114"/>
      <c r="EX78" s="114"/>
      <c r="EY78" s="114"/>
      <c r="EZ78" s="103"/>
      <c r="FA78" s="73"/>
      <c r="FB78" s="73"/>
      <c r="FC78" s="345" t="s">
        <v>6331</v>
      </c>
      <c r="FD78" s="73"/>
      <c r="FE78" s="73"/>
      <c r="FF78" s="345" t="s">
        <v>6331</v>
      </c>
      <c r="FG78" s="73"/>
      <c r="FH78" s="73"/>
      <c r="FI78" s="114"/>
      <c r="FJ78" s="114"/>
      <c r="FK78" s="114"/>
      <c r="FL78" s="114"/>
      <c r="FM78" s="114"/>
      <c r="FN78" s="114"/>
      <c r="FO78" s="345" t="s">
        <v>6331</v>
      </c>
      <c r="FP78" s="73"/>
      <c r="FQ78" s="73"/>
      <c r="FR78" s="97" t="s">
        <v>6331</v>
      </c>
      <c r="FS78" s="73"/>
      <c r="FT78" s="73"/>
      <c r="FU78" s="345" t="s">
        <v>6331</v>
      </c>
      <c r="FV78" s="73"/>
      <c r="FW78" s="73"/>
      <c r="FX78" s="345" t="s">
        <v>6331</v>
      </c>
      <c r="FY78" s="73"/>
      <c r="FZ78" s="73"/>
      <c r="GA78" s="345" t="s">
        <v>6331</v>
      </c>
      <c r="GB78" s="73"/>
      <c r="GC78" s="73"/>
      <c r="GD78" s="114"/>
      <c r="GE78" s="114"/>
      <c r="GF78" s="114"/>
      <c r="GG78" s="114"/>
      <c r="GH78" s="114"/>
      <c r="GI78" s="130"/>
      <c r="GJ78" s="392"/>
      <c r="GK78" s="72"/>
      <c r="GL78" s="73"/>
      <c r="GM78" s="73"/>
      <c r="GN78" s="73"/>
      <c r="GO78" s="73"/>
      <c r="GP78" s="270"/>
      <c r="GQ78" s="204"/>
      <c r="GR78" s="205"/>
      <c r="GS78" s="436" t="s">
        <v>6331</v>
      </c>
      <c r="GT78" s="205"/>
      <c r="GU78" s="205"/>
      <c r="GV78" s="436" t="s">
        <v>6331</v>
      </c>
      <c r="GW78" s="205"/>
      <c r="GX78" s="205"/>
      <c r="GY78" s="436"/>
      <c r="GZ78" s="436"/>
      <c r="HA78" s="436"/>
      <c r="HB78" s="271"/>
      <c r="HC78" s="271"/>
      <c r="HD78" s="271"/>
      <c r="HE78" s="436" t="s">
        <v>6331</v>
      </c>
      <c r="HF78" s="205"/>
      <c r="HG78" s="205"/>
      <c r="HH78" s="205" t="s">
        <v>6331</v>
      </c>
      <c r="HI78" s="205"/>
      <c r="HJ78" s="205"/>
      <c r="HK78" s="436" t="s">
        <v>6331</v>
      </c>
      <c r="HL78" s="205"/>
      <c r="HM78" s="205"/>
      <c r="HN78" s="436" t="s">
        <v>6331</v>
      </c>
      <c r="HO78" s="205"/>
      <c r="HP78" s="205"/>
      <c r="HQ78" s="436" t="s">
        <v>6331</v>
      </c>
      <c r="HR78" s="205"/>
      <c r="HS78" s="261"/>
      <c r="HT78" s="271"/>
      <c r="HU78" s="271"/>
      <c r="HV78" s="271"/>
      <c r="HW78" s="271"/>
      <c r="HX78" s="271"/>
      <c r="HY78" s="271"/>
      <c r="HZ78" s="271"/>
      <c r="IA78" s="271"/>
      <c r="IB78" s="262"/>
      <c r="IC78" s="204"/>
      <c r="ID78" s="205"/>
      <c r="IE78" s="269"/>
      <c r="IF78" s="204"/>
      <c r="IG78" s="205"/>
      <c r="IH78" s="269"/>
      <c r="II78" s="204"/>
      <c r="IJ78" s="436"/>
      <c r="IK78" s="269"/>
      <c r="IL78" s="204"/>
      <c r="IM78" s="205"/>
      <c r="IN78" s="269"/>
      <c r="IO78" s="289"/>
      <c r="IP78" s="271"/>
      <c r="IQ78" s="298"/>
      <c r="IR78" s="289"/>
      <c r="IS78" s="271"/>
      <c r="IT78" s="298"/>
      <c r="IU78" s="455"/>
      <c r="IV78" s="456"/>
      <c r="IW78" s="471"/>
      <c r="IX78" s="204"/>
      <c r="IY78" s="205"/>
      <c r="IZ78" s="269"/>
      <c r="JA78" s="204"/>
      <c r="JB78" s="205"/>
      <c r="JC78" s="269"/>
      <c r="JD78" s="204"/>
      <c r="JE78" s="205"/>
      <c r="JF78" s="269"/>
      <c r="JG78" s="204"/>
      <c r="JH78" s="662"/>
      <c r="JI78" s="269"/>
      <c r="JJ78" s="289"/>
      <c r="JK78" s="271"/>
      <c r="JL78" s="298"/>
      <c r="JM78" s="289"/>
      <c r="JN78" s="271"/>
      <c r="JO78" s="298"/>
      <c r="JP78" s="671"/>
      <c r="JQ78" s="388"/>
      <c r="JR78" s="499"/>
      <c r="JS78" s="670"/>
      <c r="JT78" s="501"/>
      <c r="JU78" s="661"/>
      <c r="JV78" s="662"/>
      <c r="JW78" s="662"/>
      <c r="JX78" s="662"/>
      <c r="JY78" s="662"/>
      <c r="JZ78" s="662"/>
      <c r="KA78" s="662"/>
      <c r="KB78" s="662"/>
      <c r="KC78" s="662"/>
      <c r="KD78" s="662"/>
      <c r="KE78" s="679"/>
      <c r="KF78" s="679"/>
      <c r="KG78" s="679"/>
      <c r="KH78" s="679"/>
      <c r="KI78" s="679"/>
      <c r="KJ78" s="679"/>
      <c r="KK78" s="543"/>
      <c r="KL78" s="543"/>
      <c r="KM78" s="543"/>
      <c r="KN78" s="543"/>
      <c r="KO78" s="543"/>
      <c r="KP78" s="543"/>
      <c r="KQ78" s="543"/>
      <c r="KR78" s="543"/>
      <c r="KS78" s="543"/>
      <c r="KT78" s="543"/>
      <c r="KU78" s="543"/>
      <c r="KV78" s="543"/>
      <c r="KW78" s="543"/>
      <c r="KX78" s="543"/>
      <c r="KY78" s="543"/>
      <c r="KZ78" s="543"/>
      <c r="LA78" s="543"/>
      <c r="LB78" s="543"/>
      <c r="LC78" s="543"/>
      <c r="LD78" s="543"/>
      <c r="LE78" s="543"/>
      <c r="LF78" s="543"/>
      <c r="LG78" s="543"/>
      <c r="LH78" s="543"/>
      <c r="LI78" s="543"/>
      <c r="LJ78" s="543"/>
      <c r="LK78" s="543"/>
      <c r="LL78" s="543"/>
      <c r="LM78" s="543"/>
      <c r="LN78" s="543"/>
      <c r="LO78" s="543"/>
      <c r="LP78" s="543"/>
      <c r="LQ78" s="543"/>
      <c r="LR78" s="543"/>
      <c r="LS78" s="543"/>
      <c r="LT78" s="543"/>
      <c r="LU78" s="543"/>
      <c r="LV78" s="543"/>
      <c r="LW78" s="543"/>
      <c r="LX78" s="543"/>
      <c r="LY78" s="543"/>
      <c r="LZ78" s="543"/>
      <c r="MA78" s="543"/>
      <c r="MB78" s="543"/>
      <c r="MC78" s="543"/>
      <c r="MD78" s="543"/>
      <c r="ME78" s="595"/>
      <c r="MF78" s="368"/>
      <c r="MG78" s="595"/>
      <c r="MH78" s="368"/>
      <c r="MI78" s="368"/>
      <c r="MJ78" s="368"/>
      <c r="MK78" s="368"/>
      <c r="ML78" s="368"/>
      <c r="MM78" s="368"/>
      <c r="MN78" s="368"/>
      <c r="MO78" s="368"/>
      <c r="MP78" s="368"/>
      <c r="MQ78" s="368"/>
      <c r="MR78" s="368"/>
      <c r="MS78" s="368"/>
      <c r="MT78" s="565"/>
      <c r="MU78" s="565"/>
      <c r="MV78" s="565"/>
      <c r="MW78" s="565"/>
      <c r="MX78" s="565"/>
      <c r="MY78" s="565"/>
      <c r="MZ78" s="595"/>
      <c r="NA78" s="595"/>
      <c r="NB78" s="700"/>
      <c r="NC78" s="202"/>
      <c r="ND78" s="203"/>
      <c r="NE78" s="203"/>
      <c r="NF78" s="203"/>
      <c r="NG78" s="203"/>
      <c r="NH78" s="203"/>
      <c r="NI78" s="203"/>
      <c r="NJ78" s="203"/>
      <c r="NK78" s="203"/>
      <c r="NL78" s="203"/>
      <c r="NM78" s="203"/>
      <c r="NN78" s="203"/>
      <c r="NO78" s="286"/>
      <c r="NP78" s="286"/>
      <c r="NQ78" s="286"/>
      <c r="NR78" s="286"/>
      <c r="NS78" s="286"/>
      <c r="NT78" s="286"/>
      <c r="NU78" s="203"/>
      <c r="NV78" s="456"/>
      <c r="NW78" s="471"/>
    </row>
    <row r="79" spans="1:387" ht="14.4">
      <c r="A79" s="1637"/>
      <c r="B79" s="1648"/>
      <c r="C79" s="1668" t="s">
        <v>6677</v>
      </c>
      <c r="D79" s="61"/>
      <c r="E79" s="61"/>
      <c r="F79" s="61"/>
      <c r="G79" s="61"/>
      <c r="H79" s="61"/>
      <c r="I79" s="61"/>
      <c r="J79" s="108"/>
      <c r="K79" s="108"/>
      <c r="L79" s="108"/>
      <c r="M79" s="108"/>
      <c r="N79" s="108"/>
      <c r="O79" s="108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108"/>
      <c r="AF79" s="108"/>
      <c r="AG79" s="108"/>
      <c r="AH79" s="108"/>
      <c r="AI79" s="108"/>
      <c r="AJ79" s="108"/>
      <c r="AK79" s="61"/>
      <c r="AL79" s="61"/>
      <c r="AM79" s="61"/>
      <c r="AN79" s="61"/>
      <c r="AO79" s="150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108"/>
      <c r="BA79" s="108"/>
      <c r="BB79" s="108"/>
      <c r="BC79" s="108"/>
      <c r="BD79" s="108"/>
      <c r="BE79" s="108"/>
      <c r="BF79" s="61"/>
      <c r="BG79" s="61"/>
      <c r="BH79" s="61"/>
      <c r="BI79" s="173"/>
      <c r="BJ79" s="173"/>
      <c r="BK79" s="173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108"/>
      <c r="BY79" s="108"/>
      <c r="BZ79" s="108"/>
      <c r="CA79" s="108"/>
      <c r="CB79" s="108"/>
      <c r="CC79" s="126"/>
      <c r="CD79" s="194"/>
      <c r="CE79" s="185"/>
      <c r="CF79" s="185"/>
      <c r="CG79" s="185"/>
      <c r="CH79" s="185"/>
      <c r="CI79" s="185"/>
      <c r="CJ79" s="185"/>
      <c r="CK79" s="185"/>
      <c r="CL79" s="185"/>
      <c r="CM79" s="185"/>
      <c r="CN79" s="185"/>
      <c r="CO79" s="185"/>
      <c r="CP79" s="185"/>
      <c r="CQ79" s="185"/>
      <c r="CR79" s="185"/>
      <c r="CS79" s="185"/>
      <c r="CT79" s="185"/>
      <c r="CU79" s="185"/>
      <c r="CV79" s="272"/>
      <c r="CW79" s="265"/>
      <c r="CX79" s="265"/>
      <c r="CY79" s="273"/>
      <c r="CZ79" s="287"/>
      <c r="DA79" s="265"/>
      <c r="DB79" s="265"/>
      <c r="DC79" s="185"/>
      <c r="DD79" s="185"/>
      <c r="DE79" s="185"/>
      <c r="DF79" s="185"/>
      <c r="DG79" s="185"/>
      <c r="DH79" s="185"/>
      <c r="DI79" s="185"/>
      <c r="DJ79" s="185"/>
      <c r="DK79" s="185"/>
      <c r="DL79" s="185"/>
      <c r="DM79" s="185"/>
      <c r="DN79" s="185"/>
      <c r="DO79" s="185"/>
      <c r="DP79" s="185"/>
      <c r="DQ79" s="185"/>
      <c r="DR79" s="185"/>
      <c r="DS79" s="265"/>
      <c r="DT79" s="265"/>
      <c r="DU79" s="265"/>
      <c r="DV79" s="265"/>
      <c r="DW79" s="265"/>
      <c r="DX79" s="265"/>
      <c r="DY79" s="185"/>
      <c r="DZ79" s="185"/>
      <c r="EA79" s="185"/>
      <c r="EB79" s="265"/>
      <c r="EC79" s="265"/>
      <c r="ED79" s="265"/>
      <c r="EE79" s="185"/>
      <c r="EF79" s="185"/>
      <c r="EG79" s="272"/>
      <c r="EH79" s="643"/>
      <c r="EI79" s="86"/>
      <c r="EJ79" s="86"/>
      <c r="EK79" s="98"/>
      <c r="EL79" s="86"/>
      <c r="EM79" s="86"/>
      <c r="EN79" s="259"/>
      <c r="EO79" s="259"/>
      <c r="EP79" s="259"/>
      <c r="EQ79" s="259"/>
      <c r="ER79" s="259"/>
      <c r="ES79" s="259"/>
      <c r="ET79" s="372"/>
      <c r="EU79" s="86"/>
      <c r="EV79" s="86"/>
      <c r="EW79" s="259"/>
      <c r="EX79" s="259"/>
      <c r="EY79" s="259"/>
      <c r="EZ79" s="101"/>
      <c r="FA79" s="86"/>
      <c r="FB79" s="86"/>
      <c r="FC79" s="98"/>
      <c r="FD79" s="86"/>
      <c r="FE79" s="86"/>
      <c r="FF79" s="98"/>
      <c r="FG79" s="86"/>
      <c r="FH79" s="282"/>
      <c r="FI79" s="287"/>
      <c r="FJ79" s="265"/>
      <c r="FK79" s="265"/>
      <c r="FL79" s="265"/>
      <c r="FM79" s="265"/>
      <c r="FN79" s="265"/>
      <c r="FO79" s="185"/>
      <c r="FP79" s="185"/>
      <c r="FQ79" s="185"/>
      <c r="FR79" s="185"/>
      <c r="FS79" s="185"/>
      <c r="FT79" s="185"/>
      <c r="FU79" s="185"/>
      <c r="FV79" s="185"/>
      <c r="FW79" s="185"/>
      <c r="FX79" s="185"/>
      <c r="FY79" s="185"/>
      <c r="FZ79" s="185"/>
      <c r="GA79" s="185"/>
      <c r="GB79" s="185"/>
      <c r="GC79" s="185"/>
      <c r="GD79" s="265"/>
      <c r="GE79" s="265"/>
      <c r="GF79" s="265"/>
      <c r="GG79" s="265"/>
      <c r="GH79" s="265"/>
      <c r="GI79" s="273"/>
      <c r="GJ79" s="185"/>
      <c r="GK79" s="185"/>
      <c r="GL79" s="185"/>
      <c r="GM79" s="185"/>
      <c r="GN79" s="185"/>
      <c r="GO79" s="185"/>
      <c r="GP79" s="185"/>
      <c r="GQ79" s="185"/>
      <c r="GR79" s="185"/>
      <c r="GS79" s="98"/>
      <c r="GT79" s="86"/>
      <c r="GU79" s="86"/>
      <c r="GV79" s="654"/>
      <c r="GW79" s="86"/>
      <c r="GX79" s="86"/>
      <c r="GY79" s="352"/>
      <c r="GZ79" s="352"/>
      <c r="HA79" s="352"/>
      <c r="HB79" s="259"/>
      <c r="HC79" s="259"/>
      <c r="HD79" s="259"/>
      <c r="HE79" s="86"/>
      <c r="HF79" s="86"/>
      <c r="HG79" s="86"/>
      <c r="HH79" s="86"/>
      <c r="HI79" s="86"/>
      <c r="HJ79" s="86"/>
      <c r="HK79" s="655"/>
      <c r="HL79" s="86"/>
      <c r="HM79" s="86"/>
      <c r="HN79" s="654"/>
      <c r="HO79" s="86"/>
      <c r="HP79" s="86"/>
      <c r="HQ79" s="654"/>
      <c r="HR79" s="86"/>
      <c r="HS79" s="282"/>
      <c r="HT79" s="265"/>
      <c r="HU79" s="265"/>
      <c r="HV79" s="265"/>
      <c r="HW79" s="265"/>
      <c r="HX79" s="265"/>
      <c r="HY79" s="265"/>
      <c r="HZ79" s="413" t="s">
        <v>6331</v>
      </c>
      <c r="IA79" s="265"/>
      <c r="IB79" s="273"/>
      <c r="IC79" s="194" t="s">
        <v>6331</v>
      </c>
      <c r="ID79" s="185"/>
      <c r="IE79" s="257"/>
      <c r="IF79" s="414" t="s">
        <v>6331</v>
      </c>
      <c r="IG79" s="185"/>
      <c r="IH79" s="257"/>
      <c r="II79" s="414" t="s">
        <v>6331</v>
      </c>
      <c r="IJ79" s="206"/>
      <c r="IK79" s="257"/>
      <c r="IL79" s="414" t="s">
        <v>6331</v>
      </c>
      <c r="IM79" s="185" t="s">
        <v>6331</v>
      </c>
      <c r="IN79" s="257"/>
      <c r="IO79" s="287"/>
      <c r="IP79" s="265"/>
      <c r="IQ79" s="295"/>
      <c r="IR79" s="287"/>
      <c r="IS79" s="265"/>
      <c r="IT79" s="295"/>
      <c r="IU79" s="660"/>
      <c r="IV79" s="453"/>
      <c r="IW79" s="469"/>
      <c r="IX79" s="194" t="s">
        <v>6331</v>
      </c>
      <c r="IY79" s="185"/>
      <c r="IZ79" s="257"/>
      <c r="JA79" s="414" t="s">
        <v>6331</v>
      </c>
      <c r="JB79" s="185" t="s">
        <v>6331</v>
      </c>
      <c r="JC79" s="257"/>
      <c r="JD79" s="414" t="s">
        <v>6331</v>
      </c>
      <c r="JE79" s="185"/>
      <c r="JF79" s="257"/>
      <c r="JG79" s="414" t="s">
        <v>6331</v>
      </c>
      <c r="JH79" s="61"/>
      <c r="JI79" s="257"/>
      <c r="JJ79" s="287"/>
      <c r="JK79" s="265"/>
      <c r="JL79" s="295"/>
      <c r="JM79" s="287"/>
      <c r="JN79" s="265"/>
      <c r="JO79" s="295"/>
      <c r="JP79" s="247" t="s">
        <v>6331</v>
      </c>
      <c r="JQ79" s="388" t="s">
        <v>6331</v>
      </c>
      <c r="JR79" s="486"/>
      <c r="JS79" s="396" t="s">
        <v>6331</v>
      </c>
      <c r="JT79" s="508"/>
      <c r="JU79" s="60"/>
      <c r="JV79" s="211" t="s">
        <v>6331</v>
      </c>
      <c r="JW79" s="61"/>
      <c r="JX79" s="61"/>
      <c r="JY79" s="211" t="s">
        <v>6331</v>
      </c>
      <c r="JZ79" s="61"/>
      <c r="KA79" s="61"/>
      <c r="KB79" s="211" t="s">
        <v>6331</v>
      </c>
      <c r="KC79" s="61"/>
      <c r="KD79" s="61"/>
      <c r="KE79" s="108"/>
      <c r="KF79" s="108"/>
      <c r="KG79" s="108"/>
      <c r="KH79" s="108"/>
      <c r="KI79" s="108"/>
      <c r="KJ79" s="108"/>
      <c r="KK79" s="525"/>
      <c r="KL79" s="230"/>
      <c r="KM79" s="485"/>
      <c r="KN79" s="101"/>
      <c r="KO79" s="527"/>
      <c r="KP79" s="230"/>
      <c r="KQ79" s="230"/>
      <c r="KR79" s="230"/>
      <c r="KS79" s="253"/>
      <c r="KT79" s="101"/>
      <c r="KU79" s="527"/>
      <c r="KV79" s="253"/>
      <c r="KW79" s="101"/>
      <c r="KX79" s="527"/>
      <c r="KY79" s="230"/>
      <c r="KZ79" s="339"/>
      <c r="LA79" s="339"/>
      <c r="LB79" s="339"/>
      <c r="LC79" s="339"/>
      <c r="LD79" s="339"/>
      <c r="LE79" s="339"/>
      <c r="LF79" s="525"/>
      <c r="LG79" s="484"/>
      <c r="LH79" s="484"/>
      <c r="LI79" s="101"/>
      <c r="LJ79" s="527"/>
      <c r="LK79" s="253"/>
      <c r="LL79" s="101"/>
      <c r="LM79" s="527"/>
      <c r="LN79" s="253"/>
      <c r="LO79" s="101"/>
      <c r="LP79" s="527"/>
      <c r="LQ79" s="253"/>
      <c r="LR79" s="101"/>
      <c r="LS79" s="527"/>
      <c r="LT79" s="230"/>
      <c r="LU79" s="339"/>
      <c r="LV79" s="339"/>
      <c r="LW79" s="339"/>
      <c r="LX79" s="339"/>
      <c r="LY79" s="339"/>
      <c r="LZ79" s="339"/>
      <c r="MA79" s="525"/>
      <c r="MB79" s="484"/>
      <c r="MC79" s="484"/>
      <c r="MD79" s="222"/>
      <c r="ME79" s="152" t="s">
        <v>6331</v>
      </c>
      <c r="MF79" s="64" t="s">
        <v>6331</v>
      </c>
      <c r="MG79" s="525"/>
      <c r="MH79" s="100" t="s">
        <v>6331</v>
      </c>
      <c r="MI79" s="64" t="s">
        <v>6331</v>
      </c>
      <c r="MJ79" s="64"/>
      <c r="MK79" s="152" t="s">
        <v>6331</v>
      </c>
      <c r="ML79" s="64" t="s">
        <v>6331</v>
      </c>
      <c r="MM79" s="64"/>
      <c r="MN79" s="152" t="s">
        <v>6331</v>
      </c>
      <c r="MO79" s="64"/>
      <c r="MP79" s="64"/>
      <c r="MQ79" s="152" t="s">
        <v>6331</v>
      </c>
      <c r="MR79" s="64"/>
      <c r="MS79" s="64"/>
      <c r="MT79" s="109"/>
      <c r="MU79" s="109"/>
      <c r="MV79" s="109"/>
      <c r="MW79" s="322"/>
      <c r="MX79" s="109"/>
      <c r="MY79" s="196"/>
      <c r="MZ79" s="579" t="s">
        <v>6331</v>
      </c>
      <c r="NA79" s="460" t="s">
        <v>6331</v>
      </c>
      <c r="NB79" s="472"/>
      <c r="NC79" s="100" t="s">
        <v>6331</v>
      </c>
      <c r="ND79" s="64" t="s">
        <v>6331</v>
      </c>
      <c r="NE79" s="64"/>
      <c r="NF79" s="152" t="s">
        <v>6331</v>
      </c>
      <c r="NG79" s="64"/>
      <c r="NH79" s="64"/>
      <c r="NI79" s="152" t="s">
        <v>6331</v>
      </c>
      <c r="NJ79" s="64"/>
      <c r="NK79" s="64"/>
      <c r="NL79" s="152" t="s">
        <v>6331</v>
      </c>
      <c r="NM79" s="64" t="s">
        <v>6331</v>
      </c>
      <c r="NN79" s="328"/>
      <c r="NO79" s="607"/>
      <c r="NP79" s="108"/>
      <c r="NQ79" s="108"/>
      <c r="NR79" s="702"/>
      <c r="NS79" s="108"/>
      <c r="NT79" s="608"/>
      <c r="NU79" s="293" t="s">
        <v>6331</v>
      </c>
      <c r="NV79" s="704"/>
      <c r="NW79" s="704"/>
    </row>
    <row r="80" spans="1:387" ht="14.4">
      <c r="A80" s="1638"/>
      <c r="B80" s="1651"/>
      <c r="C80" s="1669"/>
      <c r="D80" s="70" t="s">
        <v>6331</v>
      </c>
      <c r="E80" s="68"/>
      <c r="F80" s="68"/>
      <c r="G80" s="146" t="s">
        <v>6331</v>
      </c>
      <c r="H80" s="68"/>
      <c r="I80" s="64"/>
      <c r="J80" s="132"/>
      <c r="K80" s="111"/>
      <c r="L80" s="109"/>
      <c r="M80" s="111"/>
      <c r="N80" s="111"/>
      <c r="O80" s="111"/>
      <c r="P80" s="70" t="s">
        <v>6331</v>
      </c>
      <c r="Q80" s="68"/>
      <c r="R80" s="68"/>
      <c r="S80" s="64" t="s">
        <v>6331</v>
      </c>
      <c r="T80" s="68"/>
      <c r="U80" s="68"/>
      <c r="V80" s="64" t="s">
        <v>6331</v>
      </c>
      <c r="W80" s="68"/>
      <c r="X80" s="68"/>
      <c r="Y80" s="64" t="s">
        <v>6331</v>
      </c>
      <c r="Z80" s="68"/>
      <c r="AA80" s="68"/>
      <c r="AB80" s="64" t="s">
        <v>6331</v>
      </c>
      <c r="AC80" s="68"/>
      <c r="AD80" s="68"/>
      <c r="AE80" s="111"/>
      <c r="AF80" s="111"/>
      <c r="AG80" s="111"/>
      <c r="AH80" s="111"/>
      <c r="AI80" s="111"/>
      <c r="AJ80" s="111"/>
      <c r="AK80" s="68"/>
      <c r="AL80" s="68"/>
      <c r="AM80" s="68"/>
      <c r="AN80" s="64"/>
      <c r="AO80" s="159"/>
      <c r="AP80" s="68"/>
      <c r="AQ80" s="64"/>
      <c r="AR80" s="68"/>
      <c r="AS80" s="68"/>
      <c r="AT80" s="64"/>
      <c r="AU80" s="68"/>
      <c r="AV80" s="68"/>
      <c r="AW80" s="64"/>
      <c r="AX80" s="68"/>
      <c r="AY80" s="68"/>
      <c r="AZ80" s="111"/>
      <c r="BA80" s="111"/>
      <c r="BB80" s="111"/>
      <c r="BC80" s="111"/>
      <c r="BD80" s="111"/>
      <c r="BE80" s="111"/>
      <c r="BF80" s="68"/>
      <c r="BG80" s="68"/>
      <c r="BH80" s="68"/>
      <c r="BI80" s="174"/>
      <c r="BJ80" s="176"/>
      <c r="BK80" s="176"/>
      <c r="BL80" s="64"/>
      <c r="BM80" s="68"/>
      <c r="BN80" s="68"/>
      <c r="BO80" s="68"/>
      <c r="BP80" s="64"/>
      <c r="BQ80" s="68"/>
      <c r="BR80" s="68"/>
      <c r="BS80" s="68"/>
      <c r="BT80" s="64"/>
      <c r="BU80" s="68"/>
      <c r="BV80" s="68"/>
      <c r="BW80" s="68"/>
      <c r="BX80" s="111"/>
      <c r="BY80" s="111"/>
      <c r="BZ80" s="111"/>
      <c r="CA80" s="111"/>
      <c r="CB80" s="111"/>
      <c r="CC80" s="200"/>
      <c r="CD80" s="201"/>
      <c r="CE80" s="198"/>
      <c r="CF80" s="198"/>
      <c r="CG80" s="198"/>
      <c r="CH80" s="198"/>
      <c r="CI80" s="198"/>
      <c r="CJ80" s="198"/>
      <c r="CK80" s="198"/>
      <c r="CL80" s="198"/>
      <c r="CM80" s="198"/>
      <c r="CN80" s="198"/>
      <c r="CO80" s="198"/>
      <c r="CP80" s="198"/>
      <c r="CQ80" s="198"/>
      <c r="CR80" s="198"/>
      <c r="CS80" s="198"/>
      <c r="CT80" s="198"/>
      <c r="CU80" s="198"/>
      <c r="CV80" s="220"/>
      <c r="CW80" s="260"/>
      <c r="CX80" s="260"/>
      <c r="CY80" s="274"/>
      <c r="CZ80" s="288"/>
      <c r="DA80" s="260"/>
      <c r="DB80" s="260"/>
      <c r="DC80" s="198"/>
      <c r="DD80" s="198"/>
      <c r="DE80" s="198"/>
      <c r="DF80" s="632"/>
      <c r="DG80" s="198"/>
      <c r="DH80" s="198"/>
      <c r="DI80" s="198"/>
      <c r="DJ80" s="632"/>
      <c r="DK80" s="198"/>
      <c r="DL80" s="198"/>
      <c r="DM80" s="632"/>
      <c r="DN80" s="198"/>
      <c r="DO80" s="198"/>
      <c r="DP80" s="632"/>
      <c r="DQ80" s="198"/>
      <c r="DR80" s="198"/>
      <c r="DS80" s="260"/>
      <c r="DT80" s="260"/>
      <c r="DU80" s="260"/>
      <c r="DV80" s="260"/>
      <c r="DW80" s="260"/>
      <c r="DX80" s="260"/>
      <c r="DY80" s="198"/>
      <c r="DZ80" s="198"/>
      <c r="EA80" s="198"/>
      <c r="EB80" s="635"/>
      <c r="EC80" s="260"/>
      <c r="ED80" s="260"/>
      <c r="EE80" s="632"/>
      <c r="EF80" s="166" t="s">
        <v>6685</v>
      </c>
      <c r="EG80" s="220"/>
      <c r="EH80" s="558"/>
      <c r="EI80" s="70"/>
      <c r="EJ80" s="70"/>
      <c r="EK80" s="619"/>
      <c r="EL80" s="70"/>
      <c r="EM80" s="70"/>
      <c r="EN80" s="110"/>
      <c r="EO80" s="110"/>
      <c r="EP80" s="110"/>
      <c r="EQ80" s="110"/>
      <c r="ER80" s="110"/>
      <c r="ES80" s="110"/>
      <c r="ET80" s="70"/>
      <c r="EU80" s="70"/>
      <c r="EV80" s="70"/>
      <c r="EW80" s="116"/>
      <c r="EX80" s="110"/>
      <c r="EY80" s="110"/>
      <c r="EZ80" s="90"/>
      <c r="FA80" s="70"/>
      <c r="FB80" s="70"/>
      <c r="FC80" s="619"/>
      <c r="FD80" s="70"/>
      <c r="FE80" s="70"/>
      <c r="FF80" s="619"/>
      <c r="FG80" s="70"/>
      <c r="FH80" s="218"/>
      <c r="FI80" s="288"/>
      <c r="FJ80" s="260"/>
      <c r="FK80" s="260"/>
      <c r="FL80" s="260"/>
      <c r="FM80" s="260"/>
      <c r="FN80" s="260"/>
      <c r="FO80" s="198"/>
      <c r="FP80" s="198"/>
      <c r="FQ80" s="198"/>
      <c r="FR80" s="632"/>
      <c r="FS80" s="198"/>
      <c r="FT80" s="198"/>
      <c r="FU80" s="198"/>
      <c r="FV80" s="198"/>
      <c r="FW80" s="198"/>
      <c r="FX80" s="632"/>
      <c r="FY80" s="198"/>
      <c r="FZ80" s="198"/>
      <c r="GA80" s="632"/>
      <c r="GB80" s="198"/>
      <c r="GC80" s="198"/>
      <c r="GD80" s="260"/>
      <c r="GE80" s="260"/>
      <c r="GF80" s="260"/>
      <c r="GG80" s="260"/>
      <c r="GH80" s="260"/>
      <c r="GI80" s="274"/>
      <c r="GJ80" s="152" t="s">
        <v>6331</v>
      </c>
      <c r="GK80" s="64"/>
      <c r="GL80" s="64"/>
      <c r="GM80" s="64" t="s">
        <v>6331</v>
      </c>
      <c r="GN80" s="64"/>
      <c r="GO80" s="64"/>
      <c r="GP80" s="152" t="s">
        <v>6331</v>
      </c>
      <c r="GQ80" s="64"/>
      <c r="GR80" s="64"/>
      <c r="GS80" s="619"/>
      <c r="GT80" s="70"/>
      <c r="GU80" s="70"/>
      <c r="GV80" s="619"/>
      <c r="GW80" s="70"/>
      <c r="GX80" s="70"/>
      <c r="GY80" s="87"/>
      <c r="GZ80" s="87"/>
      <c r="HA80" s="87"/>
      <c r="HB80" s="110"/>
      <c r="HC80" s="110"/>
      <c r="HD80" s="110"/>
      <c r="HE80" s="70"/>
      <c r="HF80" s="70"/>
      <c r="HG80" s="70"/>
      <c r="HH80" s="619"/>
      <c r="HI80" s="70"/>
      <c r="HJ80" s="70"/>
      <c r="HK80" s="90"/>
      <c r="HL80" s="70"/>
      <c r="HM80" s="70"/>
      <c r="HN80" s="619"/>
      <c r="HO80" s="70"/>
      <c r="HP80" s="70"/>
      <c r="HQ80" s="619"/>
      <c r="HR80" s="70"/>
      <c r="HS80" s="218"/>
      <c r="HT80" s="260"/>
      <c r="HU80" s="260"/>
      <c r="HV80" s="260"/>
      <c r="HW80" s="260"/>
      <c r="HX80" s="260"/>
      <c r="HY80" s="260"/>
      <c r="HZ80" s="260"/>
      <c r="IA80" s="260"/>
      <c r="IB80" s="274"/>
      <c r="IC80" s="201"/>
      <c r="ID80" s="198"/>
      <c r="IE80" s="268"/>
      <c r="IF80" s="201"/>
      <c r="IG80" s="198"/>
      <c r="IH80" s="268"/>
      <c r="II80" s="201"/>
      <c r="IJ80" s="199"/>
      <c r="IK80" s="268"/>
      <c r="IL80" s="201"/>
      <c r="IM80" s="198"/>
      <c r="IN80" s="268"/>
      <c r="IO80" s="288"/>
      <c r="IP80" s="260"/>
      <c r="IQ80" s="296"/>
      <c r="IR80" s="288"/>
      <c r="IS80" s="260"/>
      <c r="IT80" s="296"/>
      <c r="IU80" s="432"/>
      <c r="IV80" s="454"/>
      <c r="IW80" s="470"/>
      <c r="IX80" s="201"/>
      <c r="IY80" s="198"/>
      <c r="IZ80" s="268"/>
      <c r="JA80" s="201"/>
      <c r="JB80" s="198"/>
      <c r="JC80" s="268"/>
      <c r="JD80" s="201"/>
      <c r="JE80" s="198"/>
      <c r="JF80" s="268"/>
      <c r="JG80" s="201"/>
      <c r="JH80" s="70"/>
      <c r="JI80" s="268"/>
      <c r="JJ80" s="288"/>
      <c r="JK80" s="260"/>
      <c r="JL80" s="296"/>
      <c r="JM80" s="288"/>
      <c r="JN80" s="260"/>
      <c r="JO80" s="296"/>
      <c r="JP80" s="672"/>
      <c r="JQ80" s="388"/>
      <c r="JR80" s="489"/>
      <c r="JS80" s="517"/>
      <c r="JT80" s="491"/>
      <c r="JU80" s="69"/>
      <c r="JV80" s="344"/>
      <c r="JW80" s="70"/>
      <c r="JX80" s="70"/>
      <c r="JY80" s="148"/>
      <c r="JZ80" s="70"/>
      <c r="KA80" s="70"/>
      <c r="KB80" s="148"/>
      <c r="KC80" s="70"/>
      <c r="KD80" s="70"/>
      <c r="KE80" s="110"/>
      <c r="KF80" s="110"/>
      <c r="KG80" s="110"/>
      <c r="KH80" s="110"/>
      <c r="KI80" s="110"/>
      <c r="KJ80" s="110"/>
      <c r="KK80" s="64" t="s">
        <v>6331</v>
      </c>
      <c r="KL80" s="68"/>
      <c r="KM80" s="561"/>
      <c r="KN80" s="100" t="s">
        <v>6331</v>
      </c>
      <c r="KO80" s="80"/>
      <c r="KP80" s="68"/>
      <c r="KQ80" s="152" t="s">
        <v>6331</v>
      </c>
      <c r="KR80" s="68"/>
      <c r="KS80" s="329"/>
      <c r="KT80" s="330" t="s">
        <v>6331</v>
      </c>
      <c r="KU80" s="80"/>
      <c r="KV80" s="329"/>
      <c r="KW80" s="330" t="s">
        <v>6331</v>
      </c>
      <c r="KX80" s="80"/>
      <c r="KY80" s="68"/>
      <c r="KZ80" s="111"/>
      <c r="LA80" s="111"/>
      <c r="LB80" s="111"/>
      <c r="LC80" s="111"/>
      <c r="LD80" s="111"/>
      <c r="LE80" s="111"/>
      <c r="LF80" s="152" t="s">
        <v>6331</v>
      </c>
      <c r="LG80" s="503"/>
      <c r="LH80" s="503"/>
      <c r="LI80" s="100" t="s">
        <v>6331</v>
      </c>
      <c r="LJ80" s="80"/>
      <c r="LK80" s="329"/>
      <c r="LL80" s="330" t="s">
        <v>6331</v>
      </c>
      <c r="LM80" s="80"/>
      <c r="LN80" s="329"/>
      <c r="LO80" s="330" t="s">
        <v>6331</v>
      </c>
      <c r="LP80" s="80"/>
      <c r="LQ80" s="329"/>
      <c r="LR80" s="330" t="s">
        <v>6331</v>
      </c>
      <c r="LS80" s="80"/>
      <c r="LT80" s="68"/>
      <c r="LU80" s="111"/>
      <c r="LV80" s="111"/>
      <c r="LW80" s="111"/>
      <c r="LX80" s="111"/>
      <c r="LY80" s="111"/>
      <c r="LZ80" s="111"/>
      <c r="MA80" s="152" t="s">
        <v>6331</v>
      </c>
      <c r="MB80" s="503"/>
      <c r="MC80" s="503"/>
      <c r="ME80" s="513"/>
      <c r="MF80" s="70"/>
      <c r="MG80" s="513"/>
      <c r="MH80" s="65"/>
      <c r="MI80" s="70"/>
      <c r="MJ80" s="70"/>
      <c r="MK80" s="148"/>
      <c r="ML80" s="70"/>
      <c r="MM80" s="70"/>
      <c r="MN80" s="148"/>
      <c r="MO80" s="70"/>
      <c r="MP80" s="70"/>
      <c r="MQ80" s="70"/>
      <c r="MR80" s="70"/>
      <c r="MS80" s="70"/>
      <c r="MT80" s="110"/>
      <c r="MU80" s="110"/>
      <c r="MV80" s="110"/>
      <c r="MW80" s="110"/>
      <c r="MX80" s="110"/>
      <c r="MY80" s="128"/>
      <c r="MZ80" s="432"/>
      <c r="NA80" s="454"/>
      <c r="NB80" s="470"/>
      <c r="NC80" s="100"/>
      <c r="ND80" s="70"/>
      <c r="NE80" s="70"/>
      <c r="NF80" s="65"/>
      <c r="NG80" s="70"/>
      <c r="NH80" s="70"/>
      <c r="NI80" s="65"/>
      <c r="NJ80" s="70"/>
      <c r="NK80" s="70"/>
      <c r="NL80" s="70"/>
      <c r="NM80" s="70"/>
      <c r="NN80" s="218"/>
      <c r="NO80" s="613"/>
      <c r="NP80" s="110"/>
      <c r="NQ80" s="110"/>
      <c r="NR80" s="110"/>
      <c r="NS80" s="110"/>
      <c r="NT80" s="614"/>
      <c r="NU80" s="535"/>
      <c r="NV80" s="513"/>
      <c r="NW80" s="513"/>
    </row>
    <row r="81" spans="1:387" ht="14.4">
      <c r="A81" s="1638"/>
      <c r="B81" s="1651"/>
      <c r="C81" s="1669"/>
      <c r="D81" s="68"/>
      <c r="E81" s="70"/>
      <c r="F81" s="70"/>
      <c r="G81" s="70"/>
      <c r="H81" s="70"/>
      <c r="I81" s="68"/>
      <c r="J81" s="110"/>
      <c r="K81" s="110"/>
      <c r="L81" s="111"/>
      <c r="M81" s="110"/>
      <c r="N81" s="110"/>
      <c r="O81" s="110"/>
      <c r="P81" s="68"/>
      <c r="Q81" s="70"/>
      <c r="R81" s="70"/>
      <c r="S81" s="68"/>
      <c r="T81" s="70"/>
      <c r="U81" s="70"/>
      <c r="V81" s="68"/>
      <c r="W81" s="70"/>
      <c r="X81" s="70"/>
      <c r="Y81" s="68"/>
      <c r="Z81" s="70"/>
      <c r="AA81" s="70"/>
      <c r="AB81" s="68"/>
      <c r="AC81" s="70"/>
      <c r="AD81" s="70"/>
      <c r="AE81" s="110"/>
      <c r="AF81" s="110"/>
      <c r="AG81" s="110"/>
      <c r="AH81" s="110"/>
      <c r="AI81" s="110"/>
      <c r="AJ81" s="110"/>
      <c r="AK81" s="70"/>
      <c r="AL81" s="70"/>
      <c r="AM81" s="70"/>
      <c r="AN81" s="68"/>
      <c r="AO81" s="154"/>
      <c r="AP81" s="70"/>
      <c r="AQ81" s="68"/>
      <c r="AR81" s="70"/>
      <c r="AS81" s="70"/>
      <c r="AT81" s="68"/>
      <c r="AU81" s="70"/>
      <c r="AV81" s="70"/>
      <c r="AW81" s="68"/>
      <c r="AX81" s="70"/>
      <c r="AY81" s="70"/>
      <c r="AZ81" s="110"/>
      <c r="BA81" s="110"/>
      <c r="BB81" s="110"/>
      <c r="BC81" s="110"/>
      <c r="BD81" s="110"/>
      <c r="BE81" s="110"/>
      <c r="BF81" s="70"/>
      <c r="BG81" s="70"/>
      <c r="BH81" s="70"/>
      <c r="BI81" s="176"/>
      <c r="BJ81" s="177"/>
      <c r="BK81" s="177"/>
      <c r="BL81" s="68"/>
      <c r="BM81" s="70"/>
      <c r="BN81" s="70"/>
      <c r="BO81" s="70"/>
      <c r="BP81" s="68"/>
      <c r="BQ81" s="70"/>
      <c r="BR81" s="70"/>
      <c r="BS81" s="70"/>
      <c r="BT81" s="68"/>
      <c r="BU81" s="70"/>
      <c r="BV81" s="70"/>
      <c r="BW81" s="70"/>
      <c r="BX81" s="110"/>
      <c r="BY81" s="110"/>
      <c r="BZ81" s="110"/>
      <c r="CA81" s="110"/>
      <c r="CB81" s="110"/>
      <c r="CC81" s="128"/>
      <c r="CD81" s="197" t="s">
        <v>6331</v>
      </c>
      <c r="CE81" s="198"/>
      <c r="CF81" s="198"/>
      <c r="CG81" s="199" t="s">
        <v>6331</v>
      </c>
      <c r="CH81" s="198"/>
      <c r="CI81" s="198"/>
      <c r="CJ81" s="198"/>
      <c r="CK81" s="199" t="s">
        <v>6331</v>
      </c>
      <c r="CL81" s="198"/>
      <c r="CM81" s="198"/>
      <c r="CN81" s="198"/>
      <c r="CO81" s="199" t="s">
        <v>6331</v>
      </c>
      <c r="CP81" s="198"/>
      <c r="CQ81" s="198"/>
      <c r="CR81" s="198"/>
      <c r="CS81" s="199" t="s">
        <v>6331</v>
      </c>
      <c r="CT81" s="198"/>
      <c r="CU81" s="198"/>
      <c r="CV81" s="220"/>
      <c r="CW81" s="260"/>
      <c r="CX81" s="260"/>
      <c r="CY81" s="274"/>
      <c r="CZ81" s="288"/>
      <c r="DA81" s="260"/>
      <c r="DB81" s="260"/>
      <c r="DC81" s="198"/>
      <c r="DD81" s="198"/>
      <c r="DE81" s="198"/>
      <c r="DF81" s="198"/>
      <c r="DG81" s="198"/>
      <c r="DH81" s="198"/>
      <c r="DI81" s="198"/>
      <c r="DJ81" s="198"/>
      <c r="DK81" s="198"/>
      <c r="DL81" s="198"/>
      <c r="DM81" s="198"/>
      <c r="DN81" s="198"/>
      <c r="DO81" s="198"/>
      <c r="DP81" s="198"/>
      <c r="DQ81" s="198"/>
      <c r="DR81" s="198"/>
      <c r="DS81" s="260"/>
      <c r="DT81" s="260"/>
      <c r="DU81" s="260"/>
      <c r="DV81" s="260"/>
      <c r="DW81" s="260"/>
      <c r="DX81" s="260"/>
      <c r="DY81" s="198"/>
      <c r="DZ81" s="198"/>
      <c r="EA81" s="198"/>
      <c r="EB81" s="260"/>
      <c r="EC81" s="260"/>
      <c r="ED81" s="260"/>
      <c r="EE81" s="198"/>
      <c r="EF81" s="166" t="s">
        <v>7116</v>
      </c>
      <c r="EG81" s="220"/>
      <c r="EH81" s="640" t="s">
        <v>6331</v>
      </c>
      <c r="EI81" s="68"/>
      <c r="EJ81" s="68"/>
      <c r="EK81" s="152" t="s">
        <v>6331</v>
      </c>
      <c r="EL81" s="229"/>
      <c r="EM81" s="229"/>
      <c r="EN81" s="338"/>
      <c r="EO81" s="338"/>
      <c r="EP81" s="338"/>
      <c r="EQ81" s="338"/>
      <c r="ER81" s="338"/>
      <c r="ES81" s="338"/>
      <c r="ET81" s="229"/>
      <c r="EU81" s="229"/>
      <c r="EV81" s="229"/>
      <c r="EW81" s="110"/>
      <c r="EX81" s="338"/>
      <c r="EY81" s="338"/>
      <c r="EZ81" s="646"/>
      <c r="FA81" s="229"/>
      <c r="FB81" s="229"/>
      <c r="FC81" s="70"/>
      <c r="FD81" s="229"/>
      <c r="FE81" s="229"/>
      <c r="FF81" s="70"/>
      <c r="FG81" s="229"/>
      <c r="FH81" s="252"/>
      <c r="FI81" s="288"/>
      <c r="FJ81" s="260"/>
      <c r="FK81" s="260"/>
      <c r="FL81" s="260"/>
      <c r="FM81" s="260"/>
      <c r="FN81" s="260"/>
      <c r="FO81" s="198"/>
      <c r="FP81" s="198"/>
      <c r="FQ81" s="198"/>
      <c r="FR81" s="198"/>
      <c r="FS81" s="198"/>
      <c r="FT81" s="198"/>
      <c r="FU81" s="198"/>
      <c r="FV81" s="198"/>
      <c r="FW81" s="198"/>
      <c r="FX81" s="198"/>
      <c r="FY81" s="198"/>
      <c r="FZ81" s="198"/>
      <c r="GA81" s="198"/>
      <c r="GB81" s="198"/>
      <c r="GC81" s="198"/>
      <c r="GD81" s="260"/>
      <c r="GE81" s="260"/>
      <c r="GF81" s="260"/>
      <c r="GG81" s="260"/>
      <c r="GH81" s="260"/>
      <c r="GI81" s="274"/>
      <c r="GJ81" s="70"/>
      <c r="GK81" s="70"/>
      <c r="GL81" s="70"/>
      <c r="GM81" s="70"/>
      <c r="GN81" s="70"/>
      <c r="GO81" s="70"/>
      <c r="GP81" s="100"/>
      <c r="GQ81" s="70"/>
      <c r="GR81" s="70"/>
      <c r="GS81" s="70"/>
      <c r="GT81" s="229"/>
      <c r="GU81" s="229"/>
      <c r="GV81" s="70"/>
      <c r="GW81" s="229"/>
      <c r="GX81" s="229"/>
      <c r="GY81" s="367"/>
      <c r="GZ81" s="367"/>
      <c r="HA81" s="367"/>
      <c r="HB81" s="338"/>
      <c r="HC81" s="338"/>
      <c r="HD81" s="338"/>
      <c r="HE81" s="229"/>
      <c r="HF81" s="229"/>
      <c r="HG81" s="229"/>
      <c r="HH81" s="70"/>
      <c r="HI81" s="229"/>
      <c r="HJ81" s="229"/>
      <c r="HK81" s="646"/>
      <c r="HL81" s="229"/>
      <c r="HM81" s="229"/>
      <c r="HN81" s="70"/>
      <c r="HO81" s="229"/>
      <c r="HP81" s="229"/>
      <c r="HQ81" s="70"/>
      <c r="HR81" s="229"/>
      <c r="HS81" s="252"/>
      <c r="HT81" s="260"/>
      <c r="HU81" s="260"/>
      <c r="HV81" s="260"/>
      <c r="HW81" s="260"/>
      <c r="HX81" s="260"/>
      <c r="HY81" s="260"/>
      <c r="HZ81" s="260"/>
      <c r="IA81" s="260"/>
      <c r="IB81" s="274"/>
      <c r="IC81" s="201"/>
      <c r="ID81" s="198"/>
      <c r="IE81" s="268"/>
      <c r="IF81" s="201"/>
      <c r="IG81" s="198"/>
      <c r="IH81" s="268"/>
      <c r="II81" s="201"/>
      <c r="IJ81" s="199"/>
      <c r="IK81" s="268"/>
      <c r="IL81" s="201"/>
      <c r="IM81" s="198"/>
      <c r="IN81" s="268"/>
      <c r="IO81" s="288"/>
      <c r="IP81" s="260"/>
      <c r="IQ81" s="296"/>
      <c r="IR81" s="288"/>
      <c r="IS81" s="260"/>
      <c r="IT81" s="296"/>
      <c r="IU81" s="432"/>
      <c r="IV81" s="454"/>
      <c r="IW81" s="470"/>
      <c r="IX81" s="201"/>
      <c r="IY81" s="198"/>
      <c r="IZ81" s="268"/>
      <c r="JA81" s="201"/>
      <c r="JB81" s="198"/>
      <c r="JC81" s="268"/>
      <c r="JD81" s="201"/>
      <c r="JE81" s="198"/>
      <c r="JF81" s="268"/>
      <c r="JG81" s="201"/>
      <c r="JH81" s="70"/>
      <c r="JI81" s="268"/>
      <c r="JJ81" s="288"/>
      <c r="JK81" s="260"/>
      <c r="JL81" s="296"/>
      <c r="JM81" s="288"/>
      <c r="JN81" s="260"/>
      <c r="JO81" s="296"/>
      <c r="JP81" s="672"/>
      <c r="JQ81" s="388"/>
      <c r="JR81" s="489"/>
      <c r="JS81" s="517"/>
      <c r="JT81" s="491"/>
      <c r="JU81" s="69"/>
      <c r="JV81" s="100"/>
      <c r="JW81" s="70"/>
      <c r="JX81" s="70"/>
      <c r="JY81" s="65"/>
      <c r="JZ81" s="70"/>
      <c r="KA81" s="70"/>
      <c r="KB81" s="65"/>
      <c r="KC81" s="70"/>
      <c r="KD81" s="70"/>
      <c r="KE81" s="110"/>
      <c r="KF81" s="110"/>
      <c r="KG81" s="110"/>
      <c r="KH81" s="110"/>
      <c r="KI81" s="110"/>
      <c r="KJ81" s="110"/>
      <c r="KK81" s="513"/>
      <c r="KL81" s="70"/>
      <c r="KM81" s="567"/>
      <c r="KN81" s="104"/>
      <c r="KO81" s="69"/>
      <c r="KP81" s="70"/>
      <c r="KQ81" s="344"/>
      <c r="KR81" s="70"/>
      <c r="KS81" s="218"/>
      <c r="KT81" s="687"/>
      <c r="KU81" s="69"/>
      <c r="KV81" s="218"/>
      <c r="KW81" s="687"/>
      <c r="KX81" s="69"/>
      <c r="KY81" s="70"/>
      <c r="KZ81" s="110"/>
      <c r="LA81" s="110"/>
      <c r="LB81" s="110"/>
      <c r="LC81" s="110"/>
      <c r="LD81" s="110"/>
      <c r="LE81" s="110"/>
      <c r="LF81" s="513"/>
      <c r="LG81" s="513"/>
      <c r="LH81" s="513"/>
      <c r="LI81" s="104"/>
      <c r="LJ81" s="69"/>
      <c r="LK81" s="218"/>
      <c r="LL81" s="690"/>
      <c r="LM81" s="69"/>
      <c r="LN81" s="218"/>
      <c r="LO81" s="687"/>
      <c r="LP81" s="69"/>
      <c r="LQ81" s="218"/>
      <c r="LR81" s="687"/>
      <c r="LS81" s="69"/>
      <c r="LT81" s="70"/>
      <c r="LU81" s="110"/>
      <c r="LV81" s="110"/>
      <c r="LW81" s="110"/>
      <c r="LX81" s="110"/>
      <c r="LY81" s="110"/>
      <c r="LZ81" s="110"/>
      <c r="MA81" s="513"/>
      <c r="MB81" s="513"/>
      <c r="MC81" s="513"/>
      <c r="ME81" s="513"/>
      <c r="MF81" s="70"/>
      <c r="MG81" s="513"/>
      <c r="MH81" s="100"/>
      <c r="MI81" s="70"/>
      <c r="MJ81" s="70"/>
      <c r="MK81" s="65"/>
      <c r="ML81" s="70"/>
      <c r="MM81" s="70"/>
      <c r="MN81" s="65"/>
      <c r="MO81" s="70"/>
      <c r="MP81" s="70"/>
      <c r="MQ81" s="70"/>
      <c r="MR81" s="70"/>
      <c r="MS81" s="70"/>
      <c r="MT81" s="110"/>
      <c r="MU81" s="110"/>
      <c r="MV81" s="110"/>
      <c r="MW81" s="110"/>
      <c r="MX81" s="110"/>
      <c r="MY81" s="128"/>
      <c r="MZ81" s="432"/>
      <c r="NA81" s="454"/>
      <c r="NB81" s="470"/>
      <c r="NC81" s="90"/>
      <c r="ND81" s="70"/>
      <c r="NE81" s="70"/>
      <c r="NF81" s="619"/>
      <c r="NG81" s="70"/>
      <c r="NH81" s="70"/>
      <c r="NI81" s="619"/>
      <c r="NJ81" s="70"/>
      <c r="NK81" s="70"/>
      <c r="NL81" s="70"/>
      <c r="NM81" s="70"/>
      <c r="NN81" s="218"/>
      <c r="NO81" s="613"/>
      <c r="NP81" s="110"/>
      <c r="NQ81" s="110"/>
      <c r="NR81" s="110"/>
      <c r="NS81" s="110"/>
      <c r="NT81" s="614"/>
      <c r="NU81" s="535"/>
      <c r="NV81" s="513"/>
      <c r="NW81" s="513"/>
    </row>
    <row r="82" spans="1:387" ht="14.4">
      <c r="A82" s="1638"/>
      <c r="B82" s="1651"/>
      <c r="C82" s="1669"/>
      <c r="D82" s="70"/>
      <c r="E82" s="70"/>
      <c r="F82" s="70"/>
      <c r="G82" s="70"/>
      <c r="H82" s="70"/>
      <c r="I82" s="70"/>
      <c r="J82" s="110"/>
      <c r="K82" s="110"/>
      <c r="L82" s="110"/>
      <c r="M82" s="110"/>
      <c r="N82" s="110"/>
      <c r="O82" s="11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110"/>
      <c r="AF82" s="110"/>
      <c r="AG82" s="110"/>
      <c r="AH82" s="110"/>
      <c r="AI82" s="110"/>
      <c r="AJ82" s="110"/>
      <c r="AK82" s="70"/>
      <c r="AL82" s="70"/>
      <c r="AM82" s="70"/>
      <c r="AN82" s="70"/>
      <c r="AO82" s="154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110"/>
      <c r="BA82" s="110"/>
      <c r="BB82" s="110"/>
      <c r="BC82" s="110"/>
      <c r="BD82" s="110"/>
      <c r="BE82" s="110"/>
      <c r="BF82" s="70"/>
      <c r="BG82" s="70"/>
      <c r="BH82" s="70"/>
      <c r="BI82" s="177"/>
      <c r="BJ82" s="177"/>
      <c r="BK82" s="177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110"/>
      <c r="BY82" s="110"/>
      <c r="BZ82" s="110"/>
      <c r="CA82" s="110"/>
      <c r="CB82" s="110"/>
      <c r="CC82" s="200"/>
      <c r="CD82" s="201"/>
      <c r="CE82" s="198"/>
      <c r="CF82" s="198"/>
      <c r="CG82" s="198"/>
      <c r="CH82" s="198"/>
      <c r="CI82" s="198"/>
      <c r="CJ82" s="198"/>
      <c r="CK82" s="198"/>
      <c r="CL82" s="198"/>
      <c r="CM82" s="198"/>
      <c r="CN82" s="198"/>
      <c r="CO82" s="198"/>
      <c r="CP82" s="198"/>
      <c r="CQ82" s="198"/>
      <c r="CR82" s="198"/>
      <c r="CS82" s="198"/>
      <c r="CT82" s="198"/>
      <c r="CU82" s="198"/>
      <c r="CV82" s="220"/>
      <c r="CW82" s="260"/>
      <c r="CX82" s="260"/>
      <c r="CY82" s="274"/>
      <c r="CZ82" s="288"/>
      <c r="DA82" s="260"/>
      <c r="DB82" s="260"/>
      <c r="DC82" s="198"/>
      <c r="DD82" s="198"/>
      <c r="DE82" s="198"/>
      <c r="DF82" s="198"/>
      <c r="DG82" s="198"/>
      <c r="DH82" s="198"/>
      <c r="DI82" s="198"/>
      <c r="DJ82" s="198"/>
      <c r="DK82" s="198"/>
      <c r="DL82" s="198"/>
      <c r="DM82" s="198"/>
      <c r="DN82" s="198"/>
      <c r="DO82" s="198"/>
      <c r="DP82" s="198"/>
      <c r="DQ82" s="198"/>
      <c r="DR82" s="198"/>
      <c r="DS82" s="260"/>
      <c r="DT82" s="260"/>
      <c r="DU82" s="260"/>
      <c r="DV82" s="260"/>
      <c r="DW82" s="260"/>
      <c r="DX82" s="260"/>
      <c r="DY82" s="198"/>
      <c r="DZ82" s="198"/>
      <c r="EA82" s="198"/>
      <c r="EB82" s="260"/>
      <c r="EC82" s="260"/>
      <c r="ED82" s="260"/>
      <c r="EE82" s="198"/>
      <c r="EF82" s="166" t="s">
        <v>6515</v>
      </c>
      <c r="EG82" s="220"/>
      <c r="EH82" s="641"/>
      <c r="EI82" s="230"/>
      <c r="EJ82" s="230"/>
      <c r="EK82" s="230"/>
      <c r="EL82" s="230"/>
      <c r="EM82" s="230"/>
      <c r="EN82" s="339"/>
      <c r="EO82" s="339"/>
      <c r="EP82" s="339"/>
      <c r="EQ82" s="339"/>
      <c r="ER82" s="339"/>
      <c r="ES82" s="339"/>
      <c r="ET82" s="230"/>
      <c r="EU82" s="230"/>
      <c r="EV82" s="230"/>
      <c r="EW82" s="339"/>
      <c r="EX82" s="339"/>
      <c r="EY82" s="339"/>
      <c r="EZ82" s="230"/>
      <c r="FA82" s="230"/>
      <c r="FB82" s="230"/>
      <c r="FC82" s="230"/>
      <c r="FD82" s="230"/>
      <c r="FE82" s="230"/>
      <c r="FF82" s="230"/>
      <c r="FG82" s="230"/>
      <c r="FH82" s="253"/>
      <c r="FI82" s="288"/>
      <c r="FJ82" s="260"/>
      <c r="FK82" s="260"/>
      <c r="FL82" s="260"/>
      <c r="FM82" s="260"/>
      <c r="FN82" s="260"/>
      <c r="FO82" s="198"/>
      <c r="FP82" s="198"/>
      <c r="FQ82" s="198"/>
      <c r="FR82" s="89"/>
      <c r="FS82" s="89"/>
      <c r="FT82" s="89"/>
      <c r="FU82" s="89"/>
      <c r="FV82" s="89"/>
      <c r="FW82" s="89"/>
      <c r="FX82" s="89"/>
      <c r="FY82" s="89"/>
      <c r="FZ82" s="89"/>
      <c r="GA82" s="89"/>
      <c r="GB82" s="89"/>
      <c r="GC82" s="89"/>
      <c r="GD82" s="89"/>
      <c r="GE82" s="89"/>
      <c r="GF82" s="89"/>
      <c r="GG82" s="89"/>
      <c r="GH82" s="89"/>
      <c r="GI82" s="216"/>
      <c r="GJ82" s="70"/>
      <c r="GK82" s="70"/>
      <c r="GL82" s="70"/>
      <c r="GM82" s="619"/>
      <c r="GN82" s="70"/>
      <c r="GO82" s="70"/>
      <c r="GP82" s="90"/>
      <c r="GQ82" s="70"/>
      <c r="GR82" s="70"/>
      <c r="GS82" s="230"/>
      <c r="GT82" s="230"/>
      <c r="GU82" s="230"/>
      <c r="GV82" s="230"/>
      <c r="GW82" s="230"/>
      <c r="GX82" s="230"/>
      <c r="GY82" s="377"/>
      <c r="GZ82" s="377"/>
      <c r="HA82" s="377"/>
      <c r="HB82" s="339"/>
      <c r="HC82" s="339"/>
      <c r="HD82" s="339"/>
      <c r="HE82" s="230"/>
      <c r="HF82" s="230"/>
      <c r="HG82" s="230"/>
      <c r="HH82" s="230"/>
      <c r="HI82" s="230"/>
      <c r="HJ82" s="230"/>
      <c r="HK82" s="230"/>
      <c r="HL82" s="230"/>
      <c r="HM82" s="230"/>
      <c r="HN82" s="230"/>
      <c r="HO82" s="230"/>
      <c r="HP82" s="230"/>
      <c r="HQ82" s="230"/>
      <c r="HR82" s="230"/>
      <c r="HS82" s="253"/>
      <c r="HT82" s="260"/>
      <c r="HU82" s="260"/>
      <c r="HV82" s="260"/>
      <c r="HW82" s="260"/>
      <c r="HX82" s="260"/>
      <c r="HY82" s="260"/>
      <c r="HZ82" s="260"/>
      <c r="IA82" s="260"/>
      <c r="IB82" s="274"/>
      <c r="IC82" s="201"/>
      <c r="ID82" s="198"/>
      <c r="IE82" s="268"/>
      <c r="IF82" s="201"/>
      <c r="IG82" s="198"/>
      <c r="IH82" s="268"/>
      <c r="II82" s="201"/>
      <c r="IJ82" s="198"/>
      <c r="IK82" s="268"/>
      <c r="IL82" s="201"/>
      <c r="IM82" s="198"/>
      <c r="IN82" s="268"/>
      <c r="IO82" s="288"/>
      <c r="IP82" s="260"/>
      <c r="IQ82" s="296"/>
      <c r="IR82" s="288"/>
      <c r="IS82" s="260"/>
      <c r="IT82" s="296"/>
      <c r="IU82" s="288"/>
      <c r="IV82" s="260"/>
      <c r="IW82" s="296"/>
      <c r="IX82" s="201"/>
      <c r="IY82" s="198"/>
      <c r="IZ82" s="268"/>
      <c r="JA82" s="201"/>
      <c r="JB82" s="198"/>
      <c r="JC82" s="268"/>
      <c r="JD82" s="201"/>
      <c r="JE82" s="198"/>
      <c r="JF82" s="268"/>
      <c r="JG82" s="201"/>
      <c r="JH82" s="70"/>
      <c r="JI82" s="268"/>
      <c r="JJ82" s="288"/>
      <c r="JK82" s="260"/>
      <c r="JL82" s="296"/>
      <c r="JM82" s="288"/>
      <c r="JN82" s="260"/>
      <c r="JO82" s="296"/>
      <c r="JP82" s="672"/>
      <c r="JQ82" s="388"/>
      <c r="JR82" s="489"/>
      <c r="JS82" s="517"/>
      <c r="JT82" s="491"/>
      <c r="JU82" s="69"/>
      <c r="JV82" s="90"/>
      <c r="JW82" s="70"/>
      <c r="JX82" s="70"/>
      <c r="JY82" s="619"/>
      <c r="JZ82" s="70"/>
      <c r="KA82" s="70"/>
      <c r="KB82" s="619"/>
      <c r="KC82" s="70"/>
      <c r="KD82" s="70"/>
      <c r="KE82" s="110"/>
      <c r="KF82" s="110"/>
      <c r="KG82" s="110"/>
      <c r="KH82" s="110"/>
      <c r="KI82" s="110"/>
      <c r="KJ82" s="110"/>
      <c r="KK82" s="513"/>
      <c r="KL82" s="70"/>
      <c r="KM82" s="567"/>
      <c r="KN82" s="104"/>
      <c r="KO82" s="69"/>
      <c r="KP82" s="70"/>
      <c r="KQ82" s="100"/>
      <c r="KR82" s="70"/>
      <c r="KS82" s="218"/>
      <c r="KT82" s="646"/>
      <c r="KU82" s="69"/>
      <c r="KV82" s="218"/>
      <c r="KW82" s="646"/>
      <c r="KX82" s="69"/>
      <c r="KY82" s="70"/>
      <c r="KZ82" s="110"/>
      <c r="LA82" s="110"/>
      <c r="LB82" s="110"/>
      <c r="LC82" s="110"/>
      <c r="LD82" s="110"/>
      <c r="LE82" s="110"/>
      <c r="LF82" s="513"/>
      <c r="LG82" s="513"/>
      <c r="LH82" s="513"/>
      <c r="LI82" s="104"/>
      <c r="LJ82" s="69"/>
      <c r="LK82" s="218"/>
      <c r="LL82" s="100"/>
      <c r="LM82" s="69"/>
      <c r="LN82" s="218"/>
      <c r="LO82" s="646"/>
      <c r="LP82" s="69"/>
      <c r="LQ82" s="218"/>
      <c r="LR82" s="646"/>
      <c r="LS82" s="69"/>
      <c r="LT82" s="70"/>
      <c r="LU82" s="110"/>
      <c r="LV82" s="110"/>
      <c r="LW82" s="110"/>
      <c r="LX82" s="110"/>
      <c r="LY82" s="110"/>
      <c r="LZ82" s="110"/>
      <c r="MA82" s="513"/>
      <c r="MB82" s="513"/>
      <c r="MC82" s="513"/>
      <c r="ME82" s="513"/>
      <c r="MF82" s="70"/>
      <c r="MG82" s="513"/>
      <c r="MH82" s="90"/>
      <c r="MI82" s="70"/>
      <c r="MJ82" s="70"/>
      <c r="MK82" s="619"/>
      <c r="ML82" s="70"/>
      <c r="MM82" s="70"/>
      <c r="MN82" s="619"/>
      <c r="MO82" s="70"/>
      <c r="MP82" s="70"/>
      <c r="MQ82" s="70"/>
      <c r="MR82" s="70"/>
      <c r="MS82" s="70"/>
      <c r="MT82" s="110"/>
      <c r="MU82" s="110"/>
      <c r="MV82" s="110"/>
      <c r="MW82" s="110"/>
      <c r="MX82" s="110"/>
      <c r="MY82" s="128"/>
      <c r="MZ82" s="432"/>
      <c r="NA82" s="454"/>
      <c r="NB82" s="470"/>
      <c r="NC82" s="646"/>
      <c r="ND82" s="229"/>
      <c r="NE82" s="229"/>
      <c r="NF82" s="70"/>
      <c r="NG82" s="229"/>
      <c r="NH82" s="229"/>
      <c r="NI82" s="70"/>
      <c r="NJ82" s="229"/>
      <c r="NK82" s="229"/>
      <c r="NL82" s="229"/>
      <c r="NM82" s="229"/>
      <c r="NN82" s="252"/>
      <c r="NO82" s="615"/>
      <c r="NP82" s="114"/>
      <c r="NQ82" s="114"/>
      <c r="NR82" s="114"/>
      <c r="NS82" s="114"/>
      <c r="NT82" s="616"/>
      <c r="NU82" s="539"/>
      <c r="NV82" s="497"/>
      <c r="NW82" s="497"/>
    </row>
    <row r="83" spans="1:387" ht="14.4">
      <c r="A83" s="1638"/>
      <c r="B83" s="1651"/>
      <c r="C83" s="1669"/>
      <c r="D83" s="70"/>
      <c r="E83" s="70"/>
      <c r="F83" s="70"/>
      <c r="G83" s="70"/>
      <c r="H83" s="70"/>
      <c r="I83" s="70"/>
      <c r="J83" s="110"/>
      <c r="K83" s="110"/>
      <c r="L83" s="110"/>
      <c r="M83" s="110"/>
      <c r="N83" s="110"/>
      <c r="O83" s="11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110"/>
      <c r="AF83" s="110"/>
      <c r="AG83" s="110"/>
      <c r="AH83" s="110"/>
      <c r="AI83" s="110"/>
      <c r="AJ83" s="110"/>
      <c r="AK83" s="70"/>
      <c r="AL83" s="70"/>
      <c r="AM83" s="70"/>
      <c r="AN83" s="70"/>
      <c r="AO83" s="154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110"/>
      <c r="BA83" s="110"/>
      <c r="BB83" s="110"/>
      <c r="BC83" s="110"/>
      <c r="BD83" s="110"/>
      <c r="BE83" s="110"/>
      <c r="BF83" s="70"/>
      <c r="BG83" s="70"/>
      <c r="BH83" s="70"/>
      <c r="BI83" s="177"/>
      <c r="BJ83" s="177"/>
      <c r="BK83" s="177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110"/>
      <c r="BY83" s="110"/>
      <c r="BZ83" s="110"/>
      <c r="CA83" s="110"/>
      <c r="CB83" s="110"/>
      <c r="CC83" s="128"/>
      <c r="CD83" s="201"/>
      <c r="CE83" s="198"/>
      <c r="CF83" s="198"/>
      <c r="CG83" s="198"/>
      <c r="CH83" s="198"/>
      <c r="CI83" s="198"/>
      <c r="CJ83" s="198"/>
      <c r="CK83" s="198"/>
      <c r="CL83" s="198"/>
      <c r="CM83" s="198"/>
      <c r="CN83" s="198"/>
      <c r="CO83" s="198"/>
      <c r="CP83" s="198"/>
      <c r="CQ83" s="198"/>
      <c r="CR83" s="198"/>
      <c r="CS83" s="198"/>
      <c r="CT83" s="198"/>
      <c r="CU83" s="198"/>
      <c r="CV83" s="220"/>
      <c r="CW83" s="260"/>
      <c r="CX83" s="260"/>
      <c r="CY83" s="274"/>
      <c r="CZ83" s="288"/>
      <c r="DA83" s="260"/>
      <c r="DB83" s="260"/>
      <c r="DC83" s="198"/>
      <c r="DD83" s="198"/>
      <c r="DE83" s="198"/>
      <c r="DF83" s="198"/>
      <c r="DG83" s="198"/>
      <c r="DH83" s="198"/>
      <c r="DI83" s="198"/>
      <c r="DJ83" s="198"/>
      <c r="DK83" s="198"/>
      <c r="DL83" s="198"/>
      <c r="DM83" s="198"/>
      <c r="DN83" s="198"/>
      <c r="DO83" s="198"/>
      <c r="DP83" s="198"/>
      <c r="DQ83" s="198"/>
      <c r="DR83" s="198"/>
      <c r="DS83" s="260"/>
      <c r="DT83" s="260"/>
      <c r="DU83" s="260"/>
      <c r="DV83" s="260"/>
      <c r="DW83" s="260"/>
      <c r="DX83" s="260"/>
      <c r="DY83" s="198"/>
      <c r="DZ83" s="198"/>
      <c r="EA83" s="198"/>
      <c r="EB83" s="260"/>
      <c r="EC83" s="260"/>
      <c r="ED83" s="260"/>
      <c r="EE83" s="198"/>
      <c r="EF83" s="166" t="s">
        <v>6744</v>
      </c>
      <c r="EG83" s="220"/>
      <c r="EH83" s="644"/>
      <c r="EI83" s="229"/>
      <c r="EJ83" s="229"/>
      <c r="EK83" s="229"/>
      <c r="EL83" s="229"/>
      <c r="EM83" s="229"/>
      <c r="EN83" s="338"/>
      <c r="EO83" s="338"/>
      <c r="EP83" s="338"/>
      <c r="EQ83" s="338"/>
      <c r="ER83" s="338"/>
      <c r="ES83" s="338"/>
      <c r="ET83" s="229"/>
      <c r="EU83" s="229"/>
      <c r="EV83" s="229"/>
      <c r="EW83" s="338"/>
      <c r="EX83" s="338"/>
      <c r="EY83" s="338"/>
      <c r="EZ83" s="229"/>
      <c r="FA83" s="229"/>
      <c r="FB83" s="229"/>
      <c r="FC83" s="229"/>
      <c r="FD83" s="229"/>
      <c r="FE83" s="229"/>
      <c r="FF83" s="229"/>
      <c r="FG83" s="229"/>
      <c r="FH83" s="252"/>
      <c r="FI83" s="288"/>
      <c r="FJ83" s="260"/>
      <c r="FK83" s="260"/>
      <c r="FL83" s="260"/>
      <c r="FM83" s="260"/>
      <c r="FN83" s="260"/>
      <c r="FO83" s="198"/>
      <c r="FP83" s="198"/>
      <c r="FQ83" s="198"/>
      <c r="FR83" s="89"/>
      <c r="FS83" s="89"/>
      <c r="FT83" s="89"/>
      <c r="FU83" s="89"/>
      <c r="FV83" s="89"/>
      <c r="FW83" s="89"/>
      <c r="FX83" s="89"/>
      <c r="FY83" s="89"/>
      <c r="FZ83" s="89"/>
      <c r="GA83" s="89"/>
      <c r="GB83" s="89"/>
      <c r="GC83" s="89"/>
      <c r="GD83" s="89"/>
      <c r="GE83" s="89"/>
      <c r="GF83" s="89"/>
      <c r="GG83" s="89"/>
      <c r="GH83" s="89"/>
      <c r="GI83" s="216"/>
      <c r="GJ83" s="229"/>
      <c r="GK83" s="229"/>
      <c r="GL83" s="229"/>
      <c r="GM83" s="229"/>
      <c r="GN83" s="229"/>
      <c r="GO83" s="229"/>
      <c r="GP83" s="229"/>
      <c r="GQ83" s="229"/>
      <c r="GR83" s="229"/>
      <c r="GS83" s="229"/>
      <c r="GT83" s="229"/>
      <c r="GU83" s="229"/>
      <c r="GV83" s="229"/>
      <c r="GW83" s="229"/>
      <c r="GX83" s="229"/>
      <c r="GY83" s="367"/>
      <c r="GZ83" s="367"/>
      <c r="HA83" s="367"/>
      <c r="HB83" s="338"/>
      <c r="HC83" s="338"/>
      <c r="HD83" s="338"/>
      <c r="HE83" s="229"/>
      <c r="HF83" s="229"/>
      <c r="HG83" s="229"/>
      <c r="HH83" s="229"/>
      <c r="HI83" s="229"/>
      <c r="HJ83" s="229"/>
      <c r="HK83" s="229"/>
      <c r="HL83" s="229"/>
      <c r="HM83" s="229"/>
      <c r="HN83" s="229"/>
      <c r="HO83" s="229"/>
      <c r="HP83" s="229"/>
      <c r="HQ83" s="229"/>
      <c r="HR83" s="229"/>
      <c r="HS83" s="252"/>
      <c r="HT83" s="260"/>
      <c r="HU83" s="260"/>
      <c r="HV83" s="260"/>
      <c r="HW83" s="260"/>
      <c r="HX83" s="260"/>
      <c r="HY83" s="260"/>
      <c r="HZ83" s="260"/>
      <c r="IA83" s="260"/>
      <c r="IB83" s="274"/>
      <c r="IC83" s="201"/>
      <c r="ID83" s="198"/>
      <c r="IE83" s="268"/>
      <c r="IF83" s="620"/>
      <c r="IG83" s="645"/>
      <c r="IH83" s="658"/>
      <c r="II83" s="620"/>
      <c r="IJ83" s="89"/>
      <c r="IK83" s="658"/>
      <c r="IL83" s="620"/>
      <c r="IM83" s="89"/>
      <c r="IN83" s="658"/>
      <c r="IO83" s="620"/>
      <c r="IP83" s="89"/>
      <c r="IQ83" s="658"/>
      <c r="IR83" s="620"/>
      <c r="IS83" s="89"/>
      <c r="IT83" s="658"/>
      <c r="IU83" s="620"/>
      <c r="IV83" s="89"/>
      <c r="IW83" s="658"/>
      <c r="IX83" s="620"/>
      <c r="IY83" s="89"/>
      <c r="IZ83" s="658"/>
      <c r="JA83" s="620"/>
      <c r="JB83" s="89"/>
      <c r="JC83" s="658"/>
      <c r="JD83" s="620"/>
      <c r="JE83" s="89"/>
      <c r="JF83" s="658"/>
      <c r="JG83" s="620"/>
      <c r="JH83" s="229"/>
      <c r="JI83" s="658"/>
      <c r="JJ83" s="620"/>
      <c r="JK83" s="89"/>
      <c r="JL83" s="658"/>
      <c r="JM83" s="620"/>
      <c r="JN83" s="89"/>
      <c r="JO83" s="658"/>
      <c r="JP83" s="673"/>
      <c r="JQ83" s="388"/>
      <c r="JR83" s="489"/>
      <c r="JS83" s="505"/>
      <c r="JT83" s="501"/>
      <c r="JU83" s="531"/>
      <c r="JV83" s="646"/>
      <c r="JW83" s="229"/>
      <c r="JX83" s="229"/>
      <c r="JY83" s="70"/>
      <c r="JZ83" s="229"/>
      <c r="KA83" s="229"/>
      <c r="KB83" s="70"/>
      <c r="KC83" s="229"/>
      <c r="KD83" s="229"/>
      <c r="KE83" s="338"/>
      <c r="KF83" s="338"/>
      <c r="KG83" s="338"/>
      <c r="KH83" s="338"/>
      <c r="KI83" s="338"/>
      <c r="KJ83" s="338"/>
      <c r="KK83" s="513"/>
      <c r="KL83" s="70"/>
      <c r="KM83" s="567"/>
      <c r="KN83" s="104"/>
      <c r="KO83" s="69"/>
      <c r="KP83" s="70"/>
      <c r="KQ83" s="90"/>
      <c r="KR83" s="70"/>
      <c r="KS83" s="218"/>
      <c r="KT83" s="688"/>
      <c r="KU83" s="69"/>
      <c r="KV83" s="218"/>
      <c r="KW83" s="688"/>
      <c r="KX83" s="69"/>
      <c r="KY83" s="70"/>
      <c r="KZ83" s="110"/>
      <c r="LA83" s="110"/>
      <c r="LB83" s="110"/>
      <c r="LC83" s="110"/>
      <c r="LD83" s="110"/>
      <c r="LE83" s="110"/>
      <c r="LF83" s="513"/>
      <c r="LG83" s="513"/>
      <c r="LH83" s="513"/>
      <c r="LI83" s="104"/>
      <c r="LJ83" s="69"/>
      <c r="LK83" s="218"/>
      <c r="LL83" s="90"/>
      <c r="LM83" s="69"/>
      <c r="LN83" s="218"/>
      <c r="LO83" s="688"/>
      <c r="LP83" s="69"/>
      <c r="LQ83" s="218"/>
      <c r="LR83" s="688"/>
      <c r="LS83" s="69"/>
      <c r="LT83" s="70"/>
      <c r="LU83" s="110"/>
      <c r="LV83" s="110"/>
      <c r="LW83" s="110"/>
      <c r="LX83" s="110"/>
      <c r="LY83" s="110"/>
      <c r="LZ83" s="110"/>
      <c r="MA83" s="513"/>
      <c r="MB83" s="513"/>
      <c r="MC83" s="513"/>
      <c r="ME83" s="497"/>
      <c r="MF83" s="229"/>
      <c r="MG83" s="497"/>
      <c r="MH83" s="646"/>
      <c r="MI83" s="229"/>
      <c r="MJ83" s="229"/>
      <c r="MK83" s="70"/>
      <c r="ML83" s="229"/>
      <c r="MM83" s="229"/>
      <c r="MN83" s="70"/>
      <c r="MO83" s="229"/>
      <c r="MP83" s="229"/>
      <c r="MQ83" s="229"/>
      <c r="MR83" s="229"/>
      <c r="MS83" s="229"/>
      <c r="MT83" s="338"/>
      <c r="MU83" s="338"/>
      <c r="MV83" s="338"/>
      <c r="MW83" s="338"/>
      <c r="MX83" s="338"/>
      <c r="MY83" s="578"/>
      <c r="MZ83" s="432"/>
      <c r="NA83" s="454"/>
      <c r="NB83" s="470"/>
      <c r="NC83" s="230"/>
      <c r="ND83" s="230"/>
      <c r="NE83" s="230"/>
      <c r="NF83" s="230"/>
      <c r="NG83" s="230"/>
      <c r="NH83" s="230"/>
      <c r="NI83" s="230"/>
      <c r="NJ83" s="230"/>
      <c r="NK83" s="230"/>
      <c r="NL83" s="230"/>
      <c r="NM83" s="230"/>
      <c r="NN83" s="230"/>
      <c r="NO83" s="109"/>
      <c r="NP83" s="109"/>
      <c r="NQ83" s="109"/>
      <c r="NR83" s="109"/>
      <c r="NS83" s="109"/>
      <c r="NT83" s="109"/>
      <c r="NU83" s="484"/>
      <c r="NV83" s="484"/>
      <c r="NW83" s="484"/>
    </row>
    <row r="84" spans="1:387" ht="14.4">
      <c r="A84" s="1639"/>
      <c r="B84" s="1652"/>
      <c r="C84" s="1665"/>
      <c r="D84" s="73"/>
      <c r="E84" s="73"/>
      <c r="F84" s="73"/>
      <c r="G84" s="73"/>
      <c r="H84" s="73"/>
      <c r="I84" s="73"/>
      <c r="J84" s="114"/>
      <c r="K84" s="114"/>
      <c r="L84" s="114"/>
      <c r="M84" s="114"/>
      <c r="N84" s="114"/>
      <c r="O84" s="114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114"/>
      <c r="AF84" s="114"/>
      <c r="AG84" s="114"/>
      <c r="AH84" s="114"/>
      <c r="AI84" s="114"/>
      <c r="AJ84" s="114"/>
      <c r="AK84" s="73"/>
      <c r="AL84" s="73"/>
      <c r="AM84" s="73"/>
      <c r="AN84" s="73"/>
      <c r="AO84" s="155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114"/>
      <c r="BA84" s="114"/>
      <c r="BB84" s="114"/>
      <c r="BC84" s="114"/>
      <c r="BD84" s="114"/>
      <c r="BE84" s="114"/>
      <c r="BF84" s="73"/>
      <c r="BG84" s="73"/>
      <c r="BH84" s="73"/>
      <c r="BI84" s="180"/>
      <c r="BJ84" s="180"/>
      <c r="BK84" s="180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114"/>
      <c r="BY84" s="114"/>
      <c r="BZ84" s="114"/>
      <c r="CA84" s="114"/>
      <c r="CB84" s="114"/>
      <c r="CC84" s="130"/>
      <c r="CD84" s="204"/>
      <c r="CE84" s="205"/>
      <c r="CF84" s="205"/>
      <c r="CG84" s="205"/>
      <c r="CH84" s="205"/>
      <c r="CI84" s="205"/>
      <c r="CJ84" s="205"/>
      <c r="CK84" s="205"/>
      <c r="CL84" s="205"/>
      <c r="CM84" s="205"/>
      <c r="CN84" s="205"/>
      <c r="CO84" s="205"/>
      <c r="CP84" s="205"/>
      <c r="CQ84" s="205"/>
      <c r="CR84" s="205"/>
      <c r="CS84" s="205"/>
      <c r="CT84" s="205"/>
      <c r="CU84" s="205"/>
      <c r="CV84" s="269"/>
      <c r="CW84" s="623"/>
      <c r="CX84" s="129"/>
      <c r="CY84" s="624"/>
      <c r="CZ84" s="289"/>
      <c r="DA84" s="271"/>
      <c r="DB84" s="271"/>
      <c r="DC84" s="205"/>
      <c r="DD84" s="205"/>
      <c r="DE84" s="205"/>
      <c r="DF84" s="205"/>
      <c r="DG84" s="205"/>
      <c r="DH84" s="205"/>
      <c r="DI84" s="205"/>
      <c r="DJ84" s="205"/>
      <c r="DK84" s="205"/>
      <c r="DL84" s="205"/>
      <c r="DM84" s="205"/>
      <c r="DN84" s="205"/>
      <c r="DO84" s="205"/>
      <c r="DP84" s="205"/>
      <c r="DQ84" s="205"/>
      <c r="DR84" s="205"/>
      <c r="DS84" s="271"/>
      <c r="DT84" s="271"/>
      <c r="DU84" s="271"/>
      <c r="DV84" s="271"/>
      <c r="DW84" s="271"/>
      <c r="DX84" s="271"/>
      <c r="DY84" s="205"/>
      <c r="DZ84" s="205"/>
      <c r="EA84" s="205"/>
      <c r="EB84" s="271"/>
      <c r="EC84" s="271"/>
      <c r="ED84" s="271"/>
      <c r="EE84" s="205"/>
      <c r="EF84" s="205"/>
      <c r="EG84" s="261"/>
      <c r="EH84" s="204"/>
      <c r="EI84" s="205"/>
      <c r="EJ84" s="205"/>
      <c r="EK84" s="205"/>
      <c r="EL84" s="205"/>
      <c r="EM84" s="205"/>
      <c r="EN84" s="271"/>
      <c r="EO84" s="271"/>
      <c r="EP84" s="271"/>
      <c r="EQ84" s="271"/>
      <c r="ER84" s="271"/>
      <c r="ES84" s="271"/>
      <c r="ET84" s="205"/>
      <c r="EU84" s="205"/>
      <c r="EV84" s="269"/>
      <c r="EW84" s="543"/>
      <c r="EX84" s="543"/>
      <c r="EY84" s="543"/>
      <c r="EZ84" s="543"/>
      <c r="FA84" s="543"/>
      <c r="FB84" s="543"/>
      <c r="FC84" s="543"/>
      <c r="FD84" s="543"/>
      <c r="FE84" s="543"/>
      <c r="FF84" s="543"/>
      <c r="FG84" s="543"/>
      <c r="FH84" s="543"/>
      <c r="FI84" s="202"/>
      <c r="FJ84" s="203"/>
      <c r="FK84" s="203"/>
      <c r="FL84" s="203"/>
      <c r="FM84" s="203"/>
      <c r="FN84" s="203"/>
      <c r="FO84" s="203"/>
      <c r="FP84" s="203"/>
      <c r="FQ84" s="203"/>
      <c r="FR84" s="203"/>
      <c r="FS84" s="203"/>
      <c r="FT84" s="203"/>
      <c r="FU84" s="203"/>
      <c r="FV84" s="203"/>
      <c r="FW84" s="203"/>
      <c r="FX84" s="203"/>
      <c r="FY84" s="203"/>
      <c r="FZ84" s="203"/>
      <c r="GA84" s="203"/>
      <c r="GB84" s="203"/>
      <c r="GC84" s="203"/>
      <c r="GD84" s="203"/>
      <c r="GE84" s="203"/>
      <c r="GF84" s="203"/>
      <c r="GG84" s="203"/>
      <c r="GH84" s="203"/>
      <c r="GI84" s="221"/>
      <c r="GJ84" s="202"/>
      <c r="GK84" s="203"/>
      <c r="GL84" s="568"/>
      <c r="GM84" s="202"/>
      <c r="GN84" s="203"/>
      <c r="GO84" s="568"/>
      <c r="GP84" s="202"/>
      <c r="GQ84" s="653"/>
      <c r="GR84" s="568"/>
      <c r="GS84" s="202"/>
      <c r="GT84" s="203"/>
      <c r="GU84" s="568"/>
      <c r="GV84" s="202"/>
      <c r="GW84" s="203"/>
      <c r="GX84" s="568"/>
      <c r="GY84" s="202"/>
      <c r="GZ84" s="203"/>
      <c r="HA84" s="568"/>
      <c r="HB84" s="202"/>
      <c r="HC84" s="203"/>
      <c r="HD84" s="568"/>
      <c r="HE84" s="203"/>
      <c r="HF84" s="203"/>
      <c r="HG84" s="568"/>
      <c r="HH84" s="543"/>
      <c r="HI84" s="543"/>
      <c r="HJ84" s="543"/>
      <c r="HK84" s="543"/>
      <c r="HL84" s="543"/>
      <c r="HM84" s="543"/>
      <c r="HN84" s="543"/>
      <c r="HO84" s="543"/>
      <c r="HP84" s="543"/>
      <c r="HQ84" s="543"/>
      <c r="HR84" s="543"/>
      <c r="HS84" s="543"/>
      <c r="HT84" s="203"/>
      <c r="HU84" s="203"/>
      <c r="HV84" s="203"/>
      <c r="HW84" s="203"/>
      <c r="HX84" s="203"/>
      <c r="HY84" s="203"/>
      <c r="HZ84" s="203"/>
      <c r="IA84" s="203"/>
      <c r="IB84" s="221"/>
      <c r="IC84" s="202"/>
      <c r="ID84" s="203"/>
      <c r="IE84" s="568"/>
      <c r="IF84" s="202"/>
      <c r="IG84" s="653"/>
      <c r="IH84" s="568"/>
      <c r="II84" s="202"/>
      <c r="IJ84" s="203"/>
      <c r="IK84" s="568"/>
      <c r="IL84" s="202"/>
      <c r="IM84" s="203"/>
      <c r="IN84" s="568"/>
      <c r="IO84" s="202"/>
      <c r="IP84" s="203"/>
      <c r="IQ84" s="568"/>
      <c r="IR84" s="202"/>
      <c r="IS84" s="203"/>
      <c r="IT84" s="568"/>
      <c r="IU84" s="202"/>
      <c r="IV84" s="203"/>
      <c r="IW84" s="568"/>
      <c r="IX84" s="202"/>
      <c r="IY84" s="203"/>
      <c r="IZ84" s="568"/>
      <c r="JA84" s="202"/>
      <c r="JB84" s="203"/>
      <c r="JC84" s="568"/>
      <c r="JD84" s="202"/>
      <c r="JE84" s="203"/>
      <c r="JF84" s="568"/>
      <c r="JG84" s="202"/>
      <c r="JH84" s="663"/>
      <c r="JI84" s="568"/>
      <c r="JJ84" s="202"/>
      <c r="JK84" s="203"/>
      <c r="JL84" s="568"/>
      <c r="JM84" s="202"/>
      <c r="JN84" s="203"/>
      <c r="JO84" s="568"/>
      <c r="JP84" s="674"/>
      <c r="JQ84" s="675"/>
      <c r="JR84" s="499"/>
      <c r="JS84" s="676"/>
      <c r="JT84" s="677"/>
      <c r="JU84" s="678"/>
      <c r="JV84" s="663"/>
      <c r="JW84" s="663"/>
      <c r="JX84" s="663"/>
      <c r="JY84" s="663"/>
      <c r="JZ84" s="663"/>
      <c r="KA84" s="663"/>
      <c r="KB84" s="663"/>
      <c r="KC84" s="663"/>
      <c r="KD84" s="663"/>
      <c r="KE84" s="680"/>
      <c r="KF84" s="680"/>
      <c r="KG84" s="680"/>
      <c r="KH84" s="680"/>
      <c r="KI84" s="680"/>
      <c r="KJ84" s="680"/>
      <c r="KK84" s="497"/>
      <c r="KL84" s="497"/>
      <c r="KM84" s="562"/>
      <c r="KN84" s="91"/>
      <c r="KO84" s="531"/>
      <c r="KP84" s="229"/>
      <c r="KQ84" s="646"/>
      <c r="KR84" s="229"/>
      <c r="KS84" s="252"/>
      <c r="KT84" s="91"/>
      <c r="KU84" s="531"/>
      <c r="KV84" s="252"/>
      <c r="KW84" s="91"/>
      <c r="KX84" s="531"/>
      <c r="KY84" s="229"/>
      <c r="KZ84" s="338"/>
      <c r="LA84" s="338"/>
      <c r="LB84" s="338"/>
      <c r="LC84" s="338"/>
      <c r="LD84" s="338"/>
      <c r="LE84" s="338"/>
      <c r="LF84" s="497"/>
      <c r="LG84" s="497"/>
      <c r="LH84" s="497"/>
      <c r="LI84" s="91"/>
      <c r="LJ84" s="531"/>
      <c r="LK84" s="252"/>
      <c r="LL84" s="91"/>
      <c r="LM84" s="531"/>
      <c r="LN84" s="252"/>
      <c r="LO84" s="91"/>
      <c r="LP84" s="531"/>
      <c r="LQ84" s="252"/>
      <c r="LR84" s="91"/>
      <c r="LS84" s="531"/>
      <c r="LT84" s="229"/>
      <c r="LU84" s="338"/>
      <c r="LV84" s="338"/>
      <c r="LW84" s="338"/>
      <c r="LX84" s="338"/>
      <c r="LY84" s="338"/>
      <c r="LZ84" s="338"/>
      <c r="MA84" s="497"/>
      <c r="MB84" s="497"/>
      <c r="MC84" s="497"/>
      <c r="ME84" s="497"/>
      <c r="MF84" s="229"/>
      <c r="MG84" s="497"/>
      <c r="MH84" s="229"/>
      <c r="MI84" s="229"/>
      <c r="MJ84" s="229"/>
      <c r="MK84" s="229"/>
      <c r="ML84" s="229"/>
      <c r="MM84" s="229"/>
      <c r="MN84" s="229"/>
      <c r="MO84" s="229"/>
      <c r="MP84" s="229"/>
      <c r="MQ84" s="229"/>
      <c r="MR84" s="229"/>
      <c r="MS84" s="229"/>
      <c r="MT84" s="338"/>
      <c r="MU84" s="338"/>
      <c r="MV84" s="338"/>
      <c r="MW84" s="338"/>
      <c r="MX84" s="338"/>
      <c r="MY84" s="578"/>
      <c r="MZ84" s="455"/>
      <c r="NA84" s="456"/>
      <c r="NB84" s="471"/>
      <c r="NC84" s="229"/>
      <c r="ND84" s="229"/>
      <c r="NE84" s="229"/>
      <c r="NF84" s="229"/>
      <c r="NG84" s="229"/>
      <c r="NH84" s="229"/>
      <c r="NI84" s="229"/>
      <c r="NJ84" s="229"/>
      <c r="NK84" s="229"/>
      <c r="NL84" s="229"/>
      <c r="NM84" s="229"/>
      <c r="NN84" s="229"/>
      <c r="NO84" s="338"/>
      <c r="NP84" s="338"/>
      <c r="NQ84" s="338"/>
      <c r="NR84" s="338"/>
      <c r="NS84" s="338"/>
      <c r="NT84" s="338"/>
      <c r="NU84" s="497"/>
      <c r="NV84" s="497"/>
      <c r="NW84" s="497"/>
    </row>
    <row r="85" spans="1:387">
      <c r="IC85" s="49"/>
      <c r="IE85" s="49"/>
      <c r="IF85" s="49"/>
      <c r="IH85" s="49"/>
      <c r="II85" s="49"/>
      <c r="IK85" s="49"/>
      <c r="IL85" s="49"/>
      <c r="IN85" s="49"/>
      <c r="IO85" s="49"/>
      <c r="IQ85" s="49"/>
      <c r="IR85" s="49"/>
      <c r="IT85" s="49"/>
      <c r="IU85" s="49"/>
      <c r="IW85" s="49"/>
      <c r="IX85" s="49"/>
      <c r="IZ85" s="49"/>
      <c r="JA85" s="49"/>
      <c r="JC85" s="49"/>
      <c r="JD85" s="49"/>
      <c r="JF85" s="49"/>
      <c r="JG85" s="49"/>
      <c r="JI85" s="49"/>
      <c r="JJ85" s="49"/>
      <c r="JL85" s="49"/>
      <c r="JM85" s="49"/>
      <c r="JO85" s="49"/>
      <c r="JP85" s="49"/>
      <c r="JR85" s="49"/>
    </row>
    <row r="86" spans="1:387">
      <c r="IC86" s="49"/>
      <c r="IE86" s="49"/>
      <c r="IF86" s="49"/>
      <c r="IH86" s="49"/>
      <c r="II86" s="49"/>
      <c r="IK86" s="49"/>
      <c r="IL86" s="49"/>
      <c r="IN86" s="49"/>
      <c r="IO86" s="49"/>
      <c r="IQ86" s="49"/>
      <c r="IR86" s="49"/>
      <c r="IT86" s="49"/>
      <c r="IU86" s="49"/>
      <c r="IW86" s="49"/>
      <c r="IX86" s="49"/>
      <c r="IZ86" s="49"/>
      <c r="JA86" s="49"/>
      <c r="JC86" s="49"/>
      <c r="JD86" s="49"/>
      <c r="JF86" s="49"/>
      <c r="JG86" s="49"/>
      <c r="JI86" s="49"/>
      <c r="JJ86" s="49"/>
      <c r="JL86" s="49"/>
      <c r="JM86" s="49"/>
      <c r="JO86" s="49"/>
      <c r="JP86" s="49"/>
      <c r="JR86" s="49"/>
    </row>
    <row r="87" spans="1:387">
      <c r="IC87" s="49"/>
      <c r="IE87" s="49"/>
      <c r="IF87" s="49"/>
      <c r="IH87" s="49"/>
      <c r="II87" s="49"/>
      <c r="IK87" s="49"/>
      <c r="IL87" s="49"/>
      <c r="IN87" s="49"/>
      <c r="IO87" s="49"/>
      <c r="IQ87" s="49"/>
      <c r="IR87" s="49"/>
      <c r="IT87" s="49"/>
      <c r="IU87" s="49"/>
      <c r="IW87" s="49"/>
      <c r="IX87" s="49"/>
      <c r="IZ87" s="49"/>
      <c r="JA87" s="49"/>
      <c r="JC87" s="49"/>
      <c r="JD87" s="49"/>
      <c r="JF87" s="49"/>
      <c r="JG87" s="49"/>
      <c r="JI87" s="49"/>
      <c r="JJ87" s="49"/>
      <c r="JL87" s="49"/>
      <c r="JM87" s="49"/>
      <c r="JO87" s="49"/>
      <c r="JP87" s="49"/>
      <c r="JR87" s="49"/>
    </row>
    <row r="88" spans="1:387">
      <c r="IC88" s="49"/>
      <c r="IE88" s="49"/>
      <c r="IF88" s="49"/>
      <c r="IH88" s="49"/>
      <c r="II88" s="49"/>
      <c r="IK88" s="49"/>
      <c r="IL88" s="49"/>
      <c r="IN88" s="49"/>
      <c r="IO88" s="49"/>
      <c r="IQ88" s="49"/>
      <c r="IR88" s="49"/>
      <c r="IT88" s="49"/>
      <c r="IU88" s="49"/>
      <c r="IW88" s="49"/>
      <c r="IX88" s="49"/>
      <c r="IZ88" s="49"/>
      <c r="JA88" s="49"/>
      <c r="JC88" s="49"/>
      <c r="JD88" s="49"/>
      <c r="JF88" s="49"/>
      <c r="JG88" s="49"/>
      <c r="JI88" s="49"/>
      <c r="JJ88" s="49"/>
      <c r="JL88" s="49"/>
      <c r="JM88" s="49"/>
      <c r="JO88" s="49"/>
      <c r="JP88" s="49"/>
      <c r="JR88" s="49"/>
    </row>
    <row r="89" spans="1:387">
      <c r="IC89" s="49"/>
      <c r="IE89" s="49"/>
      <c r="IF89" s="49"/>
      <c r="IH89" s="49"/>
      <c r="II89" s="49"/>
      <c r="IK89" s="49"/>
      <c r="IL89" s="49"/>
      <c r="IN89" s="49"/>
      <c r="IO89" s="49"/>
      <c r="IQ89" s="49"/>
      <c r="IR89" s="49"/>
      <c r="IT89" s="49"/>
      <c r="IU89" s="49"/>
      <c r="IW89" s="49"/>
      <c r="IX89" s="49"/>
      <c r="IZ89" s="49"/>
      <c r="JA89" s="49"/>
      <c r="JC89" s="49"/>
      <c r="JD89" s="49"/>
      <c r="JF89" s="49"/>
      <c r="JG89" s="49"/>
      <c r="JI89" s="49"/>
      <c r="JJ89" s="49"/>
      <c r="JL89" s="49"/>
      <c r="JM89" s="49"/>
      <c r="JO89" s="49"/>
      <c r="JP89" s="49"/>
      <c r="JR89" s="49"/>
    </row>
    <row r="90" spans="1:387">
      <c r="IC90" s="49"/>
      <c r="IE90" s="49"/>
      <c r="IF90" s="49"/>
      <c r="IH90" s="49"/>
      <c r="II90" s="49"/>
      <c r="IK90" s="49"/>
      <c r="IL90" s="49"/>
      <c r="IN90" s="49"/>
      <c r="IO90" s="49"/>
      <c r="IQ90" s="49"/>
      <c r="IR90" s="49"/>
      <c r="IT90" s="49"/>
      <c r="IU90" s="49"/>
      <c r="IW90" s="49"/>
      <c r="IX90" s="49"/>
      <c r="IZ90" s="49"/>
      <c r="JA90" s="49"/>
      <c r="JC90" s="49"/>
      <c r="JD90" s="49"/>
      <c r="JF90" s="49"/>
      <c r="JG90" s="49"/>
      <c r="JI90" s="49"/>
      <c r="JJ90" s="49"/>
      <c r="JL90" s="49"/>
      <c r="JM90" s="49"/>
      <c r="JO90" s="49"/>
      <c r="JP90" s="49"/>
      <c r="JR90" s="49"/>
    </row>
    <row r="91" spans="1:387">
      <c r="IC91" s="49"/>
      <c r="IE91" s="49"/>
      <c r="IF91" s="49"/>
      <c r="IH91" s="49"/>
      <c r="II91" s="49"/>
      <c r="IK91" s="49"/>
      <c r="IL91" s="49"/>
      <c r="IN91" s="49"/>
      <c r="IO91" s="49"/>
      <c r="IQ91" s="49"/>
      <c r="IR91" s="49"/>
      <c r="IT91" s="49"/>
      <c r="IU91" s="49"/>
      <c r="IW91" s="49"/>
      <c r="IX91" s="49"/>
      <c r="IZ91" s="49"/>
      <c r="JA91" s="49"/>
      <c r="JC91" s="49"/>
      <c r="JD91" s="49"/>
      <c r="JF91" s="49"/>
      <c r="JG91" s="49"/>
      <c r="JI91" s="49"/>
      <c r="JJ91" s="49"/>
      <c r="JL91" s="49"/>
      <c r="JM91" s="49"/>
      <c r="JO91" s="49"/>
      <c r="JP91" s="49"/>
      <c r="JR91" s="49"/>
    </row>
    <row r="92" spans="1:387">
      <c r="IC92" s="49"/>
      <c r="IE92" s="49"/>
      <c r="IF92" s="49"/>
      <c r="IH92" s="49"/>
      <c r="II92" s="49"/>
      <c r="IK92" s="49"/>
      <c r="IL92" s="49"/>
      <c r="IN92" s="49"/>
      <c r="IO92" s="49"/>
      <c r="IQ92" s="49"/>
      <c r="IR92" s="49"/>
      <c r="IT92" s="49"/>
      <c r="IU92" s="49"/>
      <c r="IW92" s="49"/>
      <c r="IX92" s="49"/>
      <c r="IZ92" s="49"/>
      <c r="JA92" s="49"/>
      <c r="JC92" s="49"/>
      <c r="JD92" s="49"/>
      <c r="JF92" s="49"/>
      <c r="JG92" s="49"/>
      <c r="JI92" s="49"/>
      <c r="JJ92" s="49"/>
      <c r="JL92" s="49"/>
      <c r="JM92" s="49"/>
      <c r="JO92" s="49"/>
      <c r="JP92" s="49"/>
      <c r="JR92" s="49"/>
    </row>
    <row r="93" spans="1:387">
      <c r="IC93" s="49"/>
      <c r="IE93" s="49"/>
      <c r="IF93" s="49"/>
      <c r="IH93" s="49"/>
      <c r="II93" s="49"/>
      <c r="IK93" s="49"/>
      <c r="IL93" s="49"/>
      <c r="IN93" s="49"/>
      <c r="IO93" s="49"/>
      <c r="IQ93" s="49"/>
      <c r="IR93" s="49"/>
      <c r="IT93" s="49"/>
      <c r="IU93" s="49"/>
      <c r="IW93" s="49"/>
      <c r="IX93" s="49"/>
      <c r="IZ93" s="49"/>
      <c r="JA93" s="49"/>
      <c r="JC93" s="49"/>
      <c r="JD93" s="49"/>
      <c r="JF93" s="49"/>
      <c r="JG93" s="49"/>
      <c r="JI93" s="49"/>
      <c r="JJ93" s="49"/>
      <c r="JL93" s="49"/>
      <c r="JM93" s="49"/>
      <c r="JO93" s="49"/>
      <c r="JP93" s="49"/>
      <c r="JR93" s="49"/>
    </row>
    <row r="94" spans="1:387">
      <c r="IC94" s="49"/>
      <c r="IE94" s="49"/>
      <c r="IF94" s="49"/>
      <c r="IH94" s="49"/>
      <c r="II94" s="49"/>
      <c r="IK94" s="49"/>
      <c r="IL94" s="49"/>
      <c r="IN94" s="49"/>
      <c r="IO94" s="49"/>
      <c r="IQ94" s="49"/>
      <c r="IR94" s="49"/>
      <c r="IT94" s="49"/>
      <c r="IU94" s="49"/>
      <c r="IW94" s="49"/>
      <c r="IX94" s="49"/>
      <c r="IZ94" s="49"/>
      <c r="JA94" s="49"/>
      <c r="JC94" s="49"/>
      <c r="JD94" s="49"/>
      <c r="JF94" s="49"/>
      <c r="JG94" s="49"/>
      <c r="JI94" s="49"/>
      <c r="JJ94" s="49"/>
      <c r="JL94" s="49"/>
      <c r="JM94" s="49"/>
      <c r="JO94" s="49"/>
      <c r="JP94" s="49"/>
      <c r="JR94" s="49"/>
    </row>
    <row r="95" spans="1:387">
      <c r="IC95" s="49"/>
      <c r="IE95" s="49"/>
      <c r="IF95" s="49"/>
      <c r="IH95" s="49"/>
      <c r="II95" s="49"/>
      <c r="IK95" s="49"/>
      <c r="IL95" s="49"/>
      <c r="IN95" s="49"/>
      <c r="IO95" s="49"/>
      <c r="IQ95" s="49"/>
      <c r="IR95" s="49"/>
      <c r="IT95" s="49"/>
      <c r="IU95" s="49"/>
      <c r="IW95" s="49"/>
      <c r="IX95" s="49"/>
      <c r="IZ95" s="49"/>
      <c r="JA95" s="49"/>
      <c r="JC95" s="49"/>
      <c r="JD95" s="49"/>
      <c r="JF95" s="49"/>
      <c r="JG95" s="49"/>
      <c r="JI95" s="49"/>
      <c r="JJ95" s="49"/>
      <c r="JL95" s="49"/>
      <c r="JM95" s="49"/>
      <c r="JO95" s="49"/>
      <c r="JP95" s="49"/>
      <c r="JR95" s="49"/>
    </row>
    <row r="96" spans="1:387">
      <c r="IC96" s="49"/>
      <c r="IE96" s="49"/>
      <c r="IF96" s="49"/>
      <c r="IH96" s="49"/>
      <c r="II96" s="49"/>
      <c r="IK96" s="49"/>
      <c r="IL96" s="49"/>
      <c r="IN96" s="49"/>
      <c r="IO96" s="49"/>
      <c r="IQ96" s="49"/>
      <c r="IR96" s="49"/>
      <c r="IT96" s="49"/>
      <c r="IU96" s="49"/>
      <c r="IW96" s="49"/>
      <c r="IX96" s="49"/>
      <c r="IZ96" s="49"/>
      <c r="JA96" s="49"/>
      <c r="JC96" s="49"/>
      <c r="JD96" s="49"/>
      <c r="JF96" s="49"/>
      <c r="JG96" s="49"/>
      <c r="JI96" s="49"/>
      <c r="JJ96" s="49"/>
      <c r="JL96" s="49"/>
      <c r="JM96" s="49"/>
      <c r="JO96" s="49"/>
      <c r="JP96" s="49"/>
      <c r="JR96" s="49"/>
    </row>
    <row r="97" spans="237:278">
      <c r="IC97" s="49"/>
      <c r="IE97" s="49"/>
      <c r="IF97" s="49"/>
      <c r="IH97" s="49"/>
      <c r="II97" s="49"/>
      <c r="IK97" s="49"/>
      <c r="IL97" s="49"/>
      <c r="IN97" s="49"/>
      <c r="IO97" s="49"/>
      <c r="IQ97" s="49"/>
      <c r="IR97" s="49"/>
      <c r="IT97" s="49"/>
      <c r="IU97" s="49"/>
      <c r="IW97" s="49"/>
      <c r="IX97" s="49"/>
      <c r="IZ97" s="49"/>
      <c r="JA97" s="49"/>
      <c r="JC97" s="49"/>
      <c r="JD97" s="49"/>
      <c r="JF97" s="49"/>
      <c r="JG97" s="49"/>
      <c r="JI97" s="49"/>
      <c r="JJ97" s="49"/>
      <c r="JL97" s="49"/>
      <c r="JM97" s="49"/>
      <c r="JO97" s="49"/>
      <c r="JP97" s="49"/>
      <c r="JR97" s="49"/>
    </row>
    <row r="98" spans="237:278">
      <c r="IC98" s="49"/>
      <c r="IE98" s="49"/>
      <c r="IF98" s="49"/>
      <c r="IH98" s="49"/>
      <c r="II98" s="49"/>
      <c r="IK98" s="49"/>
      <c r="IL98" s="49"/>
      <c r="IN98" s="49"/>
      <c r="IO98" s="49"/>
      <c r="IQ98" s="49"/>
      <c r="IR98" s="49"/>
      <c r="IT98" s="49"/>
      <c r="IU98" s="49"/>
      <c r="IW98" s="49"/>
      <c r="IX98" s="49"/>
      <c r="IZ98" s="49"/>
      <c r="JA98" s="49"/>
      <c r="JC98" s="49"/>
      <c r="JD98" s="49"/>
      <c r="JF98" s="49"/>
      <c r="JG98" s="49"/>
      <c r="JI98" s="49"/>
      <c r="JJ98" s="49"/>
      <c r="JL98" s="49"/>
      <c r="JM98" s="49"/>
      <c r="JO98" s="49"/>
      <c r="JP98" s="49"/>
      <c r="JR98" s="49"/>
    </row>
    <row r="99" spans="237:278">
      <c r="IC99" s="49"/>
      <c r="IE99" s="49"/>
      <c r="IF99" s="49"/>
      <c r="IH99" s="49"/>
      <c r="II99" s="49"/>
      <c r="IK99" s="49"/>
      <c r="IL99" s="49"/>
      <c r="IN99" s="49"/>
      <c r="IO99" s="49"/>
      <c r="IQ99" s="49"/>
      <c r="IR99" s="49"/>
      <c r="IT99" s="49"/>
      <c r="IU99" s="49"/>
      <c r="IW99" s="49"/>
      <c r="IX99" s="49"/>
      <c r="IZ99" s="49"/>
      <c r="JA99" s="49"/>
      <c r="JC99" s="49"/>
      <c r="JD99" s="49"/>
      <c r="JF99" s="49"/>
      <c r="JG99" s="49"/>
      <c r="JI99" s="49"/>
      <c r="JJ99" s="49"/>
      <c r="JL99" s="49"/>
      <c r="JM99" s="49"/>
      <c r="JO99" s="49"/>
      <c r="JP99" s="49"/>
      <c r="JR99" s="49"/>
    </row>
    <row r="100" spans="237:278">
      <c r="IC100" s="49"/>
      <c r="IE100" s="49"/>
      <c r="IF100" s="49"/>
      <c r="IH100" s="49"/>
      <c r="II100" s="49"/>
      <c r="IK100" s="49"/>
      <c r="IL100" s="49"/>
      <c r="IN100" s="49"/>
      <c r="IO100" s="49"/>
      <c r="IQ100" s="49"/>
      <c r="IR100" s="49"/>
      <c r="IT100" s="49"/>
      <c r="IU100" s="49"/>
      <c r="IW100" s="49"/>
      <c r="IX100" s="49"/>
      <c r="IZ100" s="49"/>
      <c r="JA100" s="49"/>
      <c r="JC100" s="49"/>
      <c r="JD100" s="49"/>
      <c r="JF100" s="49"/>
      <c r="JG100" s="49"/>
      <c r="JI100" s="49"/>
      <c r="JJ100" s="49"/>
      <c r="JL100" s="49"/>
      <c r="JM100" s="49"/>
      <c r="JO100" s="49"/>
      <c r="JP100" s="49"/>
      <c r="JR100" s="49"/>
    </row>
    <row r="101" spans="237:278">
      <c r="IC101" s="49"/>
      <c r="IE101" s="49"/>
      <c r="IF101" s="49"/>
      <c r="IH101" s="49"/>
      <c r="II101" s="49"/>
      <c r="IK101" s="49"/>
      <c r="IL101" s="49"/>
      <c r="IN101" s="49"/>
      <c r="IO101" s="49"/>
      <c r="IQ101" s="49"/>
      <c r="IR101" s="49"/>
      <c r="IT101" s="49"/>
      <c r="IU101" s="49"/>
      <c r="IW101" s="49"/>
      <c r="IX101" s="49"/>
      <c r="IZ101" s="49"/>
      <c r="JA101" s="49"/>
      <c r="JC101" s="49"/>
      <c r="JD101" s="49"/>
      <c r="JF101" s="49"/>
      <c r="JG101" s="49"/>
      <c r="JI101" s="49"/>
      <c r="JJ101" s="49"/>
      <c r="JL101" s="49"/>
      <c r="JM101" s="49"/>
      <c r="JO101" s="49"/>
      <c r="JP101" s="49"/>
      <c r="JR101" s="49"/>
    </row>
    <row r="102" spans="237:278">
      <c r="IC102" s="49"/>
      <c r="IE102" s="49"/>
      <c r="IF102" s="49"/>
      <c r="IH102" s="49"/>
      <c r="II102" s="49"/>
      <c r="IK102" s="49"/>
      <c r="IL102" s="49"/>
      <c r="IN102" s="49"/>
      <c r="IO102" s="49"/>
      <c r="IQ102" s="49"/>
      <c r="IR102" s="49"/>
      <c r="IT102" s="49"/>
      <c r="IU102" s="49"/>
      <c r="IW102" s="49"/>
      <c r="IX102" s="49"/>
      <c r="IZ102" s="49"/>
      <c r="JA102" s="49"/>
      <c r="JC102" s="49"/>
      <c r="JD102" s="49"/>
      <c r="JF102" s="49"/>
      <c r="JG102" s="49"/>
      <c r="JI102" s="49"/>
      <c r="JJ102" s="49"/>
      <c r="JL102" s="49"/>
      <c r="JM102" s="49"/>
      <c r="JO102" s="49"/>
      <c r="JP102" s="49"/>
      <c r="JR102" s="49"/>
    </row>
    <row r="103" spans="237:278">
      <c r="IC103" s="49"/>
      <c r="IE103" s="49"/>
      <c r="IF103" s="49"/>
      <c r="IH103" s="49"/>
      <c r="II103" s="49"/>
      <c r="IK103" s="49"/>
      <c r="IL103" s="49"/>
      <c r="IN103" s="49"/>
      <c r="IO103" s="49"/>
      <c r="IQ103" s="49"/>
      <c r="IR103" s="49"/>
      <c r="IT103" s="49"/>
      <c r="IU103" s="49"/>
      <c r="IW103" s="49"/>
      <c r="IX103" s="49"/>
      <c r="IZ103" s="49"/>
      <c r="JA103" s="49"/>
      <c r="JC103" s="49"/>
      <c r="JD103" s="49"/>
      <c r="JF103" s="49"/>
      <c r="JG103" s="49"/>
      <c r="JI103" s="49"/>
      <c r="JJ103" s="49"/>
      <c r="JL103" s="49"/>
      <c r="JM103" s="49"/>
      <c r="JO103" s="49"/>
      <c r="JP103" s="49"/>
      <c r="JR103" s="49"/>
    </row>
    <row r="104" spans="237:278">
      <c r="IC104" s="49"/>
      <c r="IE104" s="49"/>
      <c r="IF104" s="49"/>
      <c r="IH104" s="49"/>
      <c r="II104" s="49"/>
      <c r="IK104" s="49"/>
      <c r="IL104" s="49"/>
      <c r="IN104" s="49"/>
      <c r="IO104" s="49"/>
      <c r="IQ104" s="49"/>
      <c r="IR104" s="49"/>
      <c r="IT104" s="49"/>
      <c r="IU104" s="49"/>
      <c r="IW104" s="49"/>
      <c r="IX104" s="49"/>
      <c r="IZ104" s="49"/>
      <c r="JA104" s="49"/>
      <c r="JC104" s="49"/>
      <c r="JD104" s="49"/>
      <c r="JF104" s="49"/>
      <c r="JG104" s="49"/>
      <c r="JI104" s="49"/>
      <c r="JJ104" s="49"/>
      <c r="JL104" s="49"/>
      <c r="JM104" s="49"/>
      <c r="JO104" s="49"/>
      <c r="JP104" s="49"/>
      <c r="JR104" s="49"/>
    </row>
    <row r="105" spans="237:278">
      <c r="IC105" s="49"/>
      <c r="IE105" s="49"/>
      <c r="IF105" s="49"/>
      <c r="IH105" s="49"/>
      <c r="II105" s="49"/>
      <c r="IK105" s="49"/>
      <c r="IL105" s="49"/>
      <c r="IN105" s="49"/>
      <c r="IO105" s="49"/>
      <c r="IQ105" s="49"/>
      <c r="IR105" s="49"/>
      <c r="IT105" s="49"/>
      <c r="IU105" s="49"/>
      <c r="IW105" s="49"/>
      <c r="IX105" s="49"/>
      <c r="IZ105" s="49"/>
      <c r="JA105" s="49"/>
      <c r="JC105" s="49"/>
      <c r="JD105" s="49"/>
      <c r="JF105" s="49"/>
      <c r="JG105" s="49"/>
      <c r="JI105" s="49"/>
      <c r="JJ105" s="49"/>
      <c r="JL105" s="49"/>
      <c r="JM105" s="49"/>
      <c r="JO105" s="49"/>
      <c r="JP105" s="49"/>
      <c r="JR105" s="49"/>
    </row>
    <row r="106" spans="237:278">
      <c r="IC106" s="49"/>
      <c r="IE106" s="49"/>
      <c r="IF106" s="49"/>
      <c r="IH106" s="49"/>
      <c r="II106" s="49"/>
      <c r="IK106" s="49"/>
      <c r="IL106" s="49"/>
      <c r="IN106" s="49"/>
      <c r="IO106" s="49"/>
      <c r="IQ106" s="49"/>
      <c r="IR106" s="49"/>
      <c r="IT106" s="49"/>
      <c r="IU106" s="49"/>
      <c r="IW106" s="49"/>
      <c r="IX106" s="49"/>
      <c r="IZ106" s="49"/>
      <c r="JA106" s="49"/>
      <c r="JC106" s="49"/>
      <c r="JD106" s="49"/>
      <c r="JF106" s="49"/>
      <c r="JG106" s="49"/>
      <c r="JI106" s="49"/>
      <c r="JJ106" s="49"/>
      <c r="JL106" s="49"/>
      <c r="JM106" s="49"/>
      <c r="JO106" s="49"/>
      <c r="JP106" s="49"/>
      <c r="JR106" s="49"/>
    </row>
    <row r="107" spans="237:278">
      <c r="IC107" s="49"/>
      <c r="IE107" s="49"/>
      <c r="IF107" s="49"/>
      <c r="IH107" s="49"/>
      <c r="II107" s="49"/>
      <c r="IK107" s="49"/>
      <c r="IL107" s="49"/>
      <c r="IN107" s="49"/>
      <c r="IO107" s="49"/>
      <c r="IQ107" s="49"/>
      <c r="IR107" s="49"/>
      <c r="IT107" s="49"/>
      <c r="IU107" s="49"/>
      <c r="IW107" s="49"/>
      <c r="IX107" s="49"/>
      <c r="IZ107" s="49"/>
      <c r="JA107" s="49"/>
      <c r="JC107" s="49"/>
      <c r="JD107" s="49"/>
      <c r="JF107" s="49"/>
      <c r="JG107" s="49"/>
      <c r="JI107" s="49"/>
      <c r="JJ107" s="49"/>
      <c r="JL107" s="49"/>
      <c r="JM107" s="49"/>
      <c r="JO107" s="49"/>
      <c r="JP107" s="49"/>
      <c r="JR107" s="49"/>
    </row>
    <row r="108" spans="237:278">
      <c r="IC108" s="49"/>
      <c r="IE108" s="49"/>
      <c r="IF108" s="49"/>
      <c r="IH108" s="49"/>
      <c r="II108" s="49"/>
      <c r="IK108" s="49"/>
      <c r="IL108" s="49"/>
      <c r="IN108" s="49"/>
      <c r="IO108" s="49"/>
      <c r="IQ108" s="49"/>
      <c r="IR108" s="49"/>
      <c r="IT108" s="49"/>
      <c r="IU108" s="49"/>
      <c r="IW108" s="49"/>
      <c r="IX108" s="49"/>
      <c r="IZ108" s="49"/>
      <c r="JA108" s="49"/>
      <c r="JC108" s="49"/>
      <c r="JD108" s="49"/>
      <c r="JF108" s="49"/>
      <c r="JG108" s="49"/>
      <c r="JI108" s="49"/>
      <c r="JJ108" s="49"/>
      <c r="JL108" s="49"/>
      <c r="JM108" s="49"/>
      <c r="JO108" s="49"/>
      <c r="JP108" s="49"/>
      <c r="JR108" s="49"/>
    </row>
    <row r="109" spans="237:278">
      <c r="IC109" s="49"/>
      <c r="IE109" s="49"/>
      <c r="IF109" s="49"/>
      <c r="IH109" s="49"/>
      <c r="II109" s="49"/>
      <c r="IK109" s="49"/>
      <c r="IL109" s="49"/>
      <c r="IN109" s="49"/>
      <c r="IO109" s="49"/>
      <c r="IQ109" s="49"/>
      <c r="IR109" s="49"/>
      <c r="IT109" s="49"/>
      <c r="IU109" s="49"/>
      <c r="IW109" s="49"/>
      <c r="IX109" s="49"/>
      <c r="IZ109" s="49"/>
      <c r="JA109" s="49"/>
      <c r="JC109" s="49"/>
      <c r="JD109" s="49"/>
      <c r="JF109" s="49"/>
      <c r="JG109" s="49"/>
      <c r="JI109" s="49"/>
      <c r="JJ109" s="49"/>
      <c r="JL109" s="49"/>
      <c r="JM109" s="49"/>
      <c r="JO109" s="49"/>
      <c r="JP109" s="49"/>
      <c r="JR109" s="49"/>
    </row>
    <row r="110" spans="237:278">
      <c r="IC110" s="49"/>
      <c r="IE110" s="49"/>
      <c r="IF110" s="49"/>
      <c r="IH110" s="49"/>
      <c r="II110" s="49"/>
      <c r="IK110" s="49"/>
      <c r="IL110" s="49"/>
      <c r="IN110" s="49"/>
      <c r="IO110" s="49"/>
      <c r="IQ110" s="49"/>
      <c r="IR110" s="49"/>
      <c r="IT110" s="49"/>
      <c r="IU110" s="49"/>
      <c r="IW110" s="49"/>
      <c r="IX110" s="49"/>
      <c r="IZ110" s="49"/>
      <c r="JA110" s="49"/>
      <c r="JC110" s="49"/>
      <c r="JD110" s="49"/>
      <c r="JF110" s="49"/>
      <c r="JG110" s="49"/>
      <c r="JI110" s="49"/>
      <c r="JJ110" s="49"/>
      <c r="JL110" s="49"/>
      <c r="JM110" s="49"/>
      <c r="JO110" s="49"/>
      <c r="JP110" s="49"/>
      <c r="JR110" s="49"/>
    </row>
    <row r="111" spans="237:278">
      <c r="IC111" s="49"/>
      <c r="IE111" s="49"/>
      <c r="IF111" s="49"/>
      <c r="IH111" s="49"/>
      <c r="II111" s="49"/>
      <c r="IK111" s="49"/>
      <c r="IL111" s="49"/>
      <c r="IN111" s="49"/>
      <c r="IO111" s="49"/>
      <c r="IQ111" s="49"/>
      <c r="IR111" s="49"/>
      <c r="IT111" s="49"/>
      <c r="IU111" s="49"/>
      <c r="IW111" s="49"/>
      <c r="IX111" s="49"/>
      <c r="IZ111" s="49"/>
      <c r="JA111" s="49"/>
      <c r="JC111" s="49"/>
      <c r="JD111" s="49"/>
      <c r="JF111" s="49"/>
      <c r="JG111" s="49"/>
      <c r="JI111" s="49"/>
      <c r="JJ111" s="49"/>
      <c r="JL111" s="49"/>
      <c r="JM111" s="49"/>
      <c r="JO111" s="49"/>
      <c r="JP111" s="49"/>
      <c r="JR111" s="49"/>
    </row>
    <row r="112" spans="237:278">
      <c r="IC112" s="49"/>
      <c r="IE112" s="49"/>
      <c r="IF112" s="49"/>
      <c r="IH112" s="49"/>
      <c r="II112" s="49"/>
      <c r="IK112" s="49"/>
      <c r="IL112" s="49"/>
      <c r="IN112" s="49"/>
      <c r="IO112" s="49"/>
      <c r="IQ112" s="49"/>
      <c r="IR112" s="49"/>
      <c r="IT112" s="49"/>
      <c r="IU112" s="49"/>
      <c r="IW112" s="49"/>
      <c r="IX112" s="49"/>
      <c r="IZ112" s="49"/>
      <c r="JA112" s="49"/>
      <c r="JC112" s="49"/>
      <c r="JD112" s="49"/>
      <c r="JF112" s="49"/>
      <c r="JG112" s="49"/>
      <c r="JI112" s="49"/>
      <c r="JJ112" s="49"/>
      <c r="JL112" s="49"/>
      <c r="JM112" s="49"/>
      <c r="JO112" s="49"/>
      <c r="JP112" s="49"/>
      <c r="JR112" s="49"/>
    </row>
    <row r="113" spans="237:278">
      <c r="IC113" s="49"/>
      <c r="IE113" s="49"/>
      <c r="IF113" s="49"/>
      <c r="IH113" s="49"/>
      <c r="II113" s="49"/>
      <c r="IK113" s="49"/>
      <c r="IL113" s="49"/>
      <c r="IN113" s="49"/>
      <c r="IO113" s="49"/>
      <c r="IQ113" s="49"/>
      <c r="IR113" s="49"/>
      <c r="IT113" s="49"/>
      <c r="IU113" s="49"/>
      <c r="IW113" s="49"/>
      <c r="IX113" s="49"/>
      <c r="IZ113" s="49"/>
      <c r="JA113" s="49"/>
      <c r="JC113" s="49"/>
      <c r="JD113" s="49"/>
      <c r="JF113" s="49"/>
      <c r="JG113" s="49"/>
      <c r="JI113" s="49"/>
      <c r="JJ113" s="49"/>
      <c r="JL113" s="49"/>
      <c r="JM113" s="49"/>
      <c r="JO113" s="49"/>
      <c r="JP113" s="49"/>
      <c r="JR113" s="49"/>
    </row>
    <row r="114" spans="237:278">
      <c r="IC114" s="49"/>
      <c r="IE114" s="49"/>
      <c r="IF114" s="49"/>
      <c r="IH114" s="49"/>
      <c r="II114" s="49"/>
      <c r="IK114" s="49"/>
      <c r="IL114" s="49"/>
      <c r="IN114" s="49"/>
      <c r="IO114" s="49"/>
      <c r="IQ114" s="49"/>
      <c r="IR114" s="49"/>
      <c r="IT114" s="49"/>
      <c r="IU114" s="49"/>
      <c r="IW114" s="49"/>
      <c r="IX114" s="49"/>
      <c r="IZ114" s="49"/>
      <c r="JA114" s="49"/>
      <c r="JC114" s="49"/>
      <c r="JD114" s="49"/>
      <c r="JF114" s="49"/>
      <c r="JG114" s="49"/>
      <c r="JI114" s="49"/>
      <c r="JJ114" s="49"/>
      <c r="JL114" s="49"/>
      <c r="JM114" s="49"/>
      <c r="JO114" s="49"/>
      <c r="JP114" s="49"/>
      <c r="JR114" s="49"/>
    </row>
    <row r="115" spans="237:278">
      <c r="IC115" s="49"/>
      <c r="IE115" s="49"/>
      <c r="IF115" s="49"/>
      <c r="IH115" s="49"/>
      <c r="II115" s="49"/>
      <c r="IK115" s="49"/>
      <c r="IL115" s="49"/>
      <c r="IN115" s="49"/>
      <c r="IO115" s="49"/>
      <c r="IQ115" s="49"/>
      <c r="IR115" s="49"/>
      <c r="IT115" s="49"/>
      <c r="IU115" s="49"/>
      <c r="IW115" s="49"/>
      <c r="IX115" s="49"/>
      <c r="IZ115" s="49"/>
      <c r="JA115" s="49"/>
      <c r="JC115" s="49"/>
      <c r="JD115" s="49"/>
      <c r="JF115" s="49"/>
      <c r="JG115" s="49"/>
      <c r="JI115" s="49"/>
      <c r="JJ115" s="49"/>
      <c r="JL115" s="49"/>
      <c r="JM115" s="49"/>
      <c r="JO115" s="49"/>
      <c r="JP115" s="49"/>
      <c r="JR115" s="49"/>
    </row>
    <row r="116" spans="237:278">
      <c r="IC116" s="49"/>
      <c r="IE116" s="49"/>
      <c r="IF116" s="49"/>
      <c r="IH116" s="49"/>
      <c r="II116" s="49"/>
      <c r="IK116" s="49"/>
      <c r="IL116" s="49"/>
      <c r="IN116" s="49"/>
      <c r="IO116" s="49"/>
      <c r="IQ116" s="49"/>
      <c r="IR116" s="49"/>
      <c r="IT116" s="49"/>
      <c r="IU116" s="49"/>
      <c r="IW116" s="49"/>
      <c r="IX116" s="49"/>
      <c r="IZ116" s="49"/>
      <c r="JA116" s="49"/>
      <c r="JC116" s="49"/>
      <c r="JD116" s="49"/>
      <c r="JF116" s="49"/>
      <c r="JG116" s="49"/>
      <c r="JI116" s="49"/>
      <c r="JJ116" s="49"/>
      <c r="JL116" s="49"/>
      <c r="JM116" s="49"/>
      <c r="JO116" s="49"/>
      <c r="JP116" s="49"/>
      <c r="JR116" s="49"/>
    </row>
    <row r="117" spans="237:278">
      <c r="IC117" s="49"/>
      <c r="IE117" s="49"/>
      <c r="IF117" s="49"/>
      <c r="IH117" s="49"/>
      <c r="II117" s="49"/>
      <c r="IK117" s="49"/>
      <c r="IL117" s="49"/>
      <c r="IN117" s="49"/>
      <c r="IO117" s="49"/>
      <c r="IQ117" s="49"/>
      <c r="IR117" s="49"/>
      <c r="IT117" s="49"/>
      <c r="IU117" s="49"/>
      <c r="IW117" s="49"/>
      <c r="IX117" s="49"/>
      <c r="IZ117" s="49"/>
      <c r="JA117" s="49"/>
      <c r="JC117" s="49"/>
      <c r="JD117" s="49"/>
      <c r="JF117" s="49"/>
      <c r="JG117" s="49"/>
      <c r="JI117" s="49"/>
      <c r="JJ117" s="49"/>
      <c r="JL117" s="49"/>
      <c r="JM117" s="49"/>
      <c r="JO117" s="49"/>
      <c r="JP117" s="49"/>
      <c r="JR117" s="49"/>
    </row>
    <row r="118" spans="237:278">
      <c r="IC118" s="49"/>
      <c r="IE118" s="49"/>
      <c r="IF118" s="49"/>
      <c r="IH118" s="49"/>
      <c r="II118" s="49"/>
      <c r="IK118" s="49"/>
      <c r="IL118" s="49"/>
      <c r="IN118" s="49"/>
      <c r="IO118" s="49"/>
      <c r="IQ118" s="49"/>
      <c r="IR118" s="49"/>
      <c r="IT118" s="49"/>
      <c r="IU118" s="49"/>
      <c r="IW118" s="49"/>
      <c r="IX118" s="49"/>
      <c r="IZ118" s="49"/>
      <c r="JA118" s="49"/>
      <c r="JC118" s="49"/>
      <c r="JD118" s="49"/>
      <c r="JF118" s="49"/>
      <c r="JG118" s="49"/>
      <c r="JI118" s="49"/>
      <c r="JJ118" s="49"/>
      <c r="JL118" s="49"/>
      <c r="JM118" s="49"/>
      <c r="JO118" s="49"/>
      <c r="JP118" s="49"/>
      <c r="JR118" s="49"/>
    </row>
    <row r="119" spans="237:278">
      <c r="IC119" s="49"/>
      <c r="IE119" s="49"/>
      <c r="IF119" s="49"/>
      <c r="IH119" s="49"/>
      <c r="II119" s="49"/>
      <c r="IK119" s="49"/>
      <c r="IL119" s="49"/>
      <c r="IN119" s="49"/>
      <c r="IO119" s="49"/>
      <c r="IQ119" s="49"/>
      <c r="IR119" s="49"/>
      <c r="IT119" s="49"/>
      <c r="IU119" s="49"/>
      <c r="IW119" s="49"/>
      <c r="IX119" s="49"/>
      <c r="IZ119" s="49"/>
      <c r="JA119" s="49"/>
      <c r="JC119" s="49"/>
      <c r="JD119" s="49"/>
      <c r="JF119" s="49"/>
      <c r="JG119" s="49"/>
      <c r="JI119" s="49"/>
      <c r="JJ119" s="49"/>
      <c r="JL119" s="49"/>
      <c r="JM119" s="49"/>
      <c r="JO119" s="49"/>
      <c r="JP119" s="49"/>
      <c r="JR119" s="49"/>
    </row>
    <row r="120" spans="237:278">
      <c r="IC120" s="49"/>
      <c r="IE120" s="49"/>
      <c r="IF120" s="49"/>
      <c r="IH120" s="49"/>
      <c r="II120" s="49"/>
      <c r="IK120" s="49"/>
      <c r="IL120" s="49"/>
      <c r="IN120" s="49"/>
      <c r="IO120" s="49"/>
      <c r="IQ120" s="49"/>
      <c r="IR120" s="49"/>
      <c r="IT120" s="49"/>
      <c r="IU120" s="49"/>
      <c r="IW120" s="49"/>
      <c r="IX120" s="49"/>
      <c r="IZ120" s="49"/>
      <c r="JA120" s="49"/>
      <c r="JC120" s="49"/>
      <c r="JD120" s="49"/>
      <c r="JF120" s="49"/>
      <c r="JG120" s="49"/>
      <c r="JI120" s="49"/>
      <c r="JJ120" s="49"/>
      <c r="JL120" s="49"/>
      <c r="JM120" s="49"/>
      <c r="JO120" s="49"/>
      <c r="JP120" s="49"/>
      <c r="JR120" s="49"/>
    </row>
    <row r="121" spans="237:278">
      <c r="IC121" s="49"/>
      <c r="IE121" s="49"/>
      <c r="IF121" s="49"/>
      <c r="IH121" s="49"/>
      <c r="II121" s="49"/>
      <c r="IK121" s="49"/>
      <c r="IL121" s="49"/>
      <c r="IN121" s="49"/>
      <c r="IO121" s="49"/>
      <c r="IQ121" s="49"/>
      <c r="IR121" s="49"/>
      <c r="IT121" s="49"/>
      <c r="IU121" s="49"/>
      <c r="IW121" s="49"/>
      <c r="IX121" s="49"/>
      <c r="IZ121" s="49"/>
      <c r="JA121" s="49"/>
      <c r="JC121" s="49"/>
      <c r="JD121" s="49"/>
      <c r="JF121" s="49"/>
      <c r="JG121" s="49"/>
      <c r="JI121" s="49"/>
      <c r="JJ121" s="49"/>
      <c r="JL121" s="49"/>
      <c r="JM121" s="49"/>
      <c r="JO121" s="49"/>
      <c r="JP121" s="49"/>
      <c r="JR121" s="49"/>
    </row>
    <row r="122" spans="237:278">
      <c r="IC122" s="49"/>
      <c r="IE122" s="49"/>
      <c r="IF122" s="49"/>
      <c r="IH122" s="49"/>
      <c r="II122" s="49"/>
      <c r="IK122" s="49"/>
      <c r="IL122" s="49"/>
      <c r="IN122" s="49"/>
      <c r="IO122" s="49"/>
      <c r="IQ122" s="49"/>
      <c r="IR122" s="49"/>
      <c r="IT122" s="49"/>
      <c r="IU122" s="49"/>
      <c r="IW122" s="49"/>
      <c r="IX122" s="49"/>
      <c r="IZ122" s="49"/>
      <c r="JA122" s="49"/>
      <c r="JC122" s="49"/>
      <c r="JD122" s="49"/>
      <c r="JF122" s="49"/>
      <c r="JG122" s="49"/>
      <c r="JI122" s="49"/>
      <c r="JJ122" s="49"/>
      <c r="JL122" s="49"/>
      <c r="JM122" s="49"/>
      <c r="JO122" s="49"/>
      <c r="JP122" s="49"/>
      <c r="JR122" s="49"/>
    </row>
    <row r="123" spans="237:278">
      <c r="IC123" s="49"/>
      <c r="IE123" s="49"/>
      <c r="IF123" s="49"/>
      <c r="IH123" s="49"/>
      <c r="II123" s="49"/>
      <c r="IK123" s="49"/>
      <c r="IL123" s="49"/>
      <c r="IN123" s="49"/>
      <c r="IO123" s="49"/>
      <c r="IQ123" s="49"/>
      <c r="IR123" s="49"/>
      <c r="IT123" s="49"/>
      <c r="IU123" s="49"/>
      <c r="IW123" s="49"/>
      <c r="IX123" s="49"/>
      <c r="IZ123" s="49"/>
      <c r="JA123" s="49"/>
      <c r="JC123" s="49"/>
      <c r="JD123" s="49"/>
      <c r="JF123" s="49"/>
      <c r="JG123" s="49"/>
      <c r="JI123" s="49"/>
      <c r="JJ123" s="49"/>
      <c r="JL123" s="49"/>
      <c r="JM123" s="49"/>
      <c r="JO123" s="49"/>
      <c r="JP123" s="49"/>
      <c r="JR123" s="49"/>
    </row>
    <row r="124" spans="237:278">
      <c r="IC124" s="49"/>
      <c r="IE124" s="49"/>
      <c r="IF124" s="49"/>
      <c r="IH124" s="49"/>
      <c r="II124" s="49"/>
      <c r="IK124" s="49"/>
      <c r="IL124" s="49"/>
      <c r="IN124" s="49"/>
      <c r="IO124" s="49"/>
      <c r="IQ124" s="49"/>
      <c r="IR124" s="49"/>
      <c r="IT124" s="49"/>
      <c r="IU124" s="49"/>
      <c r="IW124" s="49"/>
      <c r="IX124" s="49"/>
      <c r="IZ124" s="49"/>
      <c r="JA124" s="49"/>
      <c r="JC124" s="49"/>
      <c r="JD124" s="49"/>
      <c r="JF124" s="49"/>
      <c r="JG124" s="49"/>
      <c r="JI124" s="49"/>
      <c r="JJ124" s="49"/>
      <c r="JL124" s="49"/>
      <c r="JM124" s="49"/>
      <c r="JO124" s="49"/>
      <c r="JP124" s="49"/>
      <c r="JR124" s="49"/>
    </row>
    <row r="125" spans="237:278">
      <c r="IC125" s="49"/>
      <c r="IE125" s="49"/>
      <c r="IF125" s="49"/>
      <c r="IH125" s="49"/>
      <c r="II125" s="49"/>
      <c r="IK125" s="49"/>
      <c r="IL125" s="49"/>
      <c r="IN125" s="49"/>
      <c r="IO125" s="49"/>
      <c r="IQ125" s="49"/>
      <c r="IR125" s="49"/>
      <c r="IT125" s="49"/>
      <c r="IU125" s="49"/>
      <c r="IW125" s="49"/>
      <c r="IX125" s="49"/>
      <c r="IZ125" s="49"/>
      <c r="JA125" s="49"/>
      <c r="JC125" s="49"/>
      <c r="JD125" s="49"/>
      <c r="JF125" s="49"/>
      <c r="JG125" s="49"/>
      <c r="JI125" s="49"/>
      <c r="JJ125" s="49"/>
      <c r="JL125" s="49"/>
      <c r="JM125" s="49"/>
      <c r="JO125" s="49"/>
      <c r="JP125" s="49"/>
      <c r="JR125" s="49"/>
    </row>
    <row r="126" spans="237:278">
      <c r="IC126" s="49"/>
      <c r="IE126" s="49"/>
      <c r="IF126" s="49"/>
      <c r="IH126" s="49"/>
      <c r="II126" s="49"/>
      <c r="IK126" s="49"/>
      <c r="IL126" s="49"/>
      <c r="IN126" s="49"/>
      <c r="IO126" s="49"/>
      <c r="IQ126" s="49"/>
      <c r="IR126" s="49"/>
      <c r="IT126" s="49"/>
      <c r="IU126" s="49"/>
      <c r="IW126" s="49"/>
      <c r="IX126" s="49"/>
      <c r="IZ126" s="49"/>
      <c r="JA126" s="49"/>
      <c r="JC126" s="49"/>
      <c r="JD126" s="49"/>
      <c r="JF126" s="49"/>
      <c r="JG126" s="49"/>
      <c r="JI126" s="49"/>
      <c r="JJ126" s="49"/>
      <c r="JL126" s="49"/>
      <c r="JM126" s="49"/>
      <c r="JO126" s="49"/>
      <c r="JP126" s="49"/>
      <c r="JR126" s="49"/>
    </row>
    <row r="127" spans="237:278">
      <c r="IC127" s="49"/>
      <c r="IE127" s="49"/>
      <c r="IF127" s="49"/>
      <c r="IH127" s="49"/>
      <c r="II127" s="49"/>
      <c r="IK127" s="49"/>
      <c r="IL127" s="49"/>
      <c r="IN127" s="49"/>
      <c r="IO127" s="49"/>
      <c r="IQ127" s="49"/>
      <c r="IR127" s="49"/>
      <c r="IT127" s="49"/>
      <c r="IU127" s="49"/>
      <c r="IW127" s="49"/>
      <c r="IX127" s="49"/>
      <c r="IZ127" s="49"/>
      <c r="JA127" s="49"/>
      <c r="JC127" s="49"/>
      <c r="JD127" s="49"/>
      <c r="JF127" s="49"/>
      <c r="JG127" s="49"/>
      <c r="JI127" s="49"/>
      <c r="JJ127" s="49"/>
      <c r="JL127" s="49"/>
      <c r="JM127" s="49"/>
      <c r="JO127" s="49"/>
      <c r="JP127" s="49"/>
      <c r="JR127" s="49"/>
    </row>
    <row r="128" spans="237:278">
      <c r="IC128" s="49"/>
      <c r="IE128" s="49"/>
      <c r="IF128" s="49"/>
      <c r="IH128" s="49"/>
      <c r="II128" s="49"/>
      <c r="IK128" s="49"/>
      <c r="IL128" s="49"/>
      <c r="IN128" s="49"/>
      <c r="IO128" s="49"/>
      <c r="IQ128" s="49"/>
      <c r="IR128" s="49"/>
      <c r="IT128" s="49"/>
      <c r="IU128" s="49"/>
      <c r="IW128" s="49"/>
      <c r="IX128" s="49"/>
      <c r="IZ128" s="49"/>
      <c r="JA128" s="49"/>
      <c r="JC128" s="49"/>
      <c r="JD128" s="49"/>
      <c r="JF128" s="49"/>
      <c r="JG128" s="49"/>
      <c r="JI128" s="49"/>
      <c r="JJ128" s="49"/>
      <c r="JL128" s="49"/>
      <c r="JM128" s="49"/>
      <c r="JO128" s="49"/>
      <c r="JP128" s="49"/>
      <c r="JR128" s="49"/>
    </row>
    <row r="129" spans="237:278">
      <c r="IC129" s="49"/>
      <c r="IE129" s="49"/>
      <c r="IF129" s="49"/>
      <c r="IH129" s="49"/>
      <c r="II129" s="49"/>
      <c r="IK129" s="49"/>
      <c r="IL129" s="49"/>
      <c r="IN129" s="49"/>
      <c r="IO129" s="49"/>
      <c r="IQ129" s="49"/>
      <c r="IR129" s="49"/>
      <c r="IT129" s="49"/>
      <c r="IU129" s="49"/>
      <c r="IW129" s="49"/>
      <c r="IX129" s="49"/>
      <c r="IZ129" s="49"/>
      <c r="JA129" s="49"/>
      <c r="JC129" s="49"/>
      <c r="JD129" s="49"/>
      <c r="JF129" s="49"/>
      <c r="JG129" s="49"/>
      <c r="JI129" s="49"/>
      <c r="JJ129" s="49"/>
      <c r="JL129" s="49"/>
      <c r="JM129" s="49"/>
      <c r="JO129" s="49"/>
      <c r="JP129" s="49"/>
      <c r="JR129" s="49"/>
    </row>
    <row r="130" spans="237:278">
      <c r="IC130" s="49"/>
      <c r="IE130" s="49"/>
      <c r="IF130" s="49"/>
      <c r="IH130" s="49"/>
      <c r="II130" s="49"/>
      <c r="IK130" s="49"/>
      <c r="IL130" s="49"/>
      <c r="IN130" s="49"/>
      <c r="IO130" s="49"/>
      <c r="IQ130" s="49"/>
      <c r="IR130" s="49"/>
      <c r="IT130" s="49"/>
      <c r="IU130" s="49"/>
      <c r="IW130" s="49"/>
      <c r="IX130" s="49"/>
      <c r="IZ130" s="49"/>
      <c r="JA130" s="49"/>
      <c r="JC130" s="49"/>
      <c r="JD130" s="49"/>
      <c r="JF130" s="49"/>
      <c r="JG130" s="49"/>
      <c r="JI130" s="49"/>
      <c r="JJ130" s="49"/>
      <c r="JL130" s="49"/>
      <c r="JM130" s="49"/>
      <c r="JO130" s="49"/>
      <c r="JP130" s="49"/>
      <c r="JR130" s="49"/>
    </row>
    <row r="131" spans="237:278">
      <c r="IC131" s="49"/>
      <c r="IE131" s="49"/>
      <c r="IF131" s="49"/>
      <c r="IH131" s="49"/>
      <c r="II131" s="49"/>
      <c r="IK131" s="49"/>
      <c r="IL131" s="49"/>
      <c r="IN131" s="49"/>
      <c r="IO131" s="49"/>
      <c r="IQ131" s="49"/>
      <c r="IR131" s="49"/>
      <c r="IT131" s="49"/>
      <c r="IU131" s="49"/>
      <c r="IW131" s="49"/>
      <c r="IX131" s="49"/>
      <c r="IZ131" s="49"/>
      <c r="JA131" s="49"/>
      <c r="JC131" s="49"/>
      <c r="JD131" s="49"/>
      <c r="JF131" s="49"/>
      <c r="JG131" s="49"/>
      <c r="JI131" s="49"/>
      <c r="JJ131" s="49"/>
      <c r="JL131" s="49"/>
      <c r="JM131" s="49"/>
      <c r="JO131" s="49"/>
      <c r="JP131" s="49"/>
      <c r="JR131" s="49"/>
    </row>
    <row r="132" spans="237:278">
      <c r="IC132" s="49"/>
      <c r="IE132" s="49"/>
      <c r="IF132" s="49"/>
      <c r="IH132" s="49"/>
      <c r="II132" s="49"/>
      <c r="IK132" s="49"/>
      <c r="IL132" s="49"/>
      <c r="IN132" s="49"/>
      <c r="IO132" s="49"/>
      <c r="IQ132" s="49"/>
      <c r="IR132" s="49"/>
      <c r="IT132" s="49"/>
      <c r="IU132" s="49"/>
      <c r="IW132" s="49"/>
      <c r="IX132" s="49"/>
      <c r="IZ132" s="49"/>
      <c r="JA132" s="49"/>
      <c r="JC132" s="49"/>
      <c r="JD132" s="49"/>
      <c r="JF132" s="49"/>
      <c r="JG132" s="49"/>
      <c r="JI132" s="49"/>
      <c r="JJ132" s="49"/>
      <c r="JL132" s="49"/>
      <c r="JM132" s="49"/>
      <c r="JO132" s="49"/>
      <c r="JP132" s="49"/>
      <c r="JR132" s="49"/>
    </row>
    <row r="133" spans="237:278">
      <c r="IC133" s="49"/>
      <c r="IE133" s="49"/>
      <c r="IF133" s="49"/>
      <c r="IH133" s="49"/>
      <c r="II133" s="49"/>
      <c r="IK133" s="49"/>
      <c r="IL133" s="49"/>
      <c r="IN133" s="49"/>
      <c r="IO133" s="49"/>
      <c r="IQ133" s="49"/>
      <c r="IR133" s="49"/>
      <c r="IT133" s="49"/>
      <c r="IU133" s="49"/>
      <c r="IW133" s="49"/>
      <c r="IX133" s="49"/>
      <c r="IZ133" s="49"/>
      <c r="JA133" s="49"/>
      <c r="JC133" s="49"/>
      <c r="JD133" s="49"/>
      <c r="JF133" s="49"/>
      <c r="JG133" s="49"/>
      <c r="JI133" s="49"/>
      <c r="JJ133" s="49"/>
      <c r="JL133" s="49"/>
      <c r="JM133" s="49"/>
      <c r="JO133" s="49"/>
      <c r="JP133" s="49"/>
      <c r="JR133" s="49"/>
    </row>
    <row r="134" spans="237:278">
      <c r="IC134" s="49"/>
      <c r="IE134" s="49"/>
      <c r="IF134" s="49"/>
      <c r="IH134" s="49"/>
      <c r="II134" s="49"/>
      <c r="IK134" s="49"/>
      <c r="IL134" s="49"/>
      <c r="IN134" s="49"/>
      <c r="IO134" s="49"/>
      <c r="IQ134" s="49"/>
      <c r="IR134" s="49"/>
      <c r="IT134" s="49"/>
      <c r="IU134" s="49"/>
      <c r="IW134" s="49"/>
      <c r="IX134" s="49"/>
      <c r="IZ134" s="49"/>
      <c r="JA134" s="49"/>
      <c r="JC134" s="49"/>
      <c r="JD134" s="49"/>
      <c r="JF134" s="49"/>
      <c r="JG134" s="49"/>
      <c r="JI134" s="49"/>
      <c r="JJ134" s="49"/>
      <c r="JL134" s="49"/>
      <c r="JM134" s="49"/>
      <c r="JO134" s="49"/>
      <c r="JP134" s="49"/>
      <c r="JR134" s="49"/>
    </row>
    <row r="135" spans="237:278">
      <c r="IC135" s="49"/>
      <c r="IE135" s="49"/>
      <c r="IF135" s="49"/>
      <c r="IH135" s="49"/>
      <c r="II135" s="49"/>
      <c r="IK135" s="49"/>
      <c r="IL135" s="49"/>
      <c r="IN135" s="49"/>
      <c r="IO135" s="49"/>
      <c r="IQ135" s="49"/>
      <c r="IR135" s="49"/>
      <c r="IT135" s="49"/>
      <c r="IU135" s="49"/>
      <c r="IW135" s="49"/>
      <c r="IX135" s="49"/>
      <c r="IZ135" s="49"/>
      <c r="JA135" s="49"/>
      <c r="JC135" s="49"/>
      <c r="JD135" s="49"/>
      <c r="JF135" s="49"/>
      <c r="JG135" s="49"/>
      <c r="JI135" s="49"/>
      <c r="JJ135" s="49"/>
      <c r="JL135" s="49"/>
      <c r="JM135" s="49"/>
      <c r="JO135" s="49"/>
      <c r="JP135" s="49"/>
      <c r="JR135" s="49"/>
    </row>
    <row r="136" spans="237:278">
      <c r="IC136" s="49"/>
      <c r="IE136" s="49"/>
      <c r="IF136" s="49"/>
      <c r="IH136" s="49"/>
      <c r="II136" s="49"/>
      <c r="IK136" s="49"/>
      <c r="IL136" s="49"/>
      <c r="IN136" s="49"/>
      <c r="IO136" s="49"/>
      <c r="IQ136" s="49"/>
      <c r="IR136" s="49"/>
      <c r="IT136" s="49"/>
      <c r="IU136" s="49"/>
      <c r="IW136" s="49"/>
      <c r="IX136" s="49"/>
      <c r="IZ136" s="49"/>
      <c r="JA136" s="49"/>
      <c r="JC136" s="49"/>
      <c r="JD136" s="49"/>
      <c r="JF136" s="49"/>
      <c r="JG136" s="49"/>
      <c r="JI136" s="49"/>
      <c r="JJ136" s="49"/>
      <c r="JL136" s="49"/>
      <c r="JM136" s="49"/>
      <c r="JO136" s="49"/>
      <c r="JP136" s="49"/>
      <c r="JR136" s="49"/>
    </row>
    <row r="137" spans="237:278">
      <c r="IC137" s="49"/>
      <c r="IE137" s="49"/>
      <c r="IF137" s="49"/>
      <c r="IH137" s="49"/>
      <c r="II137" s="49"/>
      <c r="IK137" s="49"/>
      <c r="IL137" s="49"/>
      <c r="IN137" s="49"/>
      <c r="IO137" s="49"/>
      <c r="IQ137" s="49"/>
      <c r="IR137" s="49"/>
      <c r="IT137" s="49"/>
      <c r="IU137" s="49"/>
      <c r="IW137" s="49"/>
      <c r="IX137" s="49"/>
      <c r="IZ137" s="49"/>
      <c r="JA137" s="49"/>
      <c r="JC137" s="49"/>
      <c r="JD137" s="49"/>
      <c r="JF137" s="49"/>
      <c r="JG137" s="49"/>
      <c r="JI137" s="49"/>
      <c r="JJ137" s="49"/>
      <c r="JL137" s="49"/>
      <c r="JM137" s="49"/>
      <c r="JO137" s="49"/>
      <c r="JP137" s="49"/>
      <c r="JR137" s="49"/>
    </row>
    <row r="138" spans="237:278">
      <c r="IC138" s="49"/>
      <c r="IE138" s="49"/>
      <c r="IF138" s="49"/>
      <c r="IH138" s="49"/>
      <c r="II138" s="49"/>
      <c r="IK138" s="49"/>
      <c r="IL138" s="49"/>
      <c r="IN138" s="49"/>
      <c r="IO138" s="49"/>
      <c r="IQ138" s="49"/>
      <c r="IR138" s="49"/>
      <c r="IT138" s="49"/>
      <c r="IU138" s="49"/>
      <c r="IW138" s="49"/>
      <c r="IX138" s="49"/>
      <c r="IZ138" s="49"/>
      <c r="JA138" s="49"/>
      <c r="JC138" s="49"/>
      <c r="JD138" s="49"/>
      <c r="JF138" s="49"/>
      <c r="JG138" s="49"/>
      <c r="JI138" s="49"/>
      <c r="JJ138" s="49"/>
      <c r="JL138" s="49"/>
      <c r="JM138" s="49"/>
      <c r="JO138" s="49"/>
      <c r="JP138" s="49"/>
      <c r="JR138" s="49"/>
    </row>
    <row r="139" spans="237:278">
      <c r="IC139" s="49"/>
      <c r="IE139" s="49"/>
      <c r="IF139" s="49"/>
      <c r="IH139" s="49"/>
      <c r="II139" s="49"/>
      <c r="IK139" s="49"/>
      <c r="IL139" s="49"/>
      <c r="IN139" s="49"/>
      <c r="IO139" s="49"/>
      <c r="IQ139" s="49"/>
      <c r="IR139" s="49"/>
      <c r="IT139" s="49"/>
      <c r="IU139" s="49"/>
      <c r="IW139" s="49"/>
      <c r="IX139" s="49"/>
      <c r="IZ139" s="49"/>
      <c r="JA139" s="49"/>
      <c r="JC139" s="49"/>
      <c r="JD139" s="49"/>
      <c r="JF139" s="49"/>
      <c r="JG139" s="49"/>
      <c r="JI139" s="49"/>
      <c r="JJ139" s="49"/>
      <c r="JL139" s="49"/>
      <c r="JM139" s="49"/>
      <c r="JO139" s="49"/>
      <c r="JP139" s="49"/>
      <c r="JR139" s="49"/>
    </row>
    <row r="140" spans="237:278">
      <c r="IC140" s="49"/>
      <c r="IE140" s="49"/>
      <c r="IF140" s="49"/>
      <c r="IH140" s="49"/>
      <c r="II140" s="49"/>
      <c r="IK140" s="49"/>
      <c r="IL140" s="49"/>
      <c r="IN140" s="49"/>
      <c r="IO140" s="49"/>
      <c r="IQ140" s="49"/>
      <c r="IR140" s="49"/>
      <c r="IT140" s="49"/>
      <c r="IU140" s="49"/>
      <c r="IW140" s="49"/>
      <c r="IX140" s="49"/>
      <c r="IZ140" s="49"/>
      <c r="JA140" s="49"/>
      <c r="JC140" s="49"/>
      <c r="JD140" s="49"/>
      <c r="JF140" s="49"/>
      <c r="JG140" s="49"/>
      <c r="JI140" s="49"/>
      <c r="JJ140" s="49"/>
      <c r="JL140" s="49"/>
      <c r="JM140" s="49"/>
      <c r="JO140" s="49"/>
      <c r="JP140" s="49"/>
      <c r="JR140" s="49"/>
    </row>
    <row r="141" spans="237:278">
      <c r="IC141" s="49"/>
      <c r="IE141" s="49"/>
      <c r="IF141" s="49"/>
      <c r="IH141" s="49"/>
      <c r="II141" s="49"/>
      <c r="IK141" s="49"/>
      <c r="IL141" s="49"/>
      <c r="IN141" s="49"/>
      <c r="IO141" s="49"/>
      <c r="IQ141" s="49"/>
      <c r="IR141" s="49"/>
      <c r="IT141" s="49"/>
      <c r="IU141" s="49"/>
      <c r="IW141" s="49"/>
      <c r="IX141" s="49"/>
      <c r="IZ141" s="49"/>
      <c r="JA141" s="49"/>
      <c r="JC141" s="49"/>
      <c r="JD141" s="49"/>
      <c r="JF141" s="49"/>
      <c r="JG141" s="49"/>
      <c r="JI141" s="49"/>
      <c r="JJ141" s="49"/>
      <c r="JL141" s="49"/>
      <c r="JM141" s="49"/>
      <c r="JO141" s="49"/>
      <c r="JP141" s="49"/>
      <c r="JR141" s="49"/>
    </row>
    <row r="142" spans="237:278">
      <c r="IC142" s="49"/>
      <c r="IE142" s="49"/>
      <c r="IF142" s="49"/>
      <c r="IH142" s="49"/>
      <c r="II142" s="49"/>
      <c r="IK142" s="49"/>
      <c r="IL142" s="49"/>
      <c r="IN142" s="49"/>
      <c r="IO142" s="49"/>
      <c r="IQ142" s="49"/>
      <c r="IR142" s="49"/>
      <c r="IT142" s="49"/>
      <c r="IU142" s="49"/>
      <c r="IW142" s="49"/>
      <c r="IX142" s="49"/>
      <c r="IZ142" s="49"/>
      <c r="JA142" s="49"/>
      <c r="JC142" s="49"/>
      <c r="JD142" s="49"/>
      <c r="JF142" s="49"/>
      <c r="JG142" s="49"/>
      <c r="JI142" s="49"/>
      <c r="JJ142" s="49"/>
      <c r="JL142" s="49"/>
      <c r="JM142" s="49"/>
      <c r="JO142" s="49"/>
      <c r="JP142" s="49"/>
      <c r="JR142" s="49"/>
    </row>
    <row r="143" spans="237:278">
      <c r="IC143" s="49"/>
      <c r="IE143" s="49"/>
      <c r="IF143" s="49"/>
      <c r="IH143" s="49"/>
      <c r="II143" s="49"/>
      <c r="IK143" s="49"/>
      <c r="IL143" s="49"/>
      <c r="IN143" s="49"/>
      <c r="IO143" s="49"/>
      <c r="IQ143" s="49"/>
      <c r="IR143" s="49"/>
      <c r="IT143" s="49"/>
      <c r="IU143" s="49"/>
      <c r="IW143" s="49"/>
      <c r="IX143" s="49"/>
      <c r="IZ143" s="49"/>
      <c r="JA143" s="49"/>
      <c r="JC143" s="49"/>
      <c r="JD143" s="49"/>
      <c r="JF143" s="49"/>
      <c r="JG143" s="49"/>
      <c r="JI143" s="49"/>
      <c r="JJ143" s="49"/>
      <c r="JL143" s="49"/>
      <c r="JM143" s="49"/>
      <c r="JO143" s="49"/>
      <c r="JP143" s="49"/>
      <c r="JR143" s="49"/>
    </row>
    <row r="144" spans="237:278">
      <c r="IC144" s="49"/>
      <c r="IE144" s="49"/>
      <c r="IF144" s="49"/>
      <c r="IH144" s="49"/>
      <c r="II144" s="49"/>
      <c r="IK144" s="49"/>
      <c r="IL144" s="49"/>
      <c r="IN144" s="49"/>
      <c r="IO144" s="49"/>
      <c r="IQ144" s="49"/>
      <c r="IR144" s="49"/>
      <c r="IT144" s="49"/>
      <c r="IU144" s="49"/>
      <c r="IW144" s="49"/>
      <c r="IX144" s="49"/>
      <c r="IZ144" s="49"/>
      <c r="JA144" s="49"/>
      <c r="JC144" s="49"/>
      <c r="JD144" s="49"/>
      <c r="JF144" s="49"/>
      <c r="JG144" s="49"/>
      <c r="JI144" s="49"/>
      <c r="JJ144" s="49"/>
      <c r="JL144" s="49"/>
      <c r="JM144" s="49"/>
      <c r="JO144" s="49"/>
      <c r="JP144" s="49"/>
      <c r="JR144" s="49"/>
    </row>
    <row r="145" spans="237:278">
      <c r="IC145" s="49"/>
      <c r="IE145" s="49"/>
      <c r="IF145" s="49"/>
      <c r="IH145" s="49"/>
      <c r="II145" s="49"/>
      <c r="IK145" s="49"/>
      <c r="IL145" s="49"/>
      <c r="IN145" s="49"/>
      <c r="IO145" s="49"/>
      <c r="IQ145" s="49"/>
      <c r="IR145" s="49"/>
      <c r="IT145" s="49"/>
      <c r="IU145" s="49"/>
      <c r="IW145" s="49"/>
      <c r="IX145" s="49"/>
      <c r="IZ145" s="49"/>
      <c r="JA145" s="49"/>
      <c r="JC145" s="49"/>
      <c r="JD145" s="49"/>
      <c r="JF145" s="49"/>
      <c r="JG145" s="49"/>
      <c r="JI145" s="49"/>
      <c r="JJ145" s="49"/>
      <c r="JL145" s="49"/>
      <c r="JM145" s="49"/>
      <c r="JO145" s="49"/>
      <c r="JP145" s="49"/>
      <c r="JR145" s="49"/>
    </row>
    <row r="146" spans="237:278">
      <c r="IC146" s="49"/>
      <c r="IE146" s="49"/>
      <c r="IF146" s="49"/>
      <c r="IH146" s="49"/>
      <c r="II146" s="49"/>
      <c r="IK146" s="49"/>
      <c r="IL146" s="49"/>
      <c r="IN146" s="49"/>
      <c r="IO146" s="49"/>
      <c r="IQ146" s="49"/>
      <c r="IR146" s="49"/>
      <c r="IT146" s="49"/>
      <c r="IU146" s="49"/>
      <c r="IW146" s="49"/>
      <c r="IX146" s="49"/>
      <c r="IZ146" s="49"/>
      <c r="JA146" s="49"/>
      <c r="JC146" s="49"/>
      <c r="JD146" s="49"/>
      <c r="JF146" s="49"/>
      <c r="JG146" s="49"/>
      <c r="JI146" s="49"/>
      <c r="JJ146" s="49"/>
      <c r="JL146" s="49"/>
      <c r="JM146" s="49"/>
      <c r="JO146" s="49"/>
      <c r="JP146" s="49"/>
      <c r="JR146" s="49"/>
    </row>
    <row r="147" spans="237:278">
      <c r="IC147" s="49"/>
      <c r="IE147" s="49"/>
      <c r="IF147" s="49"/>
      <c r="IH147" s="49"/>
      <c r="II147" s="49"/>
      <c r="IK147" s="49"/>
      <c r="IL147" s="49"/>
      <c r="IN147" s="49"/>
      <c r="IO147" s="49"/>
      <c r="IQ147" s="49"/>
      <c r="IR147" s="49"/>
      <c r="IT147" s="49"/>
      <c r="IU147" s="49"/>
      <c r="IW147" s="49"/>
      <c r="IX147" s="49"/>
      <c r="IZ147" s="49"/>
      <c r="JA147" s="49"/>
      <c r="JC147" s="49"/>
      <c r="JD147" s="49"/>
      <c r="JF147" s="49"/>
      <c r="JG147" s="49"/>
      <c r="JI147" s="49"/>
      <c r="JJ147" s="49"/>
      <c r="JL147" s="49"/>
      <c r="JM147" s="49"/>
      <c r="JO147" s="49"/>
      <c r="JP147" s="49"/>
      <c r="JR147" s="49"/>
    </row>
    <row r="148" spans="237:278">
      <c r="IC148" s="49"/>
      <c r="IE148" s="49"/>
      <c r="IF148" s="49"/>
      <c r="IH148" s="49"/>
      <c r="II148" s="49"/>
      <c r="IK148" s="49"/>
      <c r="IL148" s="49"/>
      <c r="IN148" s="49"/>
      <c r="IO148" s="49"/>
      <c r="IQ148" s="49"/>
      <c r="IR148" s="49"/>
      <c r="IT148" s="49"/>
      <c r="IU148" s="49"/>
      <c r="IW148" s="49"/>
      <c r="IX148" s="49"/>
      <c r="IZ148" s="49"/>
      <c r="JA148" s="49"/>
      <c r="JC148" s="49"/>
      <c r="JD148" s="49"/>
      <c r="JF148" s="49"/>
      <c r="JG148" s="49"/>
      <c r="JI148" s="49"/>
      <c r="JJ148" s="49"/>
      <c r="JL148" s="49"/>
      <c r="JM148" s="49"/>
      <c r="JO148" s="49"/>
      <c r="JP148" s="49"/>
      <c r="JR148" s="49"/>
    </row>
    <row r="149" spans="237:278">
      <c r="IC149" s="49"/>
      <c r="IE149" s="49"/>
      <c r="IF149" s="49"/>
      <c r="IH149" s="49"/>
      <c r="II149" s="49"/>
      <c r="IK149" s="49"/>
      <c r="IL149" s="49"/>
      <c r="IN149" s="49"/>
      <c r="IO149" s="49"/>
      <c r="IQ149" s="49"/>
      <c r="IR149" s="49"/>
      <c r="IT149" s="49"/>
      <c r="IU149" s="49"/>
      <c r="IW149" s="49"/>
      <c r="IX149" s="49"/>
      <c r="IZ149" s="49"/>
      <c r="JA149" s="49"/>
      <c r="JC149" s="49"/>
      <c r="JD149" s="49"/>
      <c r="JF149" s="49"/>
      <c r="JG149" s="49"/>
      <c r="JI149" s="49"/>
      <c r="JJ149" s="49"/>
      <c r="JL149" s="49"/>
      <c r="JM149" s="49"/>
      <c r="JO149" s="49"/>
      <c r="JP149" s="49"/>
      <c r="JR149" s="49"/>
    </row>
    <row r="150" spans="237:278">
      <c r="IC150" s="49"/>
      <c r="IE150" s="49"/>
      <c r="IF150" s="49"/>
      <c r="IH150" s="49"/>
      <c r="II150" s="49"/>
      <c r="IK150" s="49"/>
      <c r="IL150" s="49"/>
      <c r="IN150" s="49"/>
      <c r="IO150" s="49"/>
      <c r="IQ150" s="49"/>
      <c r="IR150" s="49"/>
      <c r="IT150" s="49"/>
      <c r="IU150" s="49"/>
      <c r="IW150" s="49"/>
      <c r="IX150" s="49"/>
      <c r="IZ150" s="49"/>
      <c r="JA150" s="49"/>
      <c r="JC150" s="49"/>
      <c r="JD150" s="49"/>
      <c r="JF150" s="49"/>
      <c r="JG150" s="49"/>
      <c r="JI150" s="49"/>
      <c r="JJ150" s="49"/>
      <c r="JL150" s="49"/>
      <c r="JM150" s="49"/>
      <c r="JO150" s="49"/>
      <c r="JP150" s="49"/>
      <c r="JR150" s="49"/>
    </row>
    <row r="151" spans="237:278">
      <c r="IC151" s="49"/>
      <c r="IE151" s="49"/>
      <c r="IF151" s="49"/>
      <c r="IH151" s="49"/>
      <c r="II151" s="49"/>
      <c r="IK151" s="49"/>
      <c r="IL151" s="49"/>
      <c r="IN151" s="49"/>
      <c r="IO151" s="49"/>
      <c r="IQ151" s="49"/>
      <c r="IR151" s="49"/>
      <c r="IT151" s="49"/>
      <c r="IU151" s="49"/>
      <c r="IW151" s="49"/>
      <c r="IX151" s="49"/>
      <c r="IZ151" s="49"/>
      <c r="JA151" s="49"/>
      <c r="JC151" s="49"/>
      <c r="JD151" s="49"/>
      <c r="JF151" s="49"/>
      <c r="JG151" s="49"/>
      <c r="JI151" s="49"/>
      <c r="JJ151" s="49"/>
      <c r="JL151" s="49"/>
      <c r="JM151" s="49"/>
      <c r="JO151" s="49"/>
      <c r="JP151" s="49"/>
      <c r="JR151" s="49"/>
    </row>
    <row r="152" spans="237:278">
      <c r="IC152" s="49"/>
      <c r="IE152" s="49"/>
      <c r="IF152" s="49"/>
      <c r="IH152" s="49"/>
      <c r="II152" s="49"/>
      <c r="IK152" s="49"/>
      <c r="IL152" s="49"/>
      <c r="IN152" s="49"/>
      <c r="IO152" s="49"/>
      <c r="IQ152" s="49"/>
      <c r="IR152" s="49"/>
      <c r="IT152" s="49"/>
      <c r="IU152" s="49"/>
      <c r="IW152" s="49"/>
      <c r="IX152" s="49"/>
      <c r="IZ152" s="49"/>
      <c r="JA152" s="49"/>
      <c r="JC152" s="49"/>
      <c r="JD152" s="49"/>
      <c r="JF152" s="49"/>
      <c r="JG152" s="49"/>
      <c r="JI152" s="49"/>
      <c r="JJ152" s="49"/>
      <c r="JL152" s="49"/>
      <c r="JM152" s="49"/>
      <c r="JO152" s="49"/>
      <c r="JP152" s="49"/>
      <c r="JR152" s="49"/>
    </row>
    <row r="153" spans="237:278">
      <c r="IC153" s="49"/>
      <c r="IE153" s="49"/>
      <c r="IF153" s="49"/>
      <c r="IH153" s="49"/>
      <c r="II153" s="49"/>
      <c r="IK153" s="49"/>
      <c r="IL153" s="49"/>
      <c r="IN153" s="49"/>
      <c r="IO153" s="49"/>
      <c r="IQ153" s="49"/>
      <c r="IR153" s="49"/>
      <c r="IT153" s="49"/>
      <c r="IU153" s="49"/>
      <c r="IW153" s="49"/>
      <c r="IX153" s="49"/>
      <c r="IZ153" s="49"/>
      <c r="JA153" s="49"/>
      <c r="JC153" s="49"/>
      <c r="JD153" s="49"/>
      <c r="JF153" s="49"/>
      <c r="JG153" s="49"/>
      <c r="JI153" s="49"/>
      <c r="JJ153" s="49"/>
      <c r="JL153" s="49"/>
      <c r="JM153" s="49"/>
      <c r="JO153" s="49"/>
      <c r="JP153" s="49"/>
      <c r="JR153" s="49"/>
    </row>
    <row r="154" spans="237:278">
      <c r="IC154" s="49"/>
      <c r="IE154" s="49"/>
      <c r="IF154" s="49"/>
      <c r="IH154" s="49"/>
      <c r="II154" s="49"/>
      <c r="IK154" s="49"/>
      <c r="IL154" s="49"/>
      <c r="IN154" s="49"/>
      <c r="IO154" s="49"/>
      <c r="IQ154" s="49"/>
      <c r="IR154" s="49"/>
      <c r="IT154" s="49"/>
      <c r="IU154" s="49"/>
      <c r="IW154" s="49"/>
      <c r="IX154" s="49"/>
      <c r="IZ154" s="49"/>
      <c r="JA154" s="49"/>
      <c r="JC154" s="49"/>
      <c r="JD154" s="49"/>
      <c r="JF154" s="49"/>
      <c r="JG154" s="49"/>
      <c r="JI154" s="49"/>
      <c r="JJ154" s="49"/>
      <c r="JL154" s="49"/>
      <c r="JM154" s="49"/>
      <c r="JO154" s="49"/>
      <c r="JP154" s="49"/>
      <c r="JR154" s="49"/>
    </row>
    <row r="155" spans="237:278">
      <c r="IC155" s="49"/>
      <c r="IE155" s="49"/>
      <c r="IF155" s="49"/>
      <c r="IH155" s="49"/>
      <c r="II155" s="49"/>
      <c r="IK155" s="49"/>
      <c r="IL155" s="49"/>
      <c r="IN155" s="49"/>
      <c r="IO155" s="49"/>
      <c r="IQ155" s="49"/>
      <c r="IR155" s="49"/>
      <c r="IT155" s="49"/>
      <c r="IU155" s="49"/>
      <c r="IW155" s="49"/>
      <c r="IX155" s="49"/>
      <c r="IZ155" s="49"/>
      <c r="JA155" s="49"/>
      <c r="JC155" s="49"/>
      <c r="JD155" s="49"/>
      <c r="JF155" s="49"/>
      <c r="JG155" s="49"/>
      <c r="JI155" s="49"/>
      <c r="JJ155" s="49"/>
      <c r="JL155" s="49"/>
      <c r="JM155" s="49"/>
      <c r="JO155" s="49"/>
      <c r="JP155" s="49"/>
      <c r="JR155" s="49"/>
    </row>
    <row r="156" spans="237:278">
      <c r="IC156" s="49"/>
      <c r="IE156" s="49"/>
      <c r="IF156" s="49"/>
      <c r="IH156" s="49"/>
      <c r="II156" s="49"/>
      <c r="IK156" s="49"/>
      <c r="IL156" s="49"/>
      <c r="IN156" s="49"/>
      <c r="IO156" s="49"/>
      <c r="IQ156" s="49"/>
      <c r="IR156" s="49"/>
      <c r="IT156" s="49"/>
      <c r="IU156" s="49"/>
      <c r="IW156" s="49"/>
      <c r="IX156" s="49"/>
      <c r="IZ156" s="49"/>
      <c r="JA156" s="49"/>
      <c r="JC156" s="49"/>
      <c r="JD156" s="49"/>
      <c r="JF156" s="49"/>
      <c r="JG156" s="49"/>
      <c r="JI156" s="49"/>
      <c r="JJ156" s="49"/>
      <c r="JL156" s="49"/>
      <c r="JM156" s="49"/>
      <c r="JO156" s="49"/>
      <c r="JP156" s="49"/>
      <c r="JR156" s="49"/>
    </row>
    <row r="157" spans="237:278">
      <c r="IC157" s="49"/>
      <c r="IE157" s="49"/>
      <c r="IF157" s="49"/>
      <c r="IH157" s="49"/>
      <c r="II157" s="49"/>
      <c r="IK157" s="49"/>
      <c r="IL157" s="49"/>
      <c r="IN157" s="49"/>
      <c r="IO157" s="49"/>
      <c r="IQ157" s="49"/>
      <c r="IR157" s="49"/>
      <c r="IT157" s="49"/>
      <c r="IU157" s="49"/>
      <c r="IW157" s="49"/>
      <c r="IX157" s="49"/>
      <c r="IZ157" s="49"/>
      <c r="JA157" s="49"/>
      <c r="JC157" s="49"/>
      <c r="JD157" s="49"/>
      <c r="JF157" s="49"/>
      <c r="JG157" s="49"/>
      <c r="JI157" s="49"/>
      <c r="JJ157" s="49"/>
      <c r="JL157" s="49"/>
      <c r="JM157" s="49"/>
      <c r="JO157" s="49"/>
      <c r="JP157" s="49"/>
      <c r="JR157" s="49"/>
    </row>
    <row r="158" spans="237:278">
      <c r="IC158" s="49"/>
      <c r="IE158" s="49"/>
      <c r="IF158" s="49"/>
      <c r="IH158" s="49"/>
      <c r="II158" s="49"/>
      <c r="IK158" s="49"/>
      <c r="IL158" s="49"/>
      <c r="IN158" s="49"/>
      <c r="IO158" s="49"/>
      <c r="IQ158" s="49"/>
      <c r="IR158" s="49"/>
      <c r="IT158" s="49"/>
      <c r="IU158" s="49"/>
      <c r="IW158" s="49"/>
      <c r="IX158" s="49"/>
      <c r="IZ158" s="49"/>
      <c r="JA158" s="49"/>
      <c r="JC158" s="49"/>
      <c r="JD158" s="49"/>
      <c r="JF158" s="49"/>
      <c r="JG158" s="49"/>
      <c r="JI158" s="49"/>
      <c r="JJ158" s="49"/>
      <c r="JL158" s="49"/>
      <c r="JM158" s="49"/>
      <c r="JO158" s="49"/>
      <c r="JP158" s="49"/>
      <c r="JR158" s="49"/>
    </row>
    <row r="159" spans="237:278">
      <c r="IC159" s="49"/>
      <c r="IE159" s="49"/>
      <c r="IF159" s="49"/>
      <c r="IH159" s="49"/>
      <c r="II159" s="49"/>
      <c r="IK159" s="49"/>
      <c r="IL159" s="49"/>
      <c r="IN159" s="49"/>
      <c r="IO159" s="49"/>
      <c r="IQ159" s="49"/>
      <c r="IR159" s="49"/>
      <c r="IT159" s="49"/>
      <c r="IU159" s="49"/>
      <c r="IW159" s="49"/>
      <c r="IX159" s="49"/>
      <c r="IZ159" s="49"/>
      <c r="JA159" s="49"/>
      <c r="JC159" s="49"/>
      <c r="JD159" s="49"/>
      <c r="JF159" s="49"/>
      <c r="JG159" s="49"/>
      <c r="JI159" s="49"/>
      <c r="JJ159" s="49"/>
      <c r="JL159" s="49"/>
      <c r="JM159" s="49"/>
      <c r="JO159" s="49"/>
      <c r="JP159" s="49"/>
      <c r="JR159" s="49"/>
    </row>
    <row r="160" spans="237:278">
      <c r="IC160" s="49"/>
      <c r="IE160" s="49"/>
      <c r="IF160" s="49"/>
      <c r="IH160" s="49"/>
      <c r="II160" s="49"/>
      <c r="IK160" s="49"/>
      <c r="IL160" s="49"/>
      <c r="IN160" s="49"/>
      <c r="IO160" s="49"/>
      <c r="IQ160" s="49"/>
      <c r="IR160" s="49"/>
      <c r="IT160" s="49"/>
      <c r="IU160" s="49"/>
      <c r="IW160" s="49"/>
      <c r="IX160" s="49"/>
      <c r="IZ160" s="49"/>
      <c r="JA160" s="49"/>
      <c r="JC160" s="49"/>
      <c r="JD160" s="49"/>
      <c r="JF160" s="49"/>
      <c r="JG160" s="49"/>
      <c r="JI160" s="49"/>
      <c r="JJ160" s="49"/>
      <c r="JL160" s="49"/>
      <c r="JM160" s="49"/>
      <c r="JO160" s="49"/>
      <c r="JP160" s="49"/>
      <c r="JR160" s="49"/>
    </row>
    <row r="161" spans="237:278">
      <c r="IC161" s="49"/>
      <c r="IE161" s="49"/>
      <c r="IF161" s="49"/>
      <c r="IH161" s="49"/>
      <c r="II161" s="49"/>
      <c r="IK161" s="49"/>
      <c r="IL161" s="49"/>
      <c r="IN161" s="49"/>
      <c r="IO161" s="49"/>
      <c r="IQ161" s="49"/>
      <c r="IR161" s="49"/>
      <c r="IT161" s="49"/>
      <c r="IU161" s="49"/>
      <c r="IW161" s="49"/>
      <c r="IX161" s="49"/>
      <c r="IZ161" s="49"/>
      <c r="JA161" s="49"/>
      <c r="JC161" s="49"/>
      <c r="JD161" s="49"/>
      <c r="JF161" s="49"/>
      <c r="JG161" s="49"/>
      <c r="JI161" s="49"/>
      <c r="JJ161" s="49"/>
      <c r="JL161" s="49"/>
      <c r="JM161" s="49"/>
      <c r="JO161" s="49"/>
      <c r="JP161" s="49"/>
      <c r="JR161" s="49"/>
    </row>
    <row r="162" spans="237:278">
      <c r="IC162" s="49"/>
      <c r="IE162" s="49"/>
      <c r="IF162" s="49"/>
      <c r="IH162" s="49"/>
      <c r="II162" s="49"/>
      <c r="IK162" s="49"/>
      <c r="IL162" s="49"/>
      <c r="IN162" s="49"/>
      <c r="IO162" s="49"/>
      <c r="IQ162" s="49"/>
      <c r="IR162" s="49"/>
      <c r="IT162" s="49"/>
      <c r="IU162" s="49"/>
      <c r="IW162" s="49"/>
      <c r="IX162" s="49"/>
      <c r="IZ162" s="49"/>
      <c r="JA162" s="49"/>
      <c r="JC162" s="49"/>
      <c r="JD162" s="49"/>
      <c r="JF162" s="49"/>
      <c r="JG162" s="49"/>
      <c r="JI162" s="49"/>
      <c r="JJ162" s="49"/>
      <c r="JL162" s="49"/>
      <c r="JM162" s="49"/>
      <c r="JO162" s="49"/>
      <c r="JP162" s="49"/>
      <c r="JR162" s="49"/>
    </row>
    <row r="163" spans="237:278">
      <c r="IC163" s="49"/>
      <c r="IE163" s="49"/>
      <c r="IF163" s="49"/>
      <c r="IH163" s="49"/>
      <c r="II163" s="49"/>
      <c r="IK163" s="49"/>
      <c r="IL163" s="49"/>
      <c r="IN163" s="49"/>
      <c r="IO163" s="49"/>
      <c r="IQ163" s="49"/>
      <c r="IR163" s="49"/>
      <c r="IT163" s="49"/>
      <c r="IU163" s="49"/>
      <c r="IW163" s="49"/>
      <c r="IX163" s="49"/>
      <c r="IZ163" s="49"/>
      <c r="JA163" s="49"/>
      <c r="JC163" s="49"/>
      <c r="JD163" s="49"/>
      <c r="JF163" s="49"/>
      <c r="JG163" s="49"/>
      <c r="JI163" s="49"/>
      <c r="JJ163" s="49"/>
      <c r="JL163" s="49"/>
      <c r="JM163" s="49"/>
      <c r="JO163" s="49"/>
      <c r="JP163" s="49"/>
      <c r="JR163" s="49"/>
    </row>
    <row r="164" spans="237:278">
      <c r="IC164" s="49"/>
      <c r="IE164" s="49"/>
      <c r="IF164" s="49"/>
      <c r="IH164" s="49"/>
      <c r="II164" s="49"/>
      <c r="IK164" s="49"/>
      <c r="IL164" s="49"/>
      <c r="IN164" s="49"/>
      <c r="IO164" s="49"/>
      <c r="IQ164" s="49"/>
      <c r="IR164" s="49"/>
      <c r="IT164" s="49"/>
      <c r="IU164" s="49"/>
      <c r="IW164" s="49"/>
      <c r="IX164" s="49"/>
      <c r="IZ164" s="49"/>
      <c r="JA164" s="49"/>
      <c r="JC164" s="49"/>
      <c r="JD164" s="49"/>
      <c r="JF164" s="49"/>
      <c r="JG164" s="49"/>
      <c r="JI164" s="49"/>
      <c r="JJ164" s="49"/>
      <c r="JL164" s="49"/>
      <c r="JM164" s="49"/>
      <c r="JO164" s="49"/>
      <c r="JP164" s="49"/>
      <c r="JR164" s="49"/>
    </row>
    <row r="165" spans="237:278">
      <c r="IC165" s="49"/>
      <c r="IE165" s="49"/>
      <c r="IF165" s="49"/>
      <c r="IH165" s="49"/>
      <c r="II165" s="49"/>
      <c r="IK165" s="49"/>
      <c r="IL165" s="49"/>
      <c r="IN165" s="49"/>
      <c r="IO165" s="49"/>
      <c r="IQ165" s="49"/>
      <c r="IR165" s="49"/>
      <c r="IT165" s="49"/>
      <c r="IU165" s="49"/>
      <c r="IW165" s="49"/>
      <c r="IX165" s="49"/>
      <c r="IZ165" s="49"/>
      <c r="JA165" s="49"/>
      <c r="JC165" s="49"/>
      <c r="JD165" s="49"/>
      <c r="JF165" s="49"/>
      <c r="JG165" s="49"/>
      <c r="JI165" s="49"/>
      <c r="JJ165" s="49"/>
      <c r="JL165" s="49"/>
      <c r="JM165" s="49"/>
      <c r="JO165" s="49"/>
      <c r="JP165" s="49"/>
      <c r="JR165" s="49"/>
    </row>
    <row r="166" spans="237:278">
      <c r="IC166" s="49"/>
      <c r="IE166" s="49"/>
      <c r="IF166" s="49"/>
      <c r="IH166" s="49"/>
      <c r="II166" s="49"/>
      <c r="IK166" s="49"/>
      <c r="IL166" s="49"/>
      <c r="IN166" s="49"/>
      <c r="IO166" s="49"/>
      <c r="IQ166" s="49"/>
      <c r="IR166" s="49"/>
      <c r="IT166" s="49"/>
      <c r="IU166" s="49"/>
      <c r="IW166" s="49"/>
      <c r="IX166" s="49"/>
      <c r="IZ166" s="49"/>
      <c r="JA166" s="49"/>
      <c r="JC166" s="49"/>
      <c r="JD166" s="49"/>
      <c r="JF166" s="49"/>
      <c r="JG166" s="49"/>
      <c r="JI166" s="49"/>
      <c r="JJ166" s="49"/>
      <c r="JL166" s="49"/>
      <c r="JM166" s="49"/>
      <c r="JO166" s="49"/>
      <c r="JP166" s="49"/>
      <c r="JR166" s="49"/>
    </row>
    <row r="167" spans="237:278">
      <c r="IC167" s="49"/>
      <c r="IE167" s="49"/>
      <c r="IF167" s="49"/>
      <c r="IH167" s="49"/>
      <c r="II167" s="49"/>
      <c r="IK167" s="49"/>
      <c r="IL167" s="49"/>
      <c r="IN167" s="49"/>
      <c r="IO167" s="49"/>
      <c r="IQ167" s="49"/>
      <c r="IR167" s="49"/>
      <c r="IT167" s="49"/>
      <c r="IU167" s="49"/>
      <c r="IW167" s="49"/>
      <c r="IX167" s="49"/>
      <c r="IZ167" s="49"/>
      <c r="JA167" s="49"/>
      <c r="JC167" s="49"/>
      <c r="JD167" s="49"/>
      <c r="JF167" s="49"/>
      <c r="JG167" s="49"/>
      <c r="JI167" s="49"/>
      <c r="JJ167" s="49"/>
      <c r="JL167" s="49"/>
      <c r="JM167" s="49"/>
      <c r="JO167" s="49"/>
      <c r="JP167" s="49"/>
      <c r="JR167" s="49"/>
    </row>
    <row r="168" spans="237:278">
      <c r="IC168" s="49"/>
      <c r="IE168" s="49"/>
      <c r="IF168" s="49"/>
      <c r="IH168" s="49"/>
      <c r="II168" s="49"/>
      <c r="IK168" s="49"/>
      <c r="IL168" s="49"/>
      <c r="IN168" s="49"/>
      <c r="IO168" s="49"/>
      <c r="IQ168" s="49"/>
      <c r="IR168" s="49"/>
      <c r="IT168" s="49"/>
      <c r="IU168" s="49"/>
      <c r="IW168" s="49"/>
      <c r="IX168" s="49"/>
      <c r="IZ168" s="49"/>
      <c r="JA168" s="49"/>
      <c r="JC168" s="49"/>
      <c r="JD168" s="49"/>
      <c r="JF168" s="49"/>
      <c r="JG168" s="49"/>
      <c r="JI168" s="49"/>
      <c r="JJ168" s="49"/>
      <c r="JL168" s="49"/>
      <c r="JM168" s="49"/>
      <c r="JO168" s="49"/>
      <c r="JP168" s="49"/>
      <c r="JR168" s="49"/>
    </row>
    <row r="169" spans="237:278">
      <c r="IC169" s="49"/>
      <c r="IE169" s="49"/>
      <c r="IF169" s="49"/>
      <c r="IH169" s="49"/>
      <c r="II169" s="49"/>
      <c r="IK169" s="49"/>
      <c r="IL169" s="49"/>
      <c r="IN169" s="49"/>
      <c r="IO169" s="49"/>
      <c r="IQ169" s="49"/>
      <c r="IR169" s="49"/>
      <c r="IT169" s="49"/>
      <c r="IU169" s="49"/>
      <c r="IW169" s="49"/>
      <c r="IX169" s="49"/>
      <c r="IZ169" s="49"/>
      <c r="JA169" s="49"/>
      <c r="JC169" s="49"/>
      <c r="JD169" s="49"/>
      <c r="JF169" s="49"/>
      <c r="JG169" s="49"/>
      <c r="JI169" s="49"/>
      <c r="JJ169" s="49"/>
      <c r="JL169" s="49"/>
      <c r="JM169" s="49"/>
      <c r="JO169" s="49"/>
      <c r="JP169" s="49"/>
      <c r="JR169" s="49"/>
    </row>
    <row r="170" spans="237:278">
      <c r="IC170" s="49"/>
      <c r="IE170" s="49"/>
      <c r="IF170" s="49"/>
      <c r="IH170" s="49"/>
      <c r="II170" s="49"/>
      <c r="IK170" s="49"/>
      <c r="IL170" s="49"/>
      <c r="IN170" s="49"/>
      <c r="IO170" s="49"/>
      <c r="IQ170" s="49"/>
      <c r="IR170" s="49"/>
      <c r="IT170" s="49"/>
      <c r="IU170" s="49"/>
      <c r="IW170" s="49"/>
      <c r="IX170" s="49"/>
      <c r="IZ170" s="49"/>
      <c r="JA170" s="49"/>
      <c r="JC170" s="49"/>
      <c r="JD170" s="49"/>
      <c r="JF170" s="49"/>
      <c r="JG170" s="49"/>
      <c r="JI170" s="49"/>
      <c r="JJ170" s="49"/>
      <c r="JL170" s="49"/>
      <c r="JM170" s="49"/>
      <c r="JO170" s="49"/>
      <c r="JP170" s="49"/>
      <c r="JR170" s="49"/>
    </row>
    <row r="171" spans="237:278">
      <c r="IC171" s="49"/>
      <c r="IE171" s="49"/>
      <c r="IF171" s="49"/>
      <c r="IH171" s="49"/>
      <c r="II171" s="49"/>
      <c r="IK171" s="49"/>
      <c r="IL171" s="49"/>
      <c r="IN171" s="49"/>
      <c r="IO171" s="49"/>
      <c r="IQ171" s="49"/>
      <c r="IR171" s="49"/>
      <c r="IT171" s="49"/>
      <c r="IU171" s="49"/>
      <c r="IW171" s="49"/>
      <c r="IX171" s="49"/>
      <c r="IZ171" s="49"/>
      <c r="JA171" s="49"/>
      <c r="JC171" s="49"/>
      <c r="JD171" s="49"/>
      <c r="JF171" s="49"/>
      <c r="JG171" s="49"/>
      <c r="JI171" s="49"/>
      <c r="JJ171" s="49"/>
      <c r="JL171" s="49"/>
      <c r="JM171" s="49"/>
      <c r="JO171" s="49"/>
      <c r="JP171" s="49"/>
      <c r="JR171" s="49"/>
    </row>
    <row r="172" spans="237:278">
      <c r="IC172" s="49"/>
      <c r="IE172" s="49"/>
      <c r="IF172" s="49"/>
      <c r="IH172" s="49"/>
      <c r="II172" s="49"/>
      <c r="IK172" s="49"/>
      <c r="IL172" s="49"/>
      <c r="IN172" s="49"/>
      <c r="IO172" s="49"/>
      <c r="IQ172" s="49"/>
      <c r="IR172" s="49"/>
      <c r="IT172" s="49"/>
      <c r="IU172" s="49"/>
      <c r="IW172" s="49"/>
      <c r="IX172" s="49"/>
      <c r="IZ172" s="49"/>
      <c r="JA172" s="49"/>
      <c r="JC172" s="49"/>
      <c r="JD172" s="49"/>
      <c r="JF172" s="49"/>
      <c r="JG172" s="49"/>
      <c r="JI172" s="49"/>
      <c r="JJ172" s="49"/>
      <c r="JL172" s="49"/>
      <c r="JM172" s="49"/>
      <c r="JO172" s="49"/>
      <c r="JP172" s="49"/>
      <c r="JR172" s="49"/>
    </row>
    <row r="173" spans="237:278">
      <c r="IC173" s="49"/>
      <c r="IE173" s="49"/>
      <c r="IF173" s="49"/>
      <c r="IH173" s="49"/>
      <c r="II173" s="49"/>
      <c r="IK173" s="49"/>
      <c r="IL173" s="49"/>
      <c r="IN173" s="49"/>
      <c r="IO173" s="49"/>
      <c r="IQ173" s="49"/>
      <c r="IR173" s="49"/>
      <c r="IT173" s="49"/>
      <c r="IU173" s="49"/>
      <c r="IW173" s="49"/>
      <c r="IX173" s="49"/>
      <c r="IZ173" s="49"/>
      <c r="JA173" s="49"/>
      <c r="JC173" s="49"/>
      <c r="JD173" s="49"/>
      <c r="JF173" s="49"/>
      <c r="JG173" s="49"/>
      <c r="JI173" s="49"/>
      <c r="JJ173" s="49"/>
      <c r="JL173" s="49"/>
      <c r="JM173" s="49"/>
      <c r="JO173" s="49"/>
      <c r="JP173" s="49"/>
      <c r="JR173" s="49"/>
    </row>
    <row r="174" spans="237:278">
      <c r="IC174" s="49"/>
      <c r="IE174" s="49"/>
      <c r="IF174" s="49"/>
      <c r="IH174" s="49"/>
      <c r="II174" s="49"/>
      <c r="IK174" s="49"/>
      <c r="IL174" s="49"/>
      <c r="IN174" s="49"/>
      <c r="IO174" s="49"/>
      <c r="IQ174" s="49"/>
      <c r="IR174" s="49"/>
      <c r="IT174" s="49"/>
      <c r="IU174" s="49"/>
      <c r="IW174" s="49"/>
      <c r="IX174" s="49"/>
      <c r="IZ174" s="49"/>
      <c r="JA174" s="49"/>
      <c r="JC174" s="49"/>
      <c r="JD174" s="49"/>
      <c r="JF174" s="49"/>
      <c r="JG174" s="49"/>
      <c r="JI174" s="49"/>
      <c r="JJ174" s="49"/>
      <c r="JL174" s="49"/>
      <c r="JM174" s="49"/>
      <c r="JO174" s="49"/>
      <c r="JP174" s="49"/>
      <c r="JR174" s="49"/>
    </row>
    <row r="175" spans="237:278">
      <c r="IC175" s="49"/>
      <c r="IE175" s="49"/>
      <c r="IF175" s="49"/>
      <c r="IH175" s="49"/>
      <c r="II175" s="49"/>
      <c r="IK175" s="49"/>
      <c r="IL175" s="49"/>
      <c r="IN175" s="49"/>
      <c r="IO175" s="49"/>
      <c r="IQ175" s="49"/>
      <c r="IR175" s="49"/>
      <c r="IT175" s="49"/>
      <c r="IU175" s="49"/>
      <c r="IW175" s="49"/>
      <c r="IX175" s="49"/>
      <c r="IZ175" s="49"/>
      <c r="JA175" s="49"/>
      <c r="JC175" s="49"/>
      <c r="JD175" s="49"/>
      <c r="JF175" s="49"/>
      <c r="JG175" s="49"/>
      <c r="JI175" s="49"/>
      <c r="JJ175" s="49"/>
      <c r="JL175" s="49"/>
      <c r="JM175" s="49"/>
      <c r="JO175" s="49"/>
      <c r="JP175" s="49"/>
      <c r="JR175" s="49"/>
    </row>
    <row r="176" spans="237:278">
      <c r="IC176" s="49"/>
      <c r="IE176" s="49"/>
      <c r="IF176" s="49"/>
      <c r="IH176" s="49"/>
      <c r="II176" s="49"/>
      <c r="IK176" s="49"/>
      <c r="IL176" s="49"/>
      <c r="IN176" s="49"/>
      <c r="IO176" s="49"/>
      <c r="IQ176" s="49"/>
      <c r="IR176" s="49"/>
      <c r="IT176" s="49"/>
      <c r="IU176" s="49"/>
      <c r="IW176" s="49"/>
      <c r="IX176" s="49"/>
      <c r="IZ176" s="49"/>
      <c r="JA176" s="49"/>
      <c r="JC176" s="49"/>
      <c r="JD176" s="49"/>
      <c r="JF176" s="49"/>
      <c r="JG176" s="49"/>
      <c r="JI176" s="49"/>
      <c r="JJ176" s="49"/>
      <c r="JL176" s="49"/>
      <c r="JM176" s="49"/>
      <c r="JO176" s="49"/>
      <c r="JP176" s="49"/>
      <c r="JR176" s="49"/>
    </row>
    <row r="177" spans="237:278">
      <c r="IC177" s="49"/>
      <c r="IE177" s="49"/>
      <c r="IF177" s="49"/>
      <c r="IH177" s="49"/>
      <c r="II177" s="49"/>
      <c r="IK177" s="49"/>
      <c r="IL177" s="49"/>
      <c r="IN177" s="49"/>
      <c r="IO177" s="49"/>
      <c r="IQ177" s="49"/>
      <c r="IR177" s="49"/>
      <c r="IT177" s="49"/>
      <c r="IU177" s="49"/>
      <c r="IW177" s="49"/>
      <c r="IX177" s="49"/>
      <c r="IZ177" s="49"/>
      <c r="JA177" s="49"/>
      <c r="JC177" s="49"/>
      <c r="JD177" s="49"/>
      <c r="JF177" s="49"/>
      <c r="JG177" s="49"/>
      <c r="JI177" s="49"/>
      <c r="JJ177" s="49"/>
      <c r="JL177" s="49"/>
      <c r="JM177" s="49"/>
      <c r="JO177" s="49"/>
      <c r="JP177" s="49"/>
      <c r="JR177" s="49"/>
    </row>
    <row r="178" spans="237:278">
      <c r="IC178" s="49"/>
      <c r="IE178" s="49"/>
      <c r="IF178" s="49"/>
      <c r="IH178" s="49"/>
      <c r="II178" s="49"/>
      <c r="IK178" s="49"/>
      <c r="IL178" s="49"/>
      <c r="IN178" s="49"/>
      <c r="IO178" s="49"/>
      <c r="IQ178" s="49"/>
      <c r="IR178" s="49"/>
      <c r="IT178" s="49"/>
      <c r="IU178" s="49"/>
      <c r="IW178" s="49"/>
      <c r="IX178" s="49"/>
      <c r="IZ178" s="49"/>
      <c r="JA178" s="49"/>
      <c r="JC178" s="49"/>
      <c r="JD178" s="49"/>
      <c r="JF178" s="49"/>
      <c r="JG178" s="49"/>
      <c r="JI178" s="49"/>
      <c r="JJ178" s="49"/>
      <c r="JL178" s="49"/>
      <c r="JM178" s="49"/>
      <c r="JO178" s="49"/>
      <c r="JP178" s="49"/>
      <c r="JR178" s="49"/>
    </row>
    <row r="179" spans="237:278">
      <c r="IC179" s="49"/>
      <c r="IE179" s="49"/>
      <c r="IF179" s="49"/>
      <c r="IH179" s="49"/>
      <c r="II179" s="49"/>
      <c r="IK179" s="49"/>
      <c r="IL179" s="49"/>
      <c r="IN179" s="49"/>
      <c r="IO179" s="49"/>
      <c r="IQ179" s="49"/>
      <c r="IR179" s="49"/>
      <c r="IT179" s="49"/>
      <c r="IU179" s="49"/>
      <c r="IW179" s="49"/>
      <c r="IX179" s="49"/>
      <c r="IZ179" s="49"/>
      <c r="JA179" s="49"/>
      <c r="JC179" s="49"/>
      <c r="JD179" s="49"/>
      <c r="JF179" s="49"/>
      <c r="JG179" s="49"/>
      <c r="JI179" s="49"/>
      <c r="JJ179" s="49"/>
      <c r="JL179" s="49"/>
      <c r="JM179" s="49"/>
      <c r="JO179" s="49"/>
      <c r="JP179" s="49"/>
      <c r="JR179" s="49"/>
    </row>
    <row r="180" spans="237:278">
      <c r="IC180" s="49"/>
      <c r="IE180" s="49"/>
      <c r="IF180" s="49"/>
      <c r="IH180" s="49"/>
      <c r="II180" s="49"/>
      <c r="IK180" s="49"/>
      <c r="IL180" s="49"/>
      <c r="IN180" s="49"/>
      <c r="IO180" s="49"/>
      <c r="IQ180" s="49"/>
      <c r="IR180" s="49"/>
      <c r="IT180" s="49"/>
      <c r="IU180" s="49"/>
      <c r="IW180" s="49"/>
      <c r="IX180" s="49"/>
      <c r="IZ180" s="49"/>
      <c r="JA180" s="49"/>
      <c r="JC180" s="49"/>
      <c r="JD180" s="49"/>
      <c r="JF180" s="49"/>
      <c r="JG180" s="49"/>
      <c r="JI180" s="49"/>
      <c r="JJ180" s="49"/>
      <c r="JL180" s="49"/>
      <c r="JM180" s="49"/>
      <c r="JO180" s="49"/>
      <c r="JP180" s="49"/>
      <c r="JR180" s="49"/>
    </row>
    <row r="181" spans="237:278">
      <c r="IC181" s="49"/>
      <c r="IE181" s="49"/>
      <c r="IF181" s="49"/>
      <c r="IH181" s="49"/>
      <c r="II181" s="49"/>
      <c r="IK181" s="49"/>
      <c r="IL181" s="49"/>
      <c r="IN181" s="49"/>
      <c r="IO181" s="49"/>
      <c r="IQ181" s="49"/>
      <c r="IR181" s="49"/>
      <c r="IT181" s="49"/>
      <c r="IU181" s="49"/>
      <c r="IW181" s="49"/>
      <c r="IX181" s="49"/>
      <c r="IZ181" s="49"/>
      <c r="JA181" s="49"/>
      <c r="JC181" s="49"/>
      <c r="JD181" s="49"/>
      <c r="JF181" s="49"/>
      <c r="JG181" s="49"/>
      <c r="JI181" s="49"/>
      <c r="JJ181" s="49"/>
      <c r="JL181" s="49"/>
      <c r="JM181" s="49"/>
      <c r="JO181" s="49"/>
      <c r="JP181" s="49"/>
      <c r="JR181" s="49"/>
    </row>
    <row r="182" spans="237:278">
      <c r="IC182" s="49"/>
      <c r="IE182" s="49"/>
      <c r="IF182" s="49"/>
      <c r="IH182" s="49"/>
      <c r="II182" s="49"/>
      <c r="IK182" s="49"/>
      <c r="IL182" s="49"/>
      <c r="IN182" s="49"/>
      <c r="IO182" s="49"/>
      <c r="IQ182" s="49"/>
      <c r="IR182" s="49"/>
      <c r="IT182" s="49"/>
      <c r="IU182" s="49"/>
      <c r="IW182" s="49"/>
      <c r="IX182" s="49"/>
      <c r="IZ182" s="49"/>
      <c r="JA182" s="49"/>
      <c r="JC182" s="49"/>
      <c r="JD182" s="49"/>
      <c r="JF182" s="49"/>
      <c r="JG182" s="49"/>
      <c r="JI182" s="49"/>
      <c r="JJ182" s="49"/>
      <c r="JL182" s="49"/>
      <c r="JM182" s="49"/>
      <c r="JO182" s="49"/>
      <c r="JP182" s="49"/>
      <c r="JR182" s="49"/>
    </row>
    <row r="183" spans="237:278">
      <c r="IC183" s="49"/>
      <c r="IE183" s="49"/>
      <c r="IF183" s="49"/>
      <c r="IH183" s="49"/>
      <c r="II183" s="49"/>
      <c r="IK183" s="49"/>
      <c r="IL183" s="49"/>
      <c r="IN183" s="49"/>
      <c r="IO183" s="49"/>
      <c r="IQ183" s="49"/>
      <c r="IR183" s="49"/>
      <c r="IT183" s="49"/>
      <c r="IU183" s="49"/>
      <c r="IW183" s="49"/>
      <c r="IX183" s="49"/>
      <c r="IZ183" s="49"/>
      <c r="JA183" s="49"/>
      <c r="JC183" s="49"/>
      <c r="JD183" s="49"/>
      <c r="JF183" s="49"/>
      <c r="JG183" s="49"/>
      <c r="JI183" s="49"/>
      <c r="JJ183" s="49"/>
      <c r="JL183" s="49"/>
      <c r="JM183" s="49"/>
      <c r="JO183" s="49"/>
      <c r="JP183" s="49"/>
      <c r="JR183" s="49"/>
    </row>
    <row r="184" spans="237:278">
      <c r="IC184" s="49"/>
      <c r="IE184" s="49"/>
      <c r="IF184" s="49"/>
      <c r="IH184" s="49"/>
      <c r="II184" s="49"/>
      <c r="IK184" s="49"/>
      <c r="IL184" s="49"/>
      <c r="IN184" s="49"/>
      <c r="IO184" s="49"/>
      <c r="IQ184" s="49"/>
      <c r="IR184" s="49"/>
      <c r="IT184" s="49"/>
      <c r="IU184" s="49"/>
      <c r="IW184" s="49"/>
      <c r="IX184" s="49"/>
      <c r="IZ184" s="49"/>
      <c r="JA184" s="49"/>
      <c r="JC184" s="49"/>
      <c r="JD184" s="49"/>
      <c r="JF184" s="49"/>
      <c r="JG184" s="49"/>
      <c r="JI184" s="49"/>
      <c r="JJ184" s="49"/>
      <c r="JL184" s="49"/>
      <c r="JM184" s="49"/>
      <c r="JO184" s="49"/>
      <c r="JP184" s="49"/>
      <c r="JR184" s="49"/>
    </row>
    <row r="185" spans="237:278">
      <c r="IC185" s="49"/>
      <c r="IE185" s="49"/>
      <c r="IF185" s="49"/>
      <c r="IH185" s="49"/>
      <c r="II185" s="49"/>
      <c r="IK185" s="49"/>
      <c r="IL185" s="49"/>
      <c r="IN185" s="49"/>
      <c r="IO185" s="49"/>
      <c r="IQ185" s="49"/>
      <c r="IR185" s="49"/>
      <c r="IT185" s="49"/>
      <c r="IU185" s="49"/>
      <c r="IW185" s="49"/>
      <c r="IX185" s="49"/>
      <c r="IZ185" s="49"/>
      <c r="JA185" s="49"/>
      <c r="JC185" s="49"/>
      <c r="JD185" s="49"/>
      <c r="JF185" s="49"/>
      <c r="JG185" s="49"/>
      <c r="JI185" s="49"/>
      <c r="JJ185" s="49"/>
      <c r="JL185" s="49"/>
      <c r="JM185" s="49"/>
      <c r="JO185" s="49"/>
      <c r="JP185" s="49"/>
      <c r="JR185" s="49"/>
    </row>
    <row r="186" spans="237:278">
      <c r="IC186" s="49"/>
      <c r="IE186" s="49"/>
      <c r="IF186" s="49"/>
      <c r="IH186" s="49"/>
      <c r="II186" s="49"/>
      <c r="IK186" s="49"/>
      <c r="IL186" s="49"/>
      <c r="IN186" s="49"/>
      <c r="IO186" s="49"/>
      <c r="IQ186" s="49"/>
      <c r="IR186" s="49"/>
      <c r="IT186" s="49"/>
      <c r="IU186" s="49"/>
      <c r="IW186" s="49"/>
      <c r="IX186" s="49"/>
      <c r="IZ186" s="49"/>
      <c r="JA186" s="49"/>
      <c r="JC186" s="49"/>
      <c r="JD186" s="49"/>
      <c r="JF186" s="49"/>
      <c r="JG186" s="49"/>
      <c r="JI186" s="49"/>
      <c r="JJ186" s="49"/>
      <c r="JL186" s="49"/>
      <c r="JM186" s="49"/>
      <c r="JO186" s="49"/>
      <c r="JP186" s="49"/>
      <c r="JR186" s="49"/>
    </row>
    <row r="187" spans="237:278">
      <c r="IC187" s="49"/>
      <c r="IE187" s="49"/>
      <c r="IF187" s="49"/>
      <c r="IH187" s="49"/>
      <c r="II187" s="49"/>
      <c r="IK187" s="49"/>
      <c r="IL187" s="49"/>
      <c r="IN187" s="49"/>
      <c r="IO187" s="49"/>
      <c r="IQ187" s="49"/>
      <c r="IR187" s="49"/>
      <c r="IT187" s="49"/>
      <c r="IU187" s="49"/>
      <c r="IW187" s="49"/>
      <c r="IX187" s="49"/>
      <c r="IZ187" s="49"/>
      <c r="JA187" s="49"/>
      <c r="JC187" s="49"/>
      <c r="JD187" s="49"/>
      <c r="JF187" s="49"/>
      <c r="JG187" s="49"/>
      <c r="JI187" s="49"/>
      <c r="JJ187" s="49"/>
      <c r="JL187" s="49"/>
      <c r="JM187" s="49"/>
      <c r="JO187" s="49"/>
      <c r="JP187" s="49"/>
      <c r="JR187" s="49"/>
    </row>
    <row r="188" spans="237:278">
      <c r="IC188" s="49"/>
      <c r="IE188" s="49"/>
      <c r="IF188" s="49"/>
      <c r="IH188" s="49"/>
      <c r="II188" s="49"/>
      <c r="IK188" s="49"/>
      <c r="IL188" s="49"/>
      <c r="IN188" s="49"/>
      <c r="IO188" s="49"/>
      <c r="IQ188" s="49"/>
      <c r="IR188" s="49"/>
      <c r="IT188" s="49"/>
      <c r="IU188" s="49"/>
      <c r="IW188" s="49"/>
      <c r="IX188" s="49"/>
      <c r="IZ188" s="49"/>
      <c r="JA188" s="49"/>
      <c r="JC188" s="49"/>
      <c r="JD188" s="49"/>
      <c r="JF188" s="49"/>
      <c r="JG188" s="49"/>
      <c r="JI188" s="49"/>
      <c r="JJ188" s="49"/>
      <c r="JL188" s="49"/>
      <c r="JM188" s="49"/>
      <c r="JO188" s="49"/>
      <c r="JP188" s="49"/>
      <c r="JR188" s="49"/>
    </row>
    <row r="189" spans="237:278">
      <c r="IC189" s="49"/>
      <c r="IE189" s="49"/>
      <c r="IF189" s="49"/>
      <c r="IH189" s="49"/>
      <c r="II189" s="49"/>
      <c r="IK189" s="49"/>
      <c r="IL189" s="49"/>
      <c r="IN189" s="49"/>
      <c r="IO189" s="49"/>
      <c r="IQ189" s="49"/>
      <c r="IR189" s="49"/>
      <c r="IT189" s="49"/>
      <c r="IU189" s="49"/>
      <c r="IW189" s="49"/>
      <c r="IX189" s="49"/>
      <c r="IZ189" s="49"/>
      <c r="JA189" s="49"/>
      <c r="JC189" s="49"/>
      <c r="JD189" s="49"/>
      <c r="JF189" s="49"/>
      <c r="JG189" s="49"/>
      <c r="JI189" s="49"/>
      <c r="JJ189" s="49"/>
      <c r="JL189" s="49"/>
      <c r="JM189" s="49"/>
      <c r="JO189" s="49"/>
      <c r="JP189" s="49"/>
      <c r="JR189" s="49"/>
    </row>
    <row r="190" spans="237:278">
      <c r="IC190" s="49"/>
      <c r="IE190" s="49"/>
      <c r="IF190" s="49"/>
      <c r="IH190" s="49"/>
      <c r="II190" s="49"/>
      <c r="IK190" s="49"/>
      <c r="IL190" s="49"/>
      <c r="IN190" s="49"/>
      <c r="IO190" s="49"/>
      <c r="IQ190" s="49"/>
      <c r="IR190" s="49"/>
      <c r="IT190" s="49"/>
      <c r="IU190" s="49"/>
      <c r="IW190" s="49"/>
      <c r="IX190" s="49"/>
      <c r="IZ190" s="49"/>
      <c r="JA190" s="49"/>
      <c r="JC190" s="49"/>
      <c r="JD190" s="49"/>
      <c r="JF190" s="49"/>
      <c r="JG190" s="49"/>
      <c r="JI190" s="49"/>
      <c r="JJ190" s="49"/>
      <c r="JL190" s="49"/>
      <c r="JM190" s="49"/>
      <c r="JO190" s="49"/>
      <c r="JP190" s="49"/>
      <c r="JR190" s="49"/>
    </row>
    <row r="191" spans="237:278">
      <c r="IC191" s="49"/>
      <c r="IE191" s="49"/>
      <c r="IF191" s="49"/>
      <c r="IH191" s="49"/>
      <c r="II191" s="49"/>
      <c r="IK191" s="49"/>
      <c r="IL191" s="49"/>
      <c r="IN191" s="49"/>
      <c r="IO191" s="49"/>
      <c r="IQ191" s="49"/>
      <c r="IR191" s="49"/>
      <c r="IT191" s="49"/>
      <c r="IU191" s="49"/>
      <c r="IW191" s="49"/>
      <c r="IX191" s="49"/>
      <c r="IZ191" s="49"/>
      <c r="JA191" s="49"/>
      <c r="JC191" s="49"/>
      <c r="JD191" s="49"/>
      <c r="JF191" s="49"/>
      <c r="JG191" s="49"/>
      <c r="JI191" s="49"/>
      <c r="JJ191" s="49"/>
      <c r="JL191" s="49"/>
      <c r="JM191" s="49"/>
      <c r="JO191" s="49"/>
      <c r="JP191" s="49"/>
      <c r="JR191" s="49"/>
    </row>
    <row r="192" spans="237:278">
      <c r="IC192" s="49"/>
      <c r="IE192" s="49"/>
      <c r="IF192" s="49"/>
      <c r="IH192" s="49"/>
      <c r="II192" s="49"/>
      <c r="IK192" s="49"/>
      <c r="IL192" s="49"/>
      <c r="IN192" s="49"/>
      <c r="IO192" s="49"/>
      <c r="IQ192" s="49"/>
      <c r="IR192" s="49"/>
      <c r="IT192" s="49"/>
      <c r="IU192" s="49"/>
      <c r="IW192" s="49"/>
      <c r="IX192" s="49"/>
      <c r="IZ192" s="49"/>
      <c r="JA192" s="49"/>
      <c r="JC192" s="49"/>
      <c r="JD192" s="49"/>
      <c r="JF192" s="49"/>
      <c r="JG192" s="49"/>
      <c r="JI192" s="49"/>
      <c r="JJ192" s="49"/>
      <c r="JL192" s="49"/>
      <c r="JM192" s="49"/>
      <c r="JO192" s="49"/>
      <c r="JP192" s="49"/>
      <c r="JR192" s="49"/>
    </row>
    <row r="193" spans="237:278">
      <c r="IC193" s="49"/>
      <c r="IE193" s="49"/>
      <c r="IF193" s="49"/>
      <c r="IH193" s="49"/>
      <c r="II193" s="49"/>
      <c r="IK193" s="49"/>
      <c r="IL193" s="49"/>
      <c r="IN193" s="49"/>
      <c r="IO193" s="49"/>
      <c r="IQ193" s="49"/>
      <c r="IR193" s="49"/>
      <c r="IT193" s="49"/>
      <c r="IU193" s="49"/>
      <c r="IW193" s="49"/>
      <c r="IX193" s="49"/>
      <c r="IZ193" s="49"/>
      <c r="JA193" s="49"/>
      <c r="JC193" s="49"/>
      <c r="JD193" s="49"/>
      <c r="JF193" s="49"/>
      <c r="JG193" s="49"/>
      <c r="JI193" s="49"/>
      <c r="JJ193" s="49"/>
      <c r="JL193" s="49"/>
      <c r="JM193" s="49"/>
      <c r="JO193" s="49"/>
      <c r="JP193" s="49"/>
      <c r="JR193" s="49"/>
    </row>
    <row r="194" spans="237:278">
      <c r="IC194" s="49"/>
      <c r="IE194" s="49"/>
      <c r="IF194" s="49"/>
      <c r="IH194" s="49"/>
      <c r="II194" s="49"/>
      <c r="IK194" s="49"/>
      <c r="IL194" s="49"/>
      <c r="IN194" s="49"/>
      <c r="IO194" s="49"/>
      <c r="IQ194" s="49"/>
      <c r="IR194" s="49"/>
      <c r="IT194" s="49"/>
      <c r="IU194" s="49"/>
      <c r="IW194" s="49"/>
      <c r="IX194" s="49"/>
      <c r="IZ194" s="49"/>
      <c r="JA194" s="49"/>
      <c r="JC194" s="49"/>
      <c r="JD194" s="49"/>
      <c r="JF194" s="49"/>
      <c r="JG194" s="49"/>
      <c r="JI194" s="49"/>
      <c r="JJ194" s="49"/>
      <c r="JL194" s="49"/>
      <c r="JM194" s="49"/>
      <c r="JO194" s="49"/>
      <c r="JP194" s="49"/>
      <c r="JR194" s="49"/>
    </row>
    <row r="195" spans="237:278">
      <c r="IC195" s="49"/>
      <c r="IE195" s="49"/>
      <c r="IF195" s="49"/>
      <c r="IH195" s="49"/>
      <c r="II195" s="49"/>
      <c r="IK195" s="49"/>
      <c r="IL195" s="49"/>
      <c r="IN195" s="49"/>
      <c r="IO195" s="49"/>
      <c r="IQ195" s="49"/>
      <c r="IR195" s="49"/>
      <c r="IT195" s="49"/>
      <c r="IU195" s="49"/>
      <c r="IW195" s="49"/>
      <c r="IX195" s="49"/>
      <c r="IZ195" s="49"/>
      <c r="JA195" s="49"/>
      <c r="JC195" s="49"/>
      <c r="JD195" s="49"/>
      <c r="JF195" s="49"/>
      <c r="JG195" s="49"/>
      <c r="JI195" s="49"/>
      <c r="JJ195" s="49"/>
      <c r="JL195" s="49"/>
      <c r="JM195" s="49"/>
      <c r="JO195" s="49"/>
      <c r="JP195" s="49"/>
      <c r="JR195" s="49"/>
    </row>
    <row r="196" spans="237:278">
      <c r="IC196" s="49"/>
      <c r="IE196" s="49"/>
      <c r="IF196" s="49"/>
      <c r="IH196" s="49"/>
      <c r="II196" s="49"/>
      <c r="IK196" s="49"/>
      <c r="IL196" s="49"/>
      <c r="IN196" s="49"/>
      <c r="IO196" s="49"/>
      <c r="IQ196" s="49"/>
      <c r="IR196" s="49"/>
      <c r="IT196" s="49"/>
      <c r="IU196" s="49"/>
      <c r="IW196" s="49"/>
      <c r="IX196" s="49"/>
      <c r="IZ196" s="49"/>
      <c r="JA196" s="49"/>
      <c r="JC196" s="49"/>
      <c r="JD196" s="49"/>
      <c r="JF196" s="49"/>
      <c r="JG196" s="49"/>
      <c r="JI196" s="49"/>
      <c r="JJ196" s="49"/>
      <c r="JL196" s="49"/>
      <c r="JM196" s="49"/>
      <c r="JO196" s="49"/>
      <c r="JP196" s="49"/>
      <c r="JR196" s="49"/>
    </row>
    <row r="197" spans="237:278">
      <c r="IC197" s="49"/>
      <c r="IE197" s="49"/>
      <c r="IF197" s="49"/>
      <c r="IH197" s="49"/>
      <c r="II197" s="49"/>
      <c r="IK197" s="49"/>
      <c r="IL197" s="49"/>
      <c r="IN197" s="49"/>
      <c r="IO197" s="49"/>
      <c r="IQ197" s="49"/>
      <c r="IR197" s="49"/>
      <c r="IT197" s="49"/>
      <c r="IU197" s="49"/>
      <c r="IW197" s="49"/>
      <c r="IX197" s="49"/>
      <c r="IZ197" s="49"/>
      <c r="JA197" s="49"/>
      <c r="JC197" s="49"/>
      <c r="JD197" s="49"/>
      <c r="JF197" s="49"/>
      <c r="JG197" s="49"/>
      <c r="JI197" s="49"/>
      <c r="JJ197" s="49"/>
      <c r="JL197" s="49"/>
      <c r="JM197" s="49"/>
      <c r="JO197" s="49"/>
      <c r="JP197" s="49"/>
      <c r="JR197" s="49"/>
    </row>
    <row r="198" spans="237:278">
      <c r="IC198" s="49"/>
      <c r="IE198" s="49"/>
      <c r="IF198" s="49"/>
      <c r="IH198" s="49"/>
      <c r="II198" s="49"/>
      <c r="IK198" s="49"/>
      <c r="IL198" s="49"/>
      <c r="IN198" s="49"/>
      <c r="IO198" s="49"/>
      <c r="IQ198" s="49"/>
      <c r="IR198" s="49"/>
      <c r="IT198" s="49"/>
      <c r="IU198" s="49"/>
      <c r="IW198" s="49"/>
      <c r="IX198" s="49"/>
      <c r="IZ198" s="49"/>
      <c r="JA198" s="49"/>
      <c r="JC198" s="49"/>
      <c r="JD198" s="49"/>
      <c r="JF198" s="49"/>
      <c r="JG198" s="49"/>
      <c r="JI198" s="49"/>
      <c r="JJ198" s="49"/>
      <c r="JL198" s="49"/>
      <c r="JM198" s="49"/>
      <c r="JO198" s="49"/>
      <c r="JP198" s="49"/>
      <c r="JR198" s="49"/>
    </row>
    <row r="199" spans="237:278">
      <c r="IC199" s="49"/>
      <c r="IE199" s="49"/>
      <c r="IF199" s="49"/>
      <c r="IH199" s="49"/>
      <c r="II199" s="49"/>
      <c r="IK199" s="49"/>
      <c r="IL199" s="49"/>
      <c r="IN199" s="49"/>
      <c r="IO199" s="49"/>
      <c r="IQ199" s="49"/>
      <c r="IR199" s="49"/>
      <c r="IT199" s="49"/>
      <c r="IU199" s="49"/>
      <c r="IW199" s="49"/>
      <c r="IX199" s="49"/>
      <c r="IZ199" s="49"/>
      <c r="JA199" s="49"/>
      <c r="JC199" s="49"/>
      <c r="JD199" s="49"/>
      <c r="JF199" s="49"/>
      <c r="JG199" s="49"/>
      <c r="JI199" s="49"/>
      <c r="JJ199" s="49"/>
      <c r="JL199" s="49"/>
      <c r="JM199" s="49"/>
      <c r="JO199" s="49"/>
      <c r="JP199" s="49"/>
      <c r="JR199" s="49"/>
    </row>
    <row r="200" spans="237:278">
      <c r="IC200" s="49"/>
      <c r="IE200" s="49"/>
      <c r="IF200" s="49"/>
      <c r="IH200" s="49"/>
      <c r="II200" s="49"/>
      <c r="IK200" s="49"/>
      <c r="IL200" s="49"/>
      <c r="IN200" s="49"/>
      <c r="IO200" s="49"/>
      <c r="IQ200" s="49"/>
      <c r="IR200" s="49"/>
      <c r="IT200" s="49"/>
      <c r="IU200" s="49"/>
      <c r="IW200" s="49"/>
      <c r="IX200" s="49"/>
      <c r="IZ200" s="49"/>
      <c r="JA200" s="49"/>
      <c r="JC200" s="49"/>
      <c r="JD200" s="49"/>
      <c r="JF200" s="49"/>
      <c r="JG200" s="49"/>
      <c r="JI200" s="49"/>
      <c r="JJ200" s="49"/>
      <c r="JL200" s="49"/>
      <c r="JM200" s="49"/>
      <c r="JO200" s="49"/>
      <c r="JP200" s="49"/>
      <c r="JR200" s="49"/>
    </row>
    <row r="201" spans="237:278">
      <c r="IC201" s="49"/>
      <c r="IE201" s="49"/>
      <c r="IF201" s="49"/>
      <c r="IH201" s="49"/>
      <c r="II201" s="49"/>
      <c r="IK201" s="49"/>
      <c r="IL201" s="49"/>
      <c r="IN201" s="49"/>
      <c r="IO201" s="49"/>
      <c r="IQ201" s="49"/>
      <c r="IR201" s="49"/>
      <c r="IT201" s="49"/>
      <c r="IU201" s="49"/>
      <c r="IW201" s="49"/>
      <c r="IX201" s="49"/>
      <c r="IZ201" s="49"/>
      <c r="JA201" s="49"/>
      <c r="JC201" s="49"/>
      <c r="JD201" s="49"/>
      <c r="JF201" s="49"/>
      <c r="JG201" s="49"/>
      <c r="JI201" s="49"/>
      <c r="JJ201" s="49"/>
      <c r="JL201" s="49"/>
      <c r="JM201" s="49"/>
      <c r="JO201" s="49"/>
      <c r="JP201" s="49"/>
      <c r="JR201" s="49"/>
    </row>
    <row r="202" spans="237:278">
      <c r="IC202" s="49"/>
      <c r="IE202" s="49"/>
      <c r="IF202" s="49"/>
      <c r="IH202" s="49"/>
      <c r="II202" s="49"/>
      <c r="IK202" s="49"/>
      <c r="IL202" s="49"/>
      <c r="IN202" s="49"/>
      <c r="IO202" s="49"/>
      <c r="IQ202" s="49"/>
      <c r="IR202" s="49"/>
      <c r="IT202" s="49"/>
      <c r="IU202" s="49"/>
      <c r="IW202" s="49"/>
      <c r="IX202" s="49"/>
      <c r="IZ202" s="49"/>
      <c r="JA202" s="49"/>
      <c r="JC202" s="49"/>
      <c r="JD202" s="49"/>
      <c r="JF202" s="49"/>
      <c r="JG202" s="49"/>
      <c r="JI202" s="49"/>
      <c r="JJ202" s="49"/>
      <c r="JL202" s="49"/>
      <c r="JM202" s="49"/>
      <c r="JO202" s="49"/>
      <c r="JP202" s="49"/>
      <c r="JR202" s="49"/>
    </row>
    <row r="203" spans="237:278">
      <c r="IC203" s="49"/>
      <c r="IE203" s="49"/>
      <c r="IF203" s="49"/>
      <c r="IH203" s="49"/>
      <c r="II203" s="49"/>
      <c r="IK203" s="49"/>
      <c r="IL203" s="49"/>
      <c r="IN203" s="49"/>
      <c r="IO203" s="49"/>
      <c r="IQ203" s="49"/>
      <c r="IR203" s="49"/>
      <c r="IT203" s="49"/>
      <c r="IU203" s="49"/>
      <c r="IW203" s="49"/>
      <c r="IX203" s="49"/>
      <c r="IZ203" s="49"/>
      <c r="JA203" s="49"/>
      <c r="JC203" s="49"/>
      <c r="JD203" s="49"/>
      <c r="JF203" s="49"/>
      <c r="JG203" s="49"/>
      <c r="JI203" s="49"/>
      <c r="JJ203" s="49"/>
      <c r="JL203" s="49"/>
      <c r="JM203" s="49"/>
      <c r="JO203" s="49"/>
      <c r="JP203" s="49"/>
      <c r="JR203" s="49"/>
    </row>
    <row r="204" spans="237:278">
      <c r="IC204" s="49"/>
      <c r="IE204" s="49"/>
      <c r="IF204" s="49"/>
      <c r="IH204" s="49"/>
      <c r="II204" s="49"/>
      <c r="IK204" s="49"/>
      <c r="IL204" s="49"/>
      <c r="IN204" s="49"/>
      <c r="IO204" s="49"/>
      <c r="IQ204" s="49"/>
      <c r="IR204" s="49"/>
      <c r="IT204" s="49"/>
      <c r="IU204" s="49"/>
      <c r="IW204" s="49"/>
      <c r="IX204" s="49"/>
      <c r="IZ204" s="49"/>
      <c r="JA204" s="49"/>
      <c r="JC204" s="49"/>
      <c r="JD204" s="49"/>
      <c r="JF204" s="49"/>
      <c r="JG204" s="49"/>
      <c r="JI204" s="49"/>
      <c r="JJ204" s="49"/>
      <c r="JL204" s="49"/>
      <c r="JM204" s="49"/>
      <c r="JO204" s="49"/>
      <c r="JP204" s="49"/>
      <c r="JR204" s="49"/>
    </row>
    <row r="205" spans="237:278">
      <c r="IC205" s="49"/>
      <c r="IE205" s="49"/>
      <c r="IF205" s="49"/>
      <c r="IH205" s="49"/>
      <c r="II205" s="49"/>
      <c r="IK205" s="49"/>
      <c r="IL205" s="49"/>
      <c r="IN205" s="49"/>
      <c r="IO205" s="49"/>
      <c r="IQ205" s="49"/>
      <c r="IR205" s="49"/>
      <c r="IT205" s="49"/>
      <c r="IU205" s="49"/>
      <c r="IW205" s="49"/>
      <c r="IX205" s="49"/>
      <c r="IZ205" s="49"/>
      <c r="JA205" s="49"/>
      <c r="JC205" s="49"/>
      <c r="JD205" s="49"/>
      <c r="JF205" s="49"/>
      <c r="JG205" s="49"/>
      <c r="JI205" s="49"/>
      <c r="JJ205" s="49"/>
      <c r="JL205" s="49"/>
      <c r="JM205" s="49"/>
      <c r="JO205" s="49"/>
      <c r="JP205" s="49"/>
      <c r="JR205" s="49"/>
    </row>
    <row r="206" spans="237:278">
      <c r="IC206" s="49"/>
      <c r="IE206" s="49"/>
      <c r="IF206" s="49"/>
      <c r="IH206" s="49"/>
      <c r="II206" s="49"/>
      <c r="IK206" s="49"/>
      <c r="IL206" s="49"/>
      <c r="IN206" s="49"/>
      <c r="IO206" s="49"/>
      <c r="IQ206" s="49"/>
      <c r="IR206" s="49"/>
      <c r="IT206" s="49"/>
      <c r="IU206" s="49"/>
      <c r="IW206" s="49"/>
      <c r="IX206" s="49"/>
      <c r="IZ206" s="49"/>
      <c r="JA206" s="49"/>
      <c r="JC206" s="49"/>
      <c r="JD206" s="49"/>
      <c r="JF206" s="49"/>
      <c r="JG206" s="49"/>
      <c r="JI206" s="49"/>
      <c r="JJ206" s="49"/>
      <c r="JL206" s="49"/>
      <c r="JM206" s="49"/>
      <c r="JO206" s="49"/>
      <c r="JP206" s="49"/>
      <c r="JR206" s="49"/>
    </row>
    <row r="207" spans="237:278">
      <c r="IC207" s="49"/>
      <c r="IE207" s="49"/>
      <c r="IF207" s="49"/>
      <c r="IH207" s="49"/>
      <c r="II207" s="49"/>
      <c r="IK207" s="49"/>
      <c r="IL207" s="49"/>
      <c r="IN207" s="49"/>
      <c r="IO207" s="49"/>
      <c r="IQ207" s="49"/>
      <c r="IR207" s="49"/>
      <c r="IT207" s="49"/>
      <c r="IU207" s="49"/>
      <c r="IW207" s="49"/>
      <c r="IX207" s="49"/>
      <c r="IZ207" s="49"/>
      <c r="JA207" s="49"/>
      <c r="JC207" s="49"/>
      <c r="JD207" s="49"/>
      <c r="JF207" s="49"/>
      <c r="JG207" s="49"/>
      <c r="JI207" s="49"/>
      <c r="JJ207" s="49"/>
      <c r="JL207" s="49"/>
      <c r="JM207" s="49"/>
      <c r="JO207" s="49"/>
      <c r="JP207" s="49"/>
      <c r="JR207" s="49"/>
    </row>
    <row r="208" spans="237:278">
      <c r="IC208" s="49"/>
      <c r="IE208" s="49"/>
      <c r="IF208" s="49"/>
      <c r="IH208" s="49"/>
      <c r="II208" s="49"/>
      <c r="IK208" s="49"/>
      <c r="IL208" s="49"/>
      <c r="IN208" s="49"/>
      <c r="IO208" s="49"/>
      <c r="IQ208" s="49"/>
      <c r="IR208" s="49"/>
      <c r="IT208" s="49"/>
      <c r="IU208" s="49"/>
      <c r="IW208" s="49"/>
      <c r="IX208" s="49"/>
      <c r="IZ208" s="49"/>
      <c r="JA208" s="49"/>
      <c r="JC208" s="49"/>
      <c r="JD208" s="49"/>
      <c r="JF208" s="49"/>
      <c r="JG208" s="49"/>
      <c r="JI208" s="49"/>
      <c r="JJ208" s="49"/>
      <c r="JL208" s="49"/>
      <c r="JM208" s="49"/>
      <c r="JO208" s="49"/>
      <c r="JP208" s="49"/>
      <c r="JR208" s="49"/>
    </row>
    <row r="209" spans="237:278">
      <c r="IC209" s="49"/>
      <c r="IE209" s="49"/>
      <c r="IF209" s="49"/>
      <c r="IH209" s="49"/>
      <c r="II209" s="49"/>
      <c r="IK209" s="49"/>
      <c r="IL209" s="49"/>
      <c r="IN209" s="49"/>
      <c r="IO209" s="49"/>
      <c r="IQ209" s="49"/>
      <c r="IR209" s="49"/>
      <c r="IT209" s="49"/>
      <c r="IU209" s="49"/>
      <c r="IW209" s="49"/>
      <c r="IX209" s="49"/>
      <c r="IZ209" s="49"/>
      <c r="JA209" s="49"/>
      <c r="JC209" s="49"/>
      <c r="JD209" s="49"/>
      <c r="JF209" s="49"/>
      <c r="JG209" s="49"/>
      <c r="JI209" s="49"/>
      <c r="JJ209" s="49"/>
      <c r="JL209" s="49"/>
      <c r="JM209" s="49"/>
      <c r="JO209" s="49"/>
      <c r="JP209" s="49"/>
      <c r="JR209" s="49"/>
    </row>
    <row r="210" spans="237:278">
      <c r="IC210" s="49"/>
      <c r="IE210" s="49"/>
      <c r="IF210" s="49"/>
      <c r="IH210" s="49"/>
      <c r="II210" s="49"/>
      <c r="IK210" s="49"/>
      <c r="IL210" s="49"/>
      <c r="IN210" s="49"/>
      <c r="IO210" s="49"/>
      <c r="IQ210" s="49"/>
      <c r="IR210" s="49"/>
      <c r="IT210" s="49"/>
      <c r="IU210" s="49"/>
      <c r="IW210" s="49"/>
      <c r="IX210" s="49"/>
      <c r="IZ210" s="49"/>
      <c r="JA210" s="49"/>
      <c r="JC210" s="49"/>
      <c r="JD210" s="49"/>
      <c r="JF210" s="49"/>
      <c r="JG210" s="49"/>
      <c r="JI210" s="49"/>
      <c r="JJ210" s="49"/>
      <c r="JL210" s="49"/>
      <c r="JM210" s="49"/>
      <c r="JO210" s="49"/>
      <c r="JP210" s="49"/>
      <c r="JR210" s="49"/>
    </row>
    <row r="211" spans="237:278">
      <c r="IC211" s="49"/>
      <c r="IE211" s="49"/>
      <c r="IF211" s="49"/>
      <c r="IH211" s="49"/>
      <c r="II211" s="49"/>
      <c r="IK211" s="49"/>
      <c r="IL211" s="49"/>
      <c r="IN211" s="49"/>
      <c r="IO211" s="49"/>
      <c r="IQ211" s="49"/>
      <c r="IR211" s="49"/>
      <c r="IT211" s="49"/>
      <c r="IU211" s="49"/>
      <c r="IW211" s="49"/>
      <c r="IX211" s="49"/>
      <c r="IZ211" s="49"/>
      <c r="JA211" s="49"/>
      <c r="JC211" s="49"/>
      <c r="JD211" s="49"/>
      <c r="JF211" s="49"/>
      <c r="JG211" s="49"/>
      <c r="JI211" s="49"/>
      <c r="JJ211" s="49"/>
      <c r="JL211" s="49"/>
      <c r="JM211" s="49"/>
      <c r="JO211" s="49"/>
      <c r="JP211" s="49"/>
      <c r="JR211" s="49"/>
    </row>
    <row r="212" spans="237:278">
      <c r="IC212" s="49"/>
      <c r="IE212" s="49"/>
      <c r="IF212" s="49"/>
      <c r="IH212" s="49"/>
      <c r="II212" s="49"/>
      <c r="IK212" s="49"/>
      <c r="IL212" s="49"/>
      <c r="IN212" s="49"/>
      <c r="IO212" s="49"/>
      <c r="IQ212" s="49"/>
      <c r="IR212" s="49"/>
      <c r="IT212" s="49"/>
      <c r="IU212" s="49"/>
      <c r="IW212" s="49"/>
      <c r="IX212" s="49"/>
      <c r="IZ212" s="49"/>
      <c r="JA212" s="49"/>
      <c r="JC212" s="49"/>
      <c r="JD212" s="49"/>
      <c r="JF212" s="49"/>
      <c r="JG212" s="49"/>
      <c r="JI212" s="49"/>
      <c r="JJ212" s="49"/>
      <c r="JL212" s="49"/>
      <c r="JM212" s="49"/>
      <c r="JO212" s="49"/>
      <c r="JP212" s="49"/>
      <c r="JR212" s="49"/>
    </row>
    <row r="213" spans="237:278">
      <c r="IC213" s="49"/>
      <c r="IE213" s="49"/>
      <c r="IF213" s="49"/>
      <c r="IH213" s="49"/>
      <c r="II213" s="49"/>
      <c r="IK213" s="49"/>
      <c r="IL213" s="49"/>
      <c r="IN213" s="49"/>
      <c r="IO213" s="49"/>
      <c r="IQ213" s="49"/>
      <c r="IR213" s="49"/>
      <c r="IT213" s="49"/>
      <c r="IU213" s="49"/>
      <c r="IW213" s="49"/>
      <c r="IX213" s="49"/>
      <c r="IZ213" s="49"/>
      <c r="JA213" s="49"/>
      <c r="JC213" s="49"/>
      <c r="JD213" s="49"/>
      <c r="JF213" s="49"/>
      <c r="JG213" s="49"/>
      <c r="JI213" s="49"/>
      <c r="JJ213" s="49"/>
      <c r="JL213" s="49"/>
      <c r="JM213" s="49"/>
      <c r="JO213" s="49"/>
      <c r="JP213" s="49"/>
      <c r="JR213" s="49"/>
    </row>
    <row r="214" spans="237:278">
      <c r="IC214" s="49"/>
      <c r="IE214" s="49"/>
      <c r="IF214" s="49"/>
      <c r="IH214" s="49"/>
      <c r="II214" s="49"/>
      <c r="IK214" s="49"/>
      <c r="IL214" s="49"/>
      <c r="IN214" s="49"/>
      <c r="IO214" s="49"/>
      <c r="IQ214" s="49"/>
      <c r="IR214" s="49"/>
      <c r="IT214" s="49"/>
      <c r="IU214" s="49"/>
      <c r="IW214" s="49"/>
      <c r="IX214" s="49"/>
      <c r="IZ214" s="49"/>
      <c r="JA214" s="49"/>
      <c r="JC214" s="49"/>
      <c r="JD214" s="49"/>
      <c r="JF214" s="49"/>
      <c r="JG214" s="49"/>
      <c r="JI214" s="49"/>
      <c r="JJ214" s="49"/>
      <c r="JL214" s="49"/>
      <c r="JM214" s="49"/>
      <c r="JO214" s="49"/>
      <c r="JP214" s="49"/>
      <c r="JR214" s="49"/>
    </row>
    <row r="215" spans="237:278">
      <c r="IC215" s="49"/>
      <c r="IE215" s="49"/>
      <c r="IF215" s="49"/>
      <c r="IH215" s="49"/>
      <c r="II215" s="49"/>
      <c r="IK215" s="49"/>
      <c r="IL215" s="49"/>
      <c r="IN215" s="49"/>
      <c r="IO215" s="49"/>
      <c r="IQ215" s="49"/>
      <c r="IR215" s="49"/>
      <c r="IT215" s="49"/>
      <c r="IU215" s="49"/>
      <c r="IW215" s="49"/>
      <c r="IX215" s="49"/>
      <c r="IZ215" s="49"/>
      <c r="JA215" s="49"/>
      <c r="JC215" s="49"/>
      <c r="JD215" s="49"/>
      <c r="JF215" s="49"/>
      <c r="JG215" s="49"/>
      <c r="JI215" s="49"/>
      <c r="JJ215" s="49"/>
      <c r="JL215" s="49"/>
      <c r="JM215" s="49"/>
      <c r="JO215" s="49"/>
      <c r="JP215" s="49"/>
      <c r="JR215" s="49"/>
    </row>
    <row r="216" spans="237:278">
      <c r="IC216" s="49"/>
      <c r="IE216" s="49"/>
      <c r="IF216" s="49"/>
      <c r="IH216" s="49"/>
      <c r="II216" s="49"/>
      <c r="IK216" s="49"/>
      <c r="IL216" s="49"/>
      <c r="IN216" s="49"/>
      <c r="IO216" s="49"/>
      <c r="IQ216" s="49"/>
      <c r="IR216" s="49"/>
      <c r="IT216" s="49"/>
      <c r="IU216" s="49"/>
      <c r="IW216" s="49"/>
      <c r="IX216" s="49"/>
      <c r="IZ216" s="49"/>
      <c r="JA216" s="49"/>
      <c r="JC216" s="49"/>
      <c r="JD216" s="49"/>
      <c r="JF216" s="49"/>
      <c r="JG216" s="49"/>
      <c r="JI216" s="49"/>
      <c r="JJ216" s="49"/>
      <c r="JL216" s="49"/>
      <c r="JM216" s="49"/>
      <c r="JO216" s="49"/>
      <c r="JP216" s="49"/>
      <c r="JR216" s="49"/>
    </row>
    <row r="217" spans="237:278">
      <c r="IC217" s="49"/>
      <c r="IE217" s="49"/>
      <c r="IF217" s="49"/>
      <c r="IH217" s="49"/>
      <c r="II217" s="49"/>
      <c r="IK217" s="49"/>
      <c r="IL217" s="49"/>
      <c r="IN217" s="49"/>
      <c r="IO217" s="49"/>
      <c r="IQ217" s="49"/>
      <c r="IR217" s="49"/>
      <c r="IT217" s="49"/>
      <c r="IU217" s="49"/>
      <c r="IW217" s="49"/>
      <c r="IX217" s="49"/>
      <c r="IZ217" s="49"/>
      <c r="JA217" s="49"/>
      <c r="JC217" s="49"/>
      <c r="JD217" s="49"/>
      <c r="JF217" s="49"/>
      <c r="JG217" s="49"/>
      <c r="JI217" s="49"/>
      <c r="JJ217" s="49"/>
      <c r="JL217" s="49"/>
      <c r="JM217" s="49"/>
      <c r="JO217" s="49"/>
      <c r="JP217" s="49"/>
      <c r="JR217" s="49"/>
    </row>
    <row r="218" spans="237:278">
      <c r="IC218" s="49"/>
      <c r="IE218" s="49"/>
      <c r="IF218" s="49"/>
      <c r="IH218" s="49"/>
      <c r="II218" s="49"/>
      <c r="IK218" s="49"/>
      <c r="IL218" s="49"/>
      <c r="IN218" s="49"/>
      <c r="IO218" s="49"/>
      <c r="IQ218" s="49"/>
      <c r="IR218" s="49"/>
      <c r="IT218" s="49"/>
      <c r="IU218" s="49"/>
      <c r="IW218" s="49"/>
      <c r="IX218" s="49"/>
      <c r="IZ218" s="49"/>
      <c r="JA218" s="49"/>
      <c r="JC218" s="49"/>
      <c r="JD218" s="49"/>
      <c r="JF218" s="49"/>
      <c r="JG218" s="49"/>
      <c r="JI218" s="49"/>
      <c r="JJ218" s="49"/>
      <c r="JL218" s="49"/>
      <c r="JM218" s="49"/>
      <c r="JO218" s="49"/>
      <c r="JP218" s="49"/>
      <c r="JR218" s="49"/>
    </row>
    <row r="219" spans="237:278">
      <c r="IC219" s="49"/>
      <c r="IE219" s="49"/>
      <c r="IF219" s="49"/>
      <c r="IH219" s="49"/>
      <c r="II219" s="49"/>
      <c r="IK219" s="49"/>
      <c r="IL219" s="49"/>
      <c r="IN219" s="49"/>
      <c r="IO219" s="49"/>
      <c r="IQ219" s="49"/>
      <c r="IR219" s="49"/>
      <c r="IT219" s="49"/>
      <c r="IU219" s="49"/>
      <c r="IW219" s="49"/>
      <c r="IX219" s="49"/>
      <c r="IZ219" s="49"/>
      <c r="JA219" s="49"/>
      <c r="JC219" s="49"/>
      <c r="JD219" s="49"/>
      <c r="JF219" s="49"/>
      <c r="JG219" s="49"/>
      <c r="JI219" s="49"/>
      <c r="JJ219" s="49"/>
      <c r="JL219" s="49"/>
      <c r="JM219" s="49"/>
      <c r="JO219" s="49"/>
      <c r="JP219" s="49"/>
      <c r="JR219" s="49"/>
    </row>
    <row r="220" spans="237:278">
      <c r="IC220" s="49"/>
      <c r="IE220" s="49"/>
      <c r="IF220" s="49"/>
      <c r="IH220" s="49"/>
      <c r="II220" s="49"/>
      <c r="IK220" s="49"/>
      <c r="IL220" s="49"/>
      <c r="IN220" s="49"/>
      <c r="IO220" s="49"/>
      <c r="IQ220" s="49"/>
      <c r="IR220" s="49"/>
      <c r="IT220" s="49"/>
      <c r="IU220" s="49"/>
      <c r="IW220" s="49"/>
      <c r="IX220" s="49"/>
      <c r="IZ220" s="49"/>
      <c r="JA220" s="49"/>
      <c r="JC220" s="49"/>
      <c r="JD220" s="49"/>
      <c r="JF220" s="49"/>
      <c r="JG220" s="49"/>
      <c r="JI220" s="49"/>
      <c r="JJ220" s="49"/>
      <c r="JL220" s="49"/>
      <c r="JM220" s="49"/>
      <c r="JO220" s="49"/>
      <c r="JP220" s="49"/>
      <c r="JR220" s="49"/>
    </row>
    <row r="221" spans="237:278">
      <c r="IC221" s="49"/>
      <c r="IE221" s="49"/>
      <c r="IF221" s="49"/>
      <c r="IH221" s="49"/>
      <c r="II221" s="49"/>
      <c r="IK221" s="49"/>
      <c r="IL221" s="49"/>
      <c r="IN221" s="49"/>
      <c r="IO221" s="49"/>
      <c r="IQ221" s="49"/>
      <c r="IR221" s="49"/>
      <c r="IT221" s="49"/>
      <c r="IU221" s="49"/>
      <c r="IW221" s="49"/>
      <c r="IX221" s="49"/>
      <c r="IZ221" s="49"/>
      <c r="JA221" s="49"/>
      <c r="JC221" s="49"/>
      <c r="JD221" s="49"/>
      <c r="JF221" s="49"/>
      <c r="JG221" s="49"/>
      <c r="JI221" s="49"/>
      <c r="JJ221" s="49"/>
      <c r="JL221" s="49"/>
      <c r="JM221" s="49"/>
      <c r="JO221" s="49"/>
      <c r="JP221" s="49"/>
      <c r="JR221" s="49"/>
    </row>
    <row r="222" spans="237:278">
      <c r="IC222" s="49"/>
      <c r="IE222" s="49"/>
      <c r="IF222" s="49"/>
      <c r="IH222" s="49"/>
      <c r="II222" s="49"/>
      <c r="IK222" s="49"/>
      <c r="IL222" s="49"/>
      <c r="IN222" s="49"/>
      <c r="IO222" s="49"/>
      <c r="IQ222" s="49"/>
      <c r="IR222" s="49"/>
      <c r="IT222" s="49"/>
      <c r="IU222" s="49"/>
      <c r="IW222" s="49"/>
      <c r="IX222" s="49"/>
      <c r="IZ222" s="49"/>
      <c r="JA222" s="49"/>
      <c r="JC222" s="49"/>
      <c r="JD222" s="49"/>
      <c r="JF222" s="49"/>
      <c r="JG222" s="49"/>
      <c r="JI222" s="49"/>
      <c r="JJ222" s="49"/>
      <c r="JL222" s="49"/>
      <c r="JM222" s="49"/>
      <c r="JO222" s="49"/>
      <c r="JP222" s="49"/>
      <c r="JR222" s="49"/>
    </row>
    <row r="223" spans="237:278">
      <c r="IC223" s="49"/>
      <c r="IE223" s="49"/>
      <c r="IF223" s="49"/>
      <c r="IH223" s="49"/>
      <c r="II223" s="49"/>
      <c r="IK223" s="49"/>
      <c r="IL223" s="49"/>
      <c r="IN223" s="49"/>
      <c r="IO223" s="49"/>
      <c r="IQ223" s="49"/>
      <c r="IR223" s="49"/>
      <c r="IT223" s="49"/>
      <c r="IU223" s="49"/>
      <c r="IW223" s="49"/>
      <c r="IX223" s="49"/>
      <c r="IZ223" s="49"/>
      <c r="JA223" s="49"/>
      <c r="JC223" s="49"/>
      <c r="JD223" s="49"/>
      <c r="JF223" s="49"/>
      <c r="JG223" s="49"/>
      <c r="JI223" s="49"/>
      <c r="JJ223" s="49"/>
      <c r="JL223" s="49"/>
      <c r="JM223" s="49"/>
      <c r="JO223" s="49"/>
      <c r="JP223" s="49"/>
      <c r="JR223" s="49"/>
    </row>
    <row r="224" spans="237:278">
      <c r="IC224" s="49"/>
      <c r="IE224" s="49"/>
      <c r="IF224" s="49"/>
      <c r="IH224" s="49"/>
      <c r="II224" s="49"/>
      <c r="IK224" s="49"/>
      <c r="IL224" s="49"/>
      <c r="IN224" s="49"/>
      <c r="IO224" s="49"/>
      <c r="IQ224" s="49"/>
      <c r="IR224" s="49"/>
      <c r="IT224" s="49"/>
      <c r="IU224" s="49"/>
      <c r="IW224" s="49"/>
      <c r="IX224" s="49"/>
      <c r="IZ224" s="49"/>
      <c r="JA224" s="49"/>
      <c r="JC224" s="49"/>
      <c r="JD224" s="49"/>
      <c r="JF224" s="49"/>
      <c r="JG224" s="49"/>
      <c r="JI224" s="49"/>
      <c r="JJ224" s="49"/>
      <c r="JL224" s="49"/>
      <c r="JM224" s="49"/>
      <c r="JO224" s="49"/>
      <c r="JP224" s="49"/>
      <c r="JR224" s="49"/>
    </row>
    <row r="225" spans="237:278">
      <c r="IC225" s="49"/>
      <c r="IE225" s="49"/>
      <c r="IF225" s="49"/>
      <c r="IH225" s="49"/>
      <c r="II225" s="49"/>
      <c r="IK225" s="49"/>
      <c r="IL225" s="49"/>
      <c r="IN225" s="49"/>
      <c r="IO225" s="49"/>
      <c r="IQ225" s="49"/>
      <c r="IR225" s="49"/>
      <c r="IT225" s="49"/>
      <c r="IU225" s="49"/>
      <c r="IW225" s="49"/>
      <c r="IX225" s="49"/>
      <c r="IZ225" s="49"/>
      <c r="JA225" s="49"/>
      <c r="JC225" s="49"/>
      <c r="JD225" s="49"/>
      <c r="JF225" s="49"/>
      <c r="JG225" s="49"/>
      <c r="JI225" s="49"/>
      <c r="JJ225" s="49"/>
      <c r="JL225" s="49"/>
      <c r="JM225" s="49"/>
      <c r="JO225" s="49"/>
      <c r="JP225" s="49"/>
      <c r="JR225" s="49"/>
    </row>
    <row r="226" spans="237:278">
      <c r="IC226" s="49"/>
      <c r="IE226" s="49"/>
      <c r="IF226" s="49"/>
      <c r="IH226" s="49"/>
      <c r="II226" s="49"/>
      <c r="IK226" s="49"/>
      <c r="IL226" s="49"/>
      <c r="IN226" s="49"/>
      <c r="IO226" s="49"/>
      <c r="IQ226" s="49"/>
      <c r="IR226" s="49"/>
      <c r="IT226" s="49"/>
      <c r="IU226" s="49"/>
      <c r="IW226" s="49"/>
      <c r="IX226" s="49"/>
      <c r="IZ226" s="49"/>
      <c r="JA226" s="49"/>
      <c r="JC226" s="49"/>
      <c r="JD226" s="49"/>
      <c r="JF226" s="49"/>
      <c r="JG226" s="49"/>
      <c r="JI226" s="49"/>
      <c r="JJ226" s="49"/>
      <c r="JL226" s="49"/>
      <c r="JM226" s="49"/>
      <c r="JO226" s="49"/>
      <c r="JP226" s="49"/>
      <c r="JR226" s="49"/>
    </row>
    <row r="227" spans="237:278">
      <c r="IC227" s="49"/>
      <c r="IE227" s="49"/>
      <c r="IF227" s="49"/>
      <c r="IH227" s="49"/>
      <c r="II227" s="49"/>
      <c r="IK227" s="49"/>
      <c r="IL227" s="49"/>
      <c r="IN227" s="49"/>
      <c r="IO227" s="49"/>
      <c r="IQ227" s="49"/>
      <c r="IR227" s="49"/>
      <c r="IT227" s="49"/>
      <c r="IU227" s="49"/>
      <c r="IW227" s="49"/>
      <c r="IX227" s="49"/>
      <c r="IZ227" s="49"/>
      <c r="JA227" s="49"/>
      <c r="JC227" s="49"/>
      <c r="JD227" s="49"/>
      <c r="JF227" s="49"/>
      <c r="JG227" s="49"/>
      <c r="JI227" s="49"/>
      <c r="JJ227" s="49"/>
      <c r="JL227" s="49"/>
      <c r="JM227" s="49"/>
      <c r="JO227" s="49"/>
      <c r="JP227" s="49"/>
      <c r="JR227" s="49"/>
    </row>
    <row r="228" spans="237:278">
      <c r="IC228" s="49"/>
      <c r="IE228" s="49"/>
      <c r="IF228" s="49"/>
      <c r="IH228" s="49"/>
      <c r="II228" s="49"/>
      <c r="IK228" s="49"/>
      <c r="IL228" s="49"/>
      <c r="IN228" s="49"/>
      <c r="IO228" s="49"/>
      <c r="IQ228" s="49"/>
      <c r="IR228" s="49"/>
      <c r="IT228" s="49"/>
      <c r="IU228" s="49"/>
      <c r="IW228" s="49"/>
      <c r="IX228" s="49"/>
      <c r="IZ228" s="49"/>
      <c r="JA228" s="49"/>
      <c r="JC228" s="49"/>
      <c r="JD228" s="49"/>
      <c r="JF228" s="49"/>
      <c r="JG228" s="49"/>
      <c r="JI228" s="49"/>
      <c r="JJ228" s="49"/>
      <c r="JL228" s="49"/>
      <c r="JM228" s="49"/>
      <c r="JO228" s="49"/>
      <c r="JP228" s="49"/>
      <c r="JR228" s="49"/>
    </row>
    <row r="229" spans="237:278">
      <c r="IC229" s="49"/>
      <c r="IE229" s="49"/>
      <c r="IF229" s="49"/>
      <c r="IH229" s="49"/>
      <c r="II229" s="49"/>
      <c r="IK229" s="49"/>
      <c r="IL229" s="49"/>
      <c r="IN229" s="49"/>
      <c r="IO229" s="49"/>
      <c r="IQ229" s="49"/>
      <c r="IR229" s="49"/>
      <c r="IT229" s="49"/>
      <c r="IU229" s="49"/>
      <c r="IW229" s="49"/>
      <c r="IX229" s="49"/>
      <c r="IZ229" s="49"/>
      <c r="JA229" s="49"/>
      <c r="JC229" s="49"/>
      <c r="JD229" s="49"/>
      <c r="JF229" s="49"/>
      <c r="JG229" s="49"/>
      <c r="JI229" s="49"/>
      <c r="JJ229" s="49"/>
      <c r="JL229" s="49"/>
      <c r="JM229" s="49"/>
      <c r="JO229" s="49"/>
      <c r="JP229" s="49"/>
      <c r="JR229" s="49"/>
    </row>
    <row r="230" spans="237:278">
      <c r="IC230" s="49"/>
      <c r="IE230" s="49"/>
      <c r="IF230" s="49"/>
      <c r="IH230" s="49"/>
      <c r="II230" s="49"/>
      <c r="IK230" s="49"/>
      <c r="IL230" s="49"/>
      <c r="IN230" s="49"/>
      <c r="IO230" s="49"/>
      <c r="IQ230" s="49"/>
      <c r="IR230" s="49"/>
      <c r="IT230" s="49"/>
      <c r="IU230" s="49"/>
      <c r="IW230" s="49"/>
      <c r="IX230" s="49"/>
      <c r="IZ230" s="49"/>
      <c r="JA230" s="49"/>
      <c r="JC230" s="49"/>
      <c r="JD230" s="49"/>
      <c r="JF230" s="49"/>
      <c r="JG230" s="49"/>
      <c r="JI230" s="49"/>
      <c r="JJ230" s="49"/>
      <c r="JL230" s="49"/>
      <c r="JM230" s="49"/>
      <c r="JO230" s="49"/>
      <c r="JP230" s="49"/>
      <c r="JR230" s="49"/>
    </row>
    <row r="231" spans="237:278">
      <c r="IC231" s="49"/>
      <c r="IE231" s="49"/>
      <c r="IF231" s="49"/>
      <c r="IH231" s="49"/>
      <c r="II231" s="49"/>
      <c r="IK231" s="49"/>
      <c r="IL231" s="49"/>
      <c r="IN231" s="49"/>
      <c r="IO231" s="49"/>
      <c r="IQ231" s="49"/>
      <c r="IR231" s="49"/>
      <c r="IT231" s="49"/>
      <c r="IU231" s="49"/>
      <c r="IW231" s="49"/>
      <c r="IX231" s="49"/>
      <c r="IZ231" s="49"/>
      <c r="JA231" s="49"/>
      <c r="JC231" s="49"/>
      <c r="JD231" s="49"/>
      <c r="JF231" s="49"/>
      <c r="JG231" s="49"/>
      <c r="JI231" s="49"/>
      <c r="JJ231" s="49"/>
      <c r="JL231" s="49"/>
      <c r="JM231" s="49"/>
      <c r="JO231" s="49"/>
      <c r="JP231" s="49"/>
      <c r="JR231" s="49"/>
    </row>
    <row r="232" spans="237:278">
      <c r="IC232" s="49"/>
      <c r="IE232" s="49"/>
      <c r="IF232" s="49"/>
      <c r="IH232" s="49"/>
      <c r="II232" s="49"/>
      <c r="IK232" s="49"/>
      <c r="IL232" s="49"/>
      <c r="IN232" s="49"/>
      <c r="IO232" s="49"/>
      <c r="IQ232" s="49"/>
      <c r="IR232" s="49"/>
      <c r="IT232" s="49"/>
      <c r="IU232" s="49"/>
      <c r="IW232" s="49"/>
      <c r="IX232" s="49"/>
      <c r="IZ232" s="49"/>
      <c r="JA232" s="49"/>
      <c r="JC232" s="49"/>
      <c r="JD232" s="49"/>
      <c r="JF232" s="49"/>
      <c r="JG232" s="49"/>
      <c r="JI232" s="49"/>
      <c r="JJ232" s="49"/>
      <c r="JL232" s="49"/>
      <c r="JM232" s="49"/>
      <c r="JO232" s="49"/>
      <c r="JP232" s="49"/>
      <c r="JR232" s="49"/>
    </row>
    <row r="233" spans="237:278">
      <c r="IC233" s="49"/>
      <c r="IE233" s="49"/>
      <c r="IF233" s="49"/>
      <c r="IH233" s="49"/>
      <c r="II233" s="49"/>
      <c r="IK233" s="49"/>
      <c r="IL233" s="49"/>
      <c r="IN233" s="49"/>
      <c r="IO233" s="49"/>
      <c r="IQ233" s="49"/>
      <c r="IR233" s="49"/>
      <c r="IT233" s="49"/>
      <c r="IU233" s="49"/>
      <c r="IW233" s="49"/>
      <c r="IX233" s="49"/>
      <c r="IZ233" s="49"/>
      <c r="JA233" s="49"/>
      <c r="JC233" s="49"/>
      <c r="JD233" s="49"/>
      <c r="JF233" s="49"/>
      <c r="JG233" s="49"/>
      <c r="JI233" s="49"/>
      <c r="JJ233" s="49"/>
      <c r="JL233" s="49"/>
      <c r="JM233" s="49"/>
      <c r="JO233" s="49"/>
      <c r="JP233" s="49"/>
      <c r="JR233" s="49"/>
    </row>
    <row r="234" spans="237:278">
      <c r="IC234" s="49"/>
      <c r="IE234" s="49"/>
      <c r="IF234" s="49"/>
      <c r="IH234" s="49"/>
      <c r="II234" s="49"/>
      <c r="IK234" s="49"/>
      <c r="IL234" s="49"/>
      <c r="IN234" s="49"/>
      <c r="IO234" s="49"/>
      <c r="IQ234" s="49"/>
      <c r="IR234" s="49"/>
      <c r="IT234" s="49"/>
      <c r="IU234" s="49"/>
      <c r="IW234" s="49"/>
      <c r="IX234" s="49"/>
      <c r="IZ234" s="49"/>
      <c r="JA234" s="49"/>
      <c r="JC234" s="49"/>
      <c r="JD234" s="49"/>
      <c r="JF234" s="49"/>
      <c r="JG234" s="49"/>
      <c r="JI234" s="49"/>
      <c r="JJ234" s="49"/>
      <c r="JL234" s="49"/>
      <c r="JM234" s="49"/>
      <c r="JO234" s="49"/>
      <c r="JP234" s="49"/>
      <c r="JR234" s="49"/>
    </row>
    <row r="235" spans="237:278">
      <c r="IC235" s="49"/>
      <c r="IE235" s="49"/>
      <c r="IF235" s="49"/>
      <c r="IH235" s="49"/>
      <c r="II235" s="49"/>
      <c r="IK235" s="49"/>
      <c r="IL235" s="49"/>
      <c r="IN235" s="49"/>
      <c r="IO235" s="49"/>
      <c r="IQ235" s="49"/>
      <c r="IR235" s="49"/>
      <c r="IT235" s="49"/>
      <c r="IU235" s="49"/>
      <c r="IW235" s="49"/>
      <c r="IX235" s="49"/>
      <c r="IZ235" s="49"/>
      <c r="JA235" s="49"/>
      <c r="JC235" s="49"/>
      <c r="JD235" s="49"/>
      <c r="JF235" s="49"/>
      <c r="JG235" s="49"/>
      <c r="JI235" s="49"/>
      <c r="JJ235" s="49"/>
      <c r="JL235" s="49"/>
      <c r="JM235" s="49"/>
      <c r="JO235" s="49"/>
      <c r="JP235" s="49"/>
      <c r="JR235" s="49"/>
    </row>
    <row r="236" spans="237:278">
      <c r="IC236" s="49"/>
      <c r="IE236" s="49"/>
      <c r="IF236" s="49"/>
      <c r="IH236" s="49"/>
      <c r="II236" s="49"/>
      <c r="IK236" s="49"/>
      <c r="IL236" s="49"/>
      <c r="IN236" s="49"/>
      <c r="IO236" s="49"/>
      <c r="IQ236" s="49"/>
      <c r="IR236" s="49"/>
      <c r="IT236" s="49"/>
      <c r="IU236" s="49"/>
      <c r="IW236" s="49"/>
      <c r="IX236" s="49"/>
      <c r="IZ236" s="49"/>
      <c r="JA236" s="49"/>
      <c r="JC236" s="49"/>
      <c r="JD236" s="49"/>
      <c r="JF236" s="49"/>
      <c r="JG236" s="49"/>
      <c r="JI236" s="49"/>
      <c r="JJ236" s="49"/>
      <c r="JL236" s="49"/>
      <c r="JM236" s="49"/>
      <c r="JO236" s="49"/>
      <c r="JP236" s="49"/>
      <c r="JR236" s="49"/>
    </row>
    <row r="237" spans="237:278">
      <c r="IC237" s="49"/>
      <c r="IE237" s="49"/>
      <c r="IF237" s="49"/>
      <c r="IH237" s="49"/>
      <c r="II237" s="49"/>
      <c r="IK237" s="49"/>
      <c r="IL237" s="49"/>
      <c r="IN237" s="49"/>
      <c r="IO237" s="49"/>
      <c r="IQ237" s="49"/>
      <c r="IR237" s="49"/>
      <c r="IT237" s="49"/>
      <c r="IU237" s="49"/>
      <c r="IW237" s="49"/>
      <c r="IX237" s="49"/>
      <c r="IZ237" s="49"/>
      <c r="JA237" s="49"/>
      <c r="JC237" s="49"/>
      <c r="JD237" s="49"/>
      <c r="JF237" s="49"/>
      <c r="JG237" s="49"/>
      <c r="JI237" s="49"/>
      <c r="JJ237" s="49"/>
      <c r="JL237" s="49"/>
      <c r="JM237" s="49"/>
      <c r="JO237" s="49"/>
      <c r="JP237" s="49"/>
      <c r="JR237" s="49"/>
    </row>
    <row r="238" spans="237:278">
      <c r="IC238" s="49"/>
      <c r="IE238" s="49"/>
      <c r="IF238" s="49"/>
      <c r="IH238" s="49"/>
      <c r="II238" s="49"/>
      <c r="IK238" s="49"/>
      <c r="IL238" s="49"/>
      <c r="IN238" s="49"/>
      <c r="IO238" s="49"/>
      <c r="IQ238" s="49"/>
      <c r="IR238" s="49"/>
      <c r="IT238" s="49"/>
      <c r="IU238" s="49"/>
      <c r="IW238" s="49"/>
      <c r="IX238" s="49"/>
      <c r="IZ238" s="49"/>
      <c r="JA238" s="49"/>
      <c r="JC238" s="49"/>
      <c r="JD238" s="49"/>
      <c r="JF238" s="49"/>
      <c r="JG238" s="49"/>
      <c r="JI238" s="49"/>
      <c r="JJ238" s="49"/>
      <c r="JL238" s="49"/>
      <c r="JM238" s="49"/>
      <c r="JO238" s="49"/>
      <c r="JP238" s="49"/>
      <c r="JR238" s="49"/>
    </row>
    <row r="239" spans="237:278">
      <c r="IC239" s="49"/>
      <c r="IE239" s="49"/>
      <c r="IF239" s="49"/>
      <c r="IH239" s="49"/>
      <c r="II239" s="49"/>
      <c r="IK239" s="49"/>
      <c r="IL239" s="49"/>
      <c r="IN239" s="49"/>
      <c r="IO239" s="49"/>
      <c r="IQ239" s="49"/>
      <c r="IR239" s="49"/>
      <c r="IT239" s="49"/>
      <c r="IU239" s="49"/>
      <c r="IW239" s="49"/>
      <c r="IX239" s="49"/>
      <c r="IZ239" s="49"/>
      <c r="JA239" s="49"/>
      <c r="JC239" s="49"/>
      <c r="JD239" s="49"/>
      <c r="JF239" s="49"/>
      <c r="JG239" s="49"/>
      <c r="JI239" s="49"/>
      <c r="JJ239" s="49"/>
      <c r="JL239" s="49"/>
      <c r="JM239" s="49"/>
      <c r="JO239" s="49"/>
      <c r="JP239" s="49"/>
      <c r="JR239" s="49"/>
    </row>
    <row r="240" spans="237:278">
      <c r="IC240" s="49"/>
      <c r="IE240" s="49"/>
      <c r="IF240" s="49"/>
      <c r="IH240" s="49"/>
      <c r="II240" s="49"/>
      <c r="IK240" s="49"/>
      <c r="IL240" s="49"/>
      <c r="IN240" s="49"/>
      <c r="IO240" s="49"/>
      <c r="IQ240" s="49"/>
      <c r="IR240" s="49"/>
      <c r="IT240" s="49"/>
      <c r="IU240" s="49"/>
      <c r="IW240" s="49"/>
      <c r="IX240" s="49"/>
      <c r="IZ240" s="49"/>
      <c r="JA240" s="49"/>
      <c r="JC240" s="49"/>
      <c r="JD240" s="49"/>
      <c r="JF240" s="49"/>
      <c r="JG240" s="49"/>
      <c r="JI240" s="49"/>
      <c r="JJ240" s="49"/>
      <c r="JL240" s="49"/>
      <c r="JM240" s="49"/>
      <c r="JO240" s="49"/>
      <c r="JP240" s="49"/>
      <c r="JR240" s="49"/>
    </row>
    <row r="241" spans="237:278">
      <c r="IC241" s="49"/>
      <c r="IE241" s="49"/>
      <c r="IF241" s="49"/>
      <c r="IH241" s="49"/>
      <c r="II241" s="49"/>
      <c r="IK241" s="49"/>
      <c r="IL241" s="49"/>
      <c r="IN241" s="49"/>
      <c r="IO241" s="49"/>
      <c r="IQ241" s="49"/>
      <c r="IR241" s="49"/>
      <c r="IT241" s="49"/>
      <c r="IU241" s="49"/>
      <c r="IW241" s="49"/>
      <c r="IX241" s="49"/>
      <c r="IZ241" s="49"/>
      <c r="JA241" s="49"/>
      <c r="JC241" s="49"/>
      <c r="JD241" s="49"/>
      <c r="JF241" s="49"/>
      <c r="JG241" s="49"/>
      <c r="JI241" s="49"/>
      <c r="JJ241" s="49"/>
      <c r="JL241" s="49"/>
      <c r="JM241" s="49"/>
      <c r="JO241" s="49"/>
      <c r="JP241" s="49"/>
      <c r="JR241" s="49"/>
    </row>
    <row r="242" spans="237:278">
      <c r="IC242" s="49"/>
      <c r="IE242" s="49"/>
      <c r="IF242" s="49"/>
      <c r="IH242" s="49"/>
      <c r="II242" s="49"/>
      <c r="IK242" s="49"/>
      <c r="IL242" s="49"/>
      <c r="IN242" s="49"/>
      <c r="IO242" s="49"/>
      <c r="IQ242" s="49"/>
      <c r="IR242" s="49"/>
      <c r="IT242" s="49"/>
      <c r="IU242" s="49"/>
      <c r="IW242" s="49"/>
      <c r="IX242" s="49"/>
      <c r="IZ242" s="49"/>
      <c r="JA242" s="49"/>
      <c r="JC242" s="49"/>
      <c r="JD242" s="49"/>
      <c r="JF242" s="49"/>
      <c r="JG242" s="49"/>
      <c r="JI242" s="49"/>
      <c r="JJ242" s="49"/>
      <c r="JL242" s="49"/>
      <c r="JM242" s="49"/>
      <c r="JO242" s="49"/>
      <c r="JP242" s="49"/>
      <c r="JR242" s="49"/>
    </row>
    <row r="243" spans="237:278">
      <c r="IC243" s="49"/>
      <c r="IE243" s="49"/>
      <c r="IF243" s="49"/>
      <c r="IH243" s="49"/>
      <c r="II243" s="49"/>
      <c r="IK243" s="49"/>
      <c r="IL243" s="49"/>
      <c r="IN243" s="49"/>
      <c r="IO243" s="49"/>
      <c r="IQ243" s="49"/>
      <c r="IR243" s="49"/>
      <c r="IT243" s="49"/>
      <c r="IU243" s="49"/>
      <c r="IW243" s="49"/>
      <c r="IX243" s="49"/>
      <c r="IZ243" s="49"/>
      <c r="JA243" s="49"/>
      <c r="JC243" s="49"/>
      <c r="JD243" s="49"/>
      <c r="JF243" s="49"/>
      <c r="JG243" s="49"/>
      <c r="JI243" s="49"/>
      <c r="JJ243" s="49"/>
      <c r="JL243" s="49"/>
      <c r="JM243" s="49"/>
      <c r="JO243" s="49"/>
      <c r="JP243" s="49"/>
      <c r="JR243" s="49"/>
    </row>
    <row r="244" spans="237:278">
      <c r="IC244" s="49"/>
      <c r="IE244" s="49"/>
      <c r="IF244" s="49"/>
      <c r="IH244" s="49"/>
      <c r="II244" s="49"/>
      <c r="IK244" s="49"/>
      <c r="IL244" s="49"/>
      <c r="IN244" s="49"/>
      <c r="IO244" s="49"/>
      <c r="IQ244" s="49"/>
      <c r="IR244" s="49"/>
      <c r="IT244" s="49"/>
      <c r="IU244" s="49"/>
      <c r="IW244" s="49"/>
      <c r="IX244" s="49"/>
      <c r="IZ244" s="49"/>
      <c r="JA244" s="49"/>
      <c r="JC244" s="49"/>
      <c r="JD244" s="49"/>
      <c r="JF244" s="49"/>
      <c r="JG244" s="49"/>
      <c r="JI244" s="49"/>
      <c r="JJ244" s="49"/>
      <c r="JL244" s="49"/>
      <c r="JM244" s="49"/>
      <c r="JO244" s="49"/>
      <c r="JP244" s="49"/>
      <c r="JR244" s="49"/>
    </row>
    <row r="245" spans="237:278">
      <c r="IC245" s="49"/>
      <c r="IE245" s="49"/>
      <c r="IF245" s="49"/>
      <c r="IH245" s="49"/>
      <c r="II245" s="49"/>
      <c r="IK245" s="49"/>
      <c r="IL245" s="49"/>
      <c r="IN245" s="49"/>
      <c r="IO245" s="49"/>
      <c r="IQ245" s="49"/>
      <c r="IR245" s="49"/>
      <c r="IT245" s="49"/>
      <c r="IU245" s="49"/>
      <c r="IW245" s="49"/>
      <c r="IX245" s="49"/>
      <c r="IZ245" s="49"/>
      <c r="JA245" s="49"/>
      <c r="JC245" s="49"/>
      <c r="JD245" s="49"/>
      <c r="JF245" s="49"/>
      <c r="JG245" s="49"/>
      <c r="JI245" s="49"/>
      <c r="JJ245" s="49"/>
      <c r="JL245" s="49"/>
      <c r="JM245" s="49"/>
      <c r="JO245" s="49"/>
      <c r="JP245" s="49"/>
      <c r="JR245" s="49"/>
    </row>
    <row r="246" spans="237:278">
      <c r="IC246" s="49"/>
      <c r="IE246" s="49"/>
      <c r="IF246" s="49"/>
      <c r="IH246" s="49"/>
      <c r="II246" s="49"/>
      <c r="IK246" s="49"/>
      <c r="IL246" s="49"/>
      <c r="IN246" s="49"/>
      <c r="IO246" s="49"/>
      <c r="IQ246" s="49"/>
      <c r="IR246" s="49"/>
      <c r="IT246" s="49"/>
      <c r="IU246" s="49"/>
      <c r="IW246" s="49"/>
      <c r="IX246" s="49"/>
      <c r="IZ246" s="49"/>
      <c r="JA246" s="49"/>
      <c r="JC246" s="49"/>
      <c r="JD246" s="49"/>
      <c r="JF246" s="49"/>
      <c r="JG246" s="49"/>
      <c r="JI246" s="49"/>
      <c r="JJ246" s="49"/>
      <c r="JL246" s="49"/>
      <c r="JM246" s="49"/>
      <c r="JO246" s="49"/>
      <c r="JP246" s="49"/>
      <c r="JR246" s="49"/>
    </row>
    <row r="247" spans="237:278">
      <c r="IC247" s="49"/>
      <c r="IE247" s="49"/>
      <c r="IF247" s="49"/>
      <c r="IH247" s="49"/>
      <c r="II247" s="49"/>
      <c r="IK247" s="49"/>
      <c r="IL247" s="49"/>
      <c r="IN247" s="49"/>
      <c r="IO247" s="49"/>
      <c r="IQ247" s="49"/>
      <c r="IR247" s="49"/>
      <c r="IT247" s="49"/>
      <c r="IU247" s="49"/>
      <c r="IW247" s="49"/>
      <c r="IX247" s="49"/>
      <c r="IZ247" s="49"/>
      <c r="JA247" s="49"/>
      <c r="JC247" s="49"/>
      <c r="JD247" s="49"/>
      <c r="JF247" s="49"/>
      <c r="JG247" s="49"/>
      <c r="JI247" s="49"/>
      <c r="JJ247" s="49"/>
      <c r="JL247" s="49"/>
      <c r="JM247" s="49"/>
      <c r="JO247" s="49"/>
      <c r="JP247" s="49"/>
      <c r="JR247" s="49"/>
    </row>
    <row r="248" spans="237:278">
      <c r="IC248" s="49"/>
      <c r="IE248" s="49"/>
      <c r="IF248" s="49"/>
      <c r="IH248" s="49"/>
      <c r="II248" s="49"/>
      <c r="IK248" s="49"/>
      <c r="IL248" s="49"/>
      <c r="IN248" s="49"/>
      <c r="IO248" s="49"/>
      <c r="IQ248" s="49"/>
      <c r="IR248" s="49"/>
      <c r="IT248" s="49"/>
      <c r="IU248" s="49"/>
      <c r="IW248" s="49"/>
      <c r="IX248" s="49"/>
      <c r="IZ248" s="49"/>
      <c r="JA248" s="49"/>
      <c r="JC248" s="49"/>
      <c r="JD248" s="49"/>
      <c r="JF248" s="49"/>
      <c r="JG248" s="49"/>
      <c r="JI248" s="49"/>
      <c r="JJ248" s="49"/>
      <c r="JL248" s="49"/>
      <c r="JM248" s="49"/>
      <c r="JO248" s="49"/>
      <c r="JP248" s="49"/>
      <c r="JR248" s="49"/>
    </row>
    <row r="249" spans="237:278">
      <c r="IC249" s="49"/>
      <c r="IE249" s="49"/>
      <c r="IF249" s="49"/>
      <c r="IH249" s="49"/>
      <c r="II249" s="49"/>
      <c r="IK249" s="49"/>
      <c r="IL249" s="49"/>
      <c r="IN249" s="49"/>
      <c r="IO249" s="49"/>
      <c r="IQ249" s="49"/>
      <c r="IR249" s="49"/>
      <c r="IT249" s="49"/>
      <c r="IU249" s="49"/>
      <c r="IW249" s="49"/>
      <c r="IX249" s="49"/>
      <c r="IZ249" s="49"/>
      <c r="JA249" s="49"/>
      <c r="JC249" s="49"/>
      <c r="JD249" s="49"/>
      <c r="JF249" s="49"/>
      <c r="JG249" s="49"/>
      <c r="JI249" s="49"/>
      <c r="JJ249" s="49"/>
      <c r="JL249" s="49"/>
      <c r="JM249" s="49"/>
      <c r="JO249" s="49"/>
      <c r="JP249" s="49"/>
      <c r="JR249" s="49"/>
    </row>
    <row r="250" spans="237:278">
      <c r="IC250" s="49"/>
      <c r="IE250" s="49"/>
      <c r="IF250" s="49"/>
      <c r="IH250" s="49"/>
      <c r="II250" s="49"/>
      <c r="IK250" s="49"/>
      <c r="IL250" s="49"/>
      <c r="IN250" s="49"/>
      <c r="IO250" s="49"/>
      <c r="IQ250" s="49"/>
      <c r="IR250" s="49"/>
      <c r="IT250" s="49"/>
      <c r="IU250" s="49"/>
      <c r="IW250" s="49"/>
      <c r="IX250" s="49"/>
      <c r="IZ250" s="49"/>
      <c r="JA250" s="49"/>
      <c r="JC250" s="49"/>
      <c r="JD250" s="49"/>
      <c r="JF250" s="49"/>
      <c r="JG250" s="49"/>
      <c r="JI250" s="49"/>
      <c r="JJ250" s="49"/>
      <c r="JL250" s="49"/>
      <c r="JM250" s="49"/>
      <c r="JO250" s="49"/>
      <c r="JP250" s="49"/>
      <c r="JR250" s="49"/>
    </row>
    <row r="251" spans="237:278">
      <c r="IC251" s="49"/>
      <c r="IE251" s="49"/>
      <c r="IF251" s="49"/>
      <c r="IH251" s="49"/>
      <c r="II251" s="49"/>
      <c r="IK251" s="49"/>
      <c r="IL251" s="49"/>
      <c r="IN251" s="49"/>
      <c r="IO251" s="49"/>
      <c r="IQ251" s="49"/>
      <c r="IR251" s="49"/>
      <c r="IT251" s="49"/>
      <c r="IU251" s="49"/>
      <c r="IW251" s="49"/>
      <c r="IX251" s="49"/>
      <c r="IZ251" s="49"/>
      <c r="JA251" s="49"/>
      <c r="JC251" s="49"/>
      <c r="JD251" s="49"/>
      <c r="JF251" s="49"/>
      <c r="JG251" s="49"/>
      <c r="JI251" s="49"/>
      <c r="JJ251" s="49"/>
      <c r="JL251" s="49"/>
      <c r="JM251" s="49"/>
      <c r="JO251" s="49"/>
      <c r="JP251" s="49"/>
      <c r="JR251" s="49"/>
    </row>
    <row r="252" spans="237:278">
      <c r="IC252" s="49"/>
      <c r="IE252" s="49"/>
      <c r="IF252" s="49"/>
      <c r="IH252" s="49"/>
      <c r="II252" s="49"/>
      <c r="IK252" s="49"/>
      <c r="IL252" s="49"/>
      <c r="IN252" s="49"/>
      <c r="IO252" s="49"/>
      <c r="IQ252" s="49"/>
      <c r="IR252" s="49"/>
      <c r="IT252" s="49"/>
      <c r="IU252" s="49"/>
      <c r="IW252" s="49"/>
      <c r="IX252" s="49"/>
      <c r="IZ252" s="49"/>
      <c r="JA252" s="49"/>
      <c r="JC252" s="49"/>
      <c r="JD252" s="49"/>
      <c r="JF252" s="49"/>
      <c r="JG252" s="49"/>
      <c r="JI252" s="49"/>
      <c r="JJ252" s="49"/>
      <c r="JL252" s="49"/>
      <c r="JM252" s="49"/>
      <c r="JO252" s="49"/>
      <c r="JP252" s="49"/>
      <c r="JR252" s="49"/>
    </row>
    <row r="253" spans="237:278">
      <c r="IC253" s="49"/>
      <c r="IE253" s="49"/>
      <c r="IF253" s="49"/>
      <c r="IH253" s="49"/>
      <c r="II253" s="49"/>
      <c r="IK253" s="49"/>
      <c r="IL253" s="49"/>
      <c r="IN253" s="49"/>
      <c r="IO253" s="49"/>
      <c r="IQ253" s="49"/>
      <c r="IR253" s="49"/>
      <c r="IT253" s="49"/>
      <c r="IU253" s="49"/>
      <c r="IW253" s="49"/>
      <c r="IX253" s="49"/>
      <c r="IZ253" s="49"/>
      <c r="JA253" s="49"/>
      <c r="JC253" s="49"/>
      <c r="JD253" s="49"/>
      <c r="JF253" s="49"/>
      <c r="JG253" s="49"/>
      <c r="JI253" s="49"/>
      <c r="JJ253" s="49"/>
      <c r="JL253" s="49"/>
      <c r="JM253" s="49"/>
      <c r="JO253" s="49"/>
      <c r="JP253" s="49"/>
      <c r="JR253" s="49"/>
    </row>
    <row r="254" spans="237:278">
      <c r="IC254" s="49"/>
      <c r="IE254" s="49"/>
      <c r="IF254" s="49"/>
      <c r="IH254" s="49"/>
      <c r="II254" s="49"/>
      <c r="IK254" s="49"/>
      <c r="IL254" s="49"/>
      <c r="IN254" s="49"/>
      <c r="IO254" s="49"/>
      <c r="IQ254" s="49"/>
      <c r="IR254" s="49"/>
      <c r="IT254" s="49"/>
      <c r="IU254" s="49"/>
      <c r="IW254" s="49"/>
      <c r="IX254" s="49"/>
      <c r="IZ254" s="49"/>
      <c r="JA254" s="49"/>
      <c r="JC254" s="49"/>
      <c r="JD254" s="49"/>
      <c r="JF254" s="49"/>
      <c r="JG254" s="49"/>
      <c r="JI254" s="49"/>
      <c r="JJ254" s="49"/>
      <c r="JL254" s="49"/>
      <c r="JM254" s="49"/>
      <c r="JO254" s="49"/>
      <c r="JP254" s="49"/>
      <c r="JR254" s="49"/>
    </row>
    <row r="255" spans="237:278">
      <c r="IC255" s="49"/>
      <c r="IE255" s="49"/>
      <c r="IF255" s="49"/>
      <c r="IH255" s="49"/>
      <c r="II255" s="49"/>
      <c r="IK255" s="49"/>
      <c r="IL255" s="49"/>
      <c r="IN255" s="49"/>
      <c r="IO255" s="49"/>
      <c r="IQ255" s="49"/>
      <c r="IR255" s="49"/>
      <c r="IT255" s="49"/>
      <c r="IU255" s="49"/>
      <c r="IW255" s="49"/>
      <c r="IX255" s="49"/>
      <c r="IZ255" s="49"/>
      <c r="JA255" s="49"/>
      <c r="JC255" s="49"/>
      <c r="JD255" s="49"/>
      <c r="JF255" s="49"/>
      <c r="JG255" s="49"/>
      <c r="JI255" s="49"/>
      <c r="JJ255" s="49"/>
      <c r="JL255" s="49"/>
      <c r="JM255" s="49"/>
      <c r="JO255" s="49"/>
      <c r="JP255" s="49"/>
      <c r="JR255" s="49"/>
    </row>
    <row r="256" spans="237:278">
      <c r="IC256" s="49"/>
      <c r="IE256" s="49"/>
      <c r="IF256" s="49"/>
      <c r="IH256" s="49"/>
      <c r="II256" s="49"/>
      <c r="IK256" s="49"/>
      <c r="IL256" s="49"/>
      <c r="IN256" s="49"/>
      <c r="IO256" s="49"/>
      <c r="IQ256" s="49"/>
      <c r="IR256" s="49"/>
      <c r="IT256" s="49"/>
      <c r="IU256" s="49"/>
      <c r="IW256" s="49"/>
      <c r="IX256" s="49"/>
      <c r="IZ256" s="49"/>
      <c r="JA256" s="49"/>
      <c r="JC256" s="49"/>
      <c r="JD256" s="49"/>
      <c r="JF256" s="49"/>
      <c r="JG256" s="49"/>
      <c r="JI256" s="49"/>
      <c r="JJ256" s="49"/>
      <c r="JL256" s="49"/>
      <c r="JM256" s="49"/>
      <c r="JO256" s="49"/>
      <c r="JP256" s="49"/>
      <c r="JR256" s="49"/>
    </row>
    <row r="257" spans="237:278">
      <c r="IC257" s="49"/>
      <c r="IE257" s="49"/>
      <c r="IF257" s="49"/>
      <c r="IH257" s="49"/>
      <c r="II257" s="49"/>
      <c r="IK257" s="49"/>
      <c r="IL257" s="49"/>
      <c r="IN257" s="49"/>
      <c r="IO257" s="49"/>
      <c r="IQ257" s="49"/>
      <c r="IR257" s="49"/>
      <c r="IT257" s="49"/>
      <c r="IU257" s="49"/>
      <c r="IW257" s="49"/>
      <c r="IX257" s="49"/>
      <c r="IZ257" s="49"/>
      <c r="JA257" s="49"/>
      <c r="JC257" s="49"/>
      <c r="JD257" s="49"/>
      <c r="JF257" s="49"/>
      <c r="JG257" s="49"/>
      <c r="JI257" s="49"/>
      <c r="JJ257" s="49"/>
      <c r="JL257" s="49"/>
      <c r="JM257" s="49"/>
      <c r="JO257" s="49"/>
      <c r="JP257" s="49"/>
      <c r="JR257" s="49"/>
    </row>
    <row r="258" spans="237:278">
      <c r="IC258" s="49"/>
      <c r="IE258" s="49"/>
      <c r="IF258" s="49"/>
      <c r="IH258" s="49"/>
      <c r="II258" s="49"/>
      <c r="IK258" s="49"/>
      <c r="IL258" s="49"/>
      <c r="IN258" s="49"/>
      <c r="IO258" s="49"/>
      <c r="IQ258" s="49"/>
      <c r="IR258" s="49"/>
      <c r="IT258" s="49"/>
      <c r="IU258" s="49"/>
      <c r="IW258" s="49"/>
      <c r="IX258" s="49"/>
      <c r="IZ258" s="49"/>
      <c r="JA258" s="49"/>
      <c r="JC258" s="49"/>
      <c r="JD258" s="49"/>
      <c r="JF258" s="49"/>
      <c r="JG258" s="49"/>
      <c r="JI258" s="49"/>
      <c r="JJ258" s="49"/>
      <c r="JL258" s="49"/>
      <c r="JM258" s="49"/>
      <c r="JO258" s="49"/>
      <c r="JP258" s="49"/>
      <c r="JR258" s="49"/>
    </row>
    <row r="259" spans="237:278">
      <c r="IC259" s="49"/>
      <c r="IE259" s="49"/>
      <c r="IF259" s="49"/>
      <c r="IH259" s="49"/>
      <c r="II259" s="49"/>
      <c r="IK259" s="49"/>
      <c r="IL259" s="49"/>
      <c r="IN259" s="49"/>
      <c r="IO259" s="49"/>
      <c r="IQ259" s="49"/>
      <c r="IR259" s="49"/>
      <c r="IT259" s="49"/>
      <c r="IU259" s="49"/>
      <c r="IW259" s="49"/>
      <c r="IX259" s="49"/>
      <c r="IZ259" s="49"/>
      <c r="JA259" s="49"/>
      <c r="JC259" s="49"/>
      <c r="JD259" s="49"/>
      <c r="JF259" s="49"/>
      <c r="JG259" s="49"/>
      <c r="JI259" s="49"/>
      <c r="JJ259" s="49"/>
      <c r="JL259" s="49"/>
      <c r="JM259" s="49"/>
      <c r="JO259" s="49"/>
      <c r="JP259" s="49"/>
      <c r="JR259" s="49"/>
    </row>
    <row r="260" spans="237:278">
      <c r="IC260" s="49"/>
      <c r="IE260" s="49"/>
      <c r="IF260" s="49"/>
      <c r="IH260" s="49"/>
      <c r="II260" s="49"/>
      <c r="IK260" s="49"/>
      <c r="IL260" s="49"/>
      <c r="IN260" s="49"/>
      <c r="IO260" s="49"/>
      <c r="IQ260" s="49"/>
      <c r="IR260" s="49"/>
      <c r="IT260" s="49"/>
      <c r="IU260" s="49"/>
      <c r="IW260" s="49"/>
      <c r="IX260" s="49"/>
      <c r="IZ260" s="49"/>
      <c r="JA260" s="49"/>
      <c r="JC260" s="49"/>
      <c r="JD260" s="49"/>
      <c r="JF260" s="49"/>
      <c r="JG260" s="49"/>
      <c r="JI260" s="49"/>
      <c r="JJ260" s="49"/>
      <c r="JL260" s="49"/>
      <c r="JM260" s="49"/>
      <c r="JO260" s="49"/>
      <c r="JP260" s="49"/>
      <c r="JR260" s="49"/>
    </row>
    <row r="261" spans="237:278">
      <c r="IC261" s="49"/>
      <c r="IE261" s="49"/>
      <c r="IF261" s="49"/>
      <c r="IH261" s="49"/>
      <c r="II261" s="49"/>
      <c r="IK261" s="49"/>
      <c r="IL261" s="49"/>
      <c r="IN261" s="49"/>
      <c r="IO261" s="49"/>
      <c r="IQ261" s="49"/>
      <c r="IR261" s="49"/>
      <c r="IT261" s="49"/>
      <c r="IU261" s="49"/>
      <c r="IW261" s="49"/>
      <c r="IX261" s="49"/>
      <c r="IZ261" s="49"/>
      <c r="JA261" s="49"/>
      <c r="JC261" s="49"/>
      <c r="JD261" s="49"/>
      <c r="JF261" s="49"/>
      <c r="JG261" s="49"/>
      <c r="JI261" s="49"/>
      <c r="JJ261" s="49"/>
      <c r="JL261" s="49"/>
      <c r="JM261" s="49"/>
      <c r="JO261" s="49"/>
      <c r="JP261" s="49"/>
      <c r="JR261" s="49"/>
    </row>
    <row r="262" spans="237:278">
      <c r="IC262" s="49"/>
      <c r="IE262" s="49"/>
      <c r="IF262" s="49"/>
      <c r="IH262" s="49"/>
      <c r="II262" s="49"/>
      <c r="IK262" s="49"/>
      <c r="IL262" s="49"/>
      <c r="IN262" s="49"/>
      <c r="IO262" s="49"/>
      <c r="IQ262" s="49"/>
      <c r="IR262" s="49"/>
      <c r="IT262" s="49"/>
      <c r="IU262" s="49"/>
      <c r="IW262" s="49"/>
      <c r="IX262" s="49"/>
      <c r="IZ262" s="49"/>
      <c r="JA262" s="49"/>
      <c r="JC262" s="49"/>
      <c r="JD262" s="49"/>
      <c r="JF262" s="49"/>
      <c r="JG262" s="49"/>
      <c r="JI262" s="49"/>
      <c r="JJ262" s="49"/>
      <c r="JL262" s="49"/>
      <c r="JM262" s="49"/>
      <c r="JO262" s="49"/>
      <c r="JP262" s="49"/>
      <c r="JR262" s="49"/>
    </row>
    <row r="263" spans="237:278">
      <c r="IC263" s="49"/>
      <c r="IE263" s="49"/>
      <c r="IF263" s="49"/>
      <c r="IH263" s="49"/>
      <c r="II263" s="49"/>
      <c r="IK263" s="49"/>
      <c r="IL263" s="49"/>
      <c r="IN263" s="49"/>
      <c r="IO263" s="49"/>
      <c r="IQ263" s="49"/>
      <c r="IR263" s="49"/>
      <c r="IT263" s="49"/>
      <c r="IU263" s="49"/>
      <c r="IW263" s="49"/>
      <c r="IX263" s="49"/>
      <c r="IZ263" s="49"/>
      <c r="JA263" s="49"/>
      <c r="JC263" s="49"/>
      <c r="JD263" s="49"/>
      <c r="JF263" s="49"/>
      <c r="JG263" s="49"/>
      <c r="JI263" s="49"/>
      <c r="JJ263" s="49"/>
      <c r="JL263" s="49"/>
      <c r="JM263" s="49"/>
      <c r="JO263" s="49"/>
      <c r="JP263" s="49"/>
      <c r="JR263" s="49"/>
    </row>
    <row r="264" spans="237:278">
      <c r="IC264" s="49"/>
      <c r="IE264" s="49"/>
      <c r="IF264" s="49"/>
      <c r="IH264" s="49"/>
      <c r="II264" s="49"/>
      <c r="IK264" s="49"/>
      <c r="IL264" s="49"/>
      <c r="IN264" s="49"/>
      <c r="IO264" s="49"/>
      <c r="IQ264" s="49"/>
      <c r="IR264" s="49"/>
      <c r="IT264" s="49"/>
      <c r="IU264" s="49"/>
      <c r="IW264" s="49"/>
      <c r="IX264" s="49"/>
      <c r="IZ264" s="49"/>
      <c r="JA264" s="49"/>
      <c r="JC264" s="49"/>
      <c r="JD264" s="49"/>
      <c r="JF264" s="49"/>
      <c r="JG264" s="49"/>
      <c r="JI264" s="49"/>
      <c r="JJ264" s="49"/>
      <c r="JL264" s="49"/>
      <c r="JM264" s="49"/>
      <c r="JO264" s="49"/>
      <c r="JP264" s="49"/>
      <c r="JR264" s="49"/>
    </row>
    <row r="265" spans="237:278">
      <c r="IC265" s="49"/>
      <c r="IE265" s="49"/>
      <c r="IF265" s="49"/>
      <c r="IH265" s="49"/>
      <c r="II265" s="49"/>
      <c r="IK265" s="49"/>
      <c r="IL265" s="49"/>
      <c r="IN265" s="49"/>
      <c r="IO265" s="49"/>
      <c r="IQ265" s="49"/>
      <c r="IR265" s="49"/>
      <c r="IT265" s="49"/>
      <c r="IU265" s="49"/>
      <c r="IW265" s="49"/>
      <c r="IX265" s="49"/>
      <c r="IZ265" s="49"/>
      <c r="JA265" s="49"/>
      <c r="JC265" s="49"/>
      <c r="JD265" s="49"/>
      <c r="JF265" s="49"/>
      <c r="JG265" s="49"/>
      <c r="JI265" s="49"/>
      <c r="JJ265" s="49"/>
      <c r="JL265" s="49"/>
      <c r="JM265" s="49"/>
      <c r="JO265" s="49"/>
      <c r="JP265" s="49"/>
      <c r="JR265" s="49"/>
    </row>
    <row r="266" spans="237:278">
      <c r="IC266" s="49"/>
      <c r="IE266" s="49"/>
      <c r="IF266" s="49"/>
      <c r="IH266" s="49"/>
      <c r="II266" s="49"/>
      <c r="IK266" s="49"/>
      <c r="IL266" s="49"/>
      <c r="IN266" s="49"/>
      <c r="IO266" s="49"/>
      <c r="IQ266" s="49"/>
      <c r="IR266" s="49"/>
      <c r="IT266" s="49"/>
      <c r="IU266" s="49"/>
      <c r="IW266" s="49"/>
      <c r="IX266" s="49"/>
      <c r="IZ266" s="49"/>
      <c r="JA266" s="49"/>
      <c r="JC266" s="49"/>
      <c r="JD266" s="49"/>
      <c r="JF266" s="49"/>
      <c r="JG266" s="49"/>
      <c r="JI266" s="49"/>
      <c r="JJ266" s="49"/>
      <c r="JL266" s="49"/>
      <c r="JM266" s="49"/>
      <c r="JO266" s="49"/>
      <c r="JP266" s="49"/>
      <c r="JR266" s="49"/>
    </row>
    <row r="267" spans="237:278">
      <c r="IC267" s="49"/>
      <c r="IE267" s="49"/>
      <c r="IF267" s="49"/>
      <c r="IH267" s="49"/>
      <c r="II267" s="49"/>
      <c r="IK267" s="49"/>
      <c r="IL267" s="49"/>
      <c r="IN267" s="49"/>
      <c r="IO267" s="49"/>
      <c r="IQ267" s="49"/>
      <c r="IR267" s="49"/>
      <c r="IT267" s="49"/>
      <c r="IU267" s="49"/>
      <c r="IW267" s="49"/>
      <c r="IX267" s="49"/>
      <c r="IZ267" s="49"/>
      <c r="JA267" s="49"/>
      <c r="JC267" s="49"/>
      <c r="JD267" s="49"/>
      <c r="JF267" s="49"/>
      <c r="JG267" s="49"/>
      <c r="JI267" s="49"/>
      <c r="JJ267" s="49"/>
      <c r="JL267" s="49"/>
      <c r="JM267" s="49"/>
      <c r="JO267" s="49"/>
      <c r="JP267" s="49"/>
      <c r="JR267" s="49"/>
    </row>
    <row r="268" spans="237:278">
      <c r="IC268" s="49"/>
      <c r="IE268" s="49"/>
      <c r="IF268" s="49"/>
      <c r="IH268" s="49"/>
      <c r="II268" s="49"/>
      <c r="IK268" s="49"/>
      <c r="IL268" s="49"/>
      <c r="IN268" s="49"/>
      <c r="IO268" s="49"/>
      <c r="IQ268" s="49"/>
      <c r="IR268" s="49"/>
      <c r="IT268" s="49"/>
      <c r="IU268" s="49"/>
      <c r="IW268" s="49"/>
      <c r="IX268" s="49"/>
      <c r="IZ268" s="49"/>
      <c r="JA268" s="49"/>
      <c r="JC268" s="49"/>
      <c r="JD268" s="49"/>
      <c r="JF268" s="49"/>
      <c r="JG268" s="49"/>
      <c r="JI268" s="49"/>
      <c r="JJ268" s="49"/>
      <c r="JL268" s="49"/>
      <c r="JM268" s="49"/>
      <c r="JO268" s="49"/>
      <c r="JP268" s="49"/>
      <c r="JR268" s="49"/>
    </row>
    <row r="269" spans="237:278">
      <c r="IC269" s="49"/>
      <c r="IE269" s="49"/>
      <c r="IF269" s="49"/>
      <c r="IH269" s="49"/>
      <c r="II269" s="49"/>
      <c r="IK269" s="49"/>
      <c r="IL269" s="49"/>
      <c r="IN269" s="49"/>
      <c r="IO269" s="49"/>
      <c r="IQ269" s="49"/>
      <c r="IR269" s="49"/>
      <c r="IT269" s="49"/>
      <c r="IU269" s="49"/>
      <c r="IW269" s="49"/>
      <c r="IX269" s="49"/>
      <c r="IZ269" s="49"/>
      <c r="JA269" s="49"/>
      <c r="JC269" s="49"/>
      <c r="JD269" s="49"/>
      <c r="JF269" s="49"/>
      <c r="JG269" s="49"/>
      <c r="JI269" s="49"/>
      <c r="JJ269" s="49"/>
      <c r="JL269" s="49"/>
      <c r="JM269" s="49"/>
      <c r="JO269" s="49"/>
      <c r="JP269" s="49"/>
      <c r="JR269" s="49"/>
    </row>
    <row r="270" spans="237:278">
      <c r="IC270" s="49"/>
      <c r="IE270" s="49"/>
      <c r="IF270" s="49"/>
      <c r="IH270" s="49"/>
      <c r="II270" s="49"/>
      <c r="IK270" s="49"/>
      <c r="IL270" s="49"/>
      <c r="IN270" s="49"/>
      <c r="IO270" s="49"/>
      <c r="IQ270" s="49"/>
      <c r="IR270" s="49"/>
      <c r="IT270" s="49"/>
      <c r="IU270" s="49"/>
      <c r="IW270" s="49"/>
      <c r="IX270" s="49"/>
      <c r="IZ270" s="49"/>
      <c r="JA270" s="49"/>
      <c r="JC270" s="49"/>
      <c r="JD270" s="49"/>
      <c r="JF270" s="49"/>
      <c r="JG270" s="49"/>
      <c r="JI270" s="49"/>
      <c r="JJ270" s="49"/>
      <c r="JL270" s="49"/>
      <c r="JM270" s="49"/>
      <c r="JO270" s="49"/>
      <c r="JP270" s="49"/>
      <c r="JR270" s="49"/>
    </row>
    <row r="271" spans="237:278">
      <c r="IC271" s="49"/>
      <c r="IE271" s="49"/>
      <c r="IF271" s="49"/>
      <c r="IH271" s="49"/>
      <c r="II271" s="49"/>
      <c r="IK271" s="49"/>
      <c r="IL271" s="49"/>
      <c r="IN271" s="49"/>
      <c r="IO271" s="49"/>
      <c r="IQ271" s="49"/>
      <c r="IR271" s="49"/>
      <c r="IT271" s="49"/>
      <c r="IU271" s="49"/>
      <c r="IW271" s="49"/>
      <c r="IX271" s="49"/>
      <c r="IZ271" s="49"/>
      <c r="JA271" s="49"/>
      <c r="JC271" s="49"/>
      <c r="JD271" s="49"/>
      <c r="JF271" s="49"/>
      <c r="JG271" s="49"/>
      <c r="JI271" s="49"/>
      <c r="JJ271" s="49"/>
      <c r="JL271" s="49"/>
      <c r="JM271" s="49"/>
      <c r="JO271" s="49"/>
      <c r="JP271" s="49"/>
      <c r="JR271" s="49"/>
    </row>
    <row r="272" spans="237:278">
      <c r="IC272" s="49"/>
      <c r="IE272" s="49"/>
      <c r="IF272" s="49"/>
      <c r="IH272" s="49"/>
      <c r="II272" s="49"/>
      <c r="IK272" s="49"/>
      <c r="IL272" s="49"/>
      <c r="IN272" s="49"/>
      <c r="IO272" s="49"/>
      <c r="IQ272" s="49"/>
      <c r="IR272" s="49"/>
      <c r="IT272" s="49"/>
      <c r="IU272" s="49"/>
      <c r="IW272" s="49"/>
      <c r="IX272" s="49"/>
      <c r="IZ272" s="49"/>
      <c r="JA272" s="49"/>
      <c r="JC272" s="49"/>
      <c r="JD272" s="49"/>
      <c r="JF272" s="49"/>
      <c r="JG272" s="49"/>
      <c r="JI272" s="49"/>
      <c r="JJ272" s="49"/>
      <c r="JL272" s="49"/>
      <c r="JM272" s="49"/>
      <c r="JO272" s="49"/>
      <c r="JP272" s="49"/>
      <c r="JR272" s="49"/>
    </row>
    <row r="273" spans="237:278">
      <c r="IC273" s="49"/>
      <c r="IE273" s="49"/>
      <c r="IF273" s="49"/>
      <c r="IH273" s="49"/>
      <c r="II273" s="49"/>
      <c r="IK273" s="49"/>
      <c r="IL273" s="49"/>
      <c r="IN273" s="49"/>
      <c r="IO273" s="49"/>
      <c r="IQ273" s="49"/>
      <c r="IR273" s="49"/>
      <c r="IT273" s="49"/>
      <c r="IU273" s="49"/>
      <c r="IW273" s="49"/>
      <c r="IX273" s="49"/>
      <c r="IZ273" s="49"/>
      <c r="JA273" s="49"/>
      <c r="JC273" s="49"/>
      <c r="JD273" s="49"/>
      <c r="JF273" s="49"/>
      <c r="JG273" s="49"/>
      <c r="JI273" s="49"/>
      <c r="JJ273" s="49"/>
      <c r="JL273" s="49"/>
      <c r="JM273" s="49"/>
      <c r="JO273" s="49"/>
      <c r="JP273" s="49"/>
      <c r="JR273" s="49"/>
    </row>
    <row r="274" spans="237:278">
      <c r="IC274" s="49"/>
      <c r="IE274" s="49"/>
      <c r="IF274" s="49"/>
      <c r="IH274" s="49"/>
      <c r="II274" s="49"/>
      <c r="IK274" s="49"/>
      <c r="IL274" s="49"/>
      <c r="IN274" s="49"/>
      <c r="IO274" s="49"/>
      <c r="IQ274" s="49"/>
      <c r="IR274" s="49"/>
      <c r="IT274" s="49"/>
      <c r="IU274" s="49"/>
      <c r="IW274" s="49"/>
      <c r="IX274" s="49"/>
      <c r="IZ274" s="49"/>
      <c r="JA274" s="49"/>
      <c r="JC274" s="49"/>
      <c r="JD274" s="49"/>
      <c r="JF274" s="49"/>
      <c r="JG274" s="49"/>
      <c r="JI274" s="49"/>
      <c r="JJ274" s="49"/>
      <c r="JL274" s="49"/>
      <c r="JM274" s="49"/>
      <c r="JO274" s="49"/>
      <c r="JP274" s="49"/>
      <c r="JR274" s="49"/>
    </row>
    <row r="275" spans="237:278">
      <c r="IC275" s="49"/>
      <c r="IE275" s="49"/>
      <c r="IF275" s="49"/>
      <c r="IH275" s="49"/>
      <c r="II275" s="49"/>
      <c r="IK275" s="49"/>
      <c r="IL275" s="49"/>
      <c r="IN275" s="49"/>
      <c r="IO275" s="49"/>
      <c r="IQ275" s="49"/>
      <c r="IR275" s="49"/>
      <c r="IT275" s="49"/>
      <c r="IU275" s="49"/>
      <c r="IW275" s="49"/>
      <c r="IX275" s="49"/>
      <c r="IZ275" s="49"/>
      <c r="JA275" s="49"/>
      <c r="JC275" s="49"/>
      <c r="JD275" s="49"/>
      <c r="JF275" s="49"/>
      <c r="JG275" s="49"/>
      <c r="JI275" s="49"/>
      <c r="JJ275" s="49"/>
      <c r="JL275" s="49"/>
      <c r="JM275" s="49"/>
      <c r="JO275" s="49"/>
      <c r="JP275" s="49"/>
      <c r="JR275" s="49"/>
    </row>
    <row r="276" spans="237:278">
      <c r="IC276" s="49"/>
      <c r="IE276" s="49"/>
      <c r="IF276" s="49"/>
      <c r="IH276" s="49"/>
      <c r="II276" s="49"/>
      <c r="IK276" s="49"/>
      <c r="IL276" s="49"/>
      <c r="IN276" s="49"/>
      <c r="IO276" s="49"/>
      <c r="IQ276" s="49"/>
      <c r="IR276" s="49"/>
      <c r="IT276" s="49"/>
      <c r="IU276" s="49"/>
      <c r="IW276" s="49"/>
      <c r="IX276" s="49"/>
      <c r="IZ276" s="49"/>
      <c r="JA276" s="49"/>
      <c r="JC276" s="49"/>
      <c r="JD276" s="49"/>
      <c r="JF276" s="49"/>
      <c r="JG276" s="49"/>
      <c r="JI276" s="49"/>
      <c r="JJ276" s="49"/>
      <c r="JL276" s="49"/>
      <c r="JM276" s="49"/>
      <c r="JO276" s="49"/>
      <c r="JP276" s="49"/>
      <c r="JR276" s="49"/>
    </row>
    <row r="277" spans="237:278">
      <c r="IC277" s="49"/>
      <c r="IE277" s="49"/>
      <c r="IF277" s="49"/>
      <c r="IH277" s="49"/>
      <c r="II277" s="49"/>
      <c r="IK277" s="49"/>
      <c r="IL277" s="49"/>
      <c r="IN277" s="49"/>
      <c r="IO277" s="49"/>
      <c r="IQ277" s="49"/>
      <c r="IR277" s="49"/>
      <c r="IT277" s="49"/>
      <c r="IU277" s="49"/>
      <c r="IW277" s="49"/>
      <c r="IX277" s="49"/>
      <c r="IZ277" s="49"/>
      <c r="JA277" s="49"/>
      <c r="JC277" s="49"/>
      <c r="JD277" s="49"/>
      <c r="JF277" s="49"/>
      <c r="JG277" s="49"/>
      <c r="JI277" s="49"/>
      <c r="JJ277" s="49"/>
      <c r="JL277" s="49"/>
      <c r="JM277" s="49"/>
      <c r="JO277" s="49"/>
      <c r="JP277" s="49"/>
      <c r="JR277" s="49"/>
    </row>
    <row r="278" spans="237:278">
      <c r="IC278" s="49"/>
      <c r="IE278" s="49"/>
      <c r="IF278" s="49"/>
      <c r="IH278" s="49"/>
      <c r="II278" s="49"/>
      <c r="IK278" s="49"/>
      <c r="IL278" s="49"/>
      <c r="IN278" s="49"/>
      <c r="IO278" s="49"/>
      <c r="IQ278" s="49"/>
      <c r="IR278" s="49"/>
      <c r="IT278" s="49"/>
      <c r="IU278" s="49"/>
      <c r="IW278" s="49"/>
      <c r="IX278" s="49"/>
      <c r="IZ278" s="49"/>
      <c r="JA278" s="49"/>
      <c r="JC278" s="49"/>
      <c r="JD278" s="49"/>
      <c r="JF278" s="49"/>
      <c r="JG278" s="49"/>
      <c r="JI278" s="49"/>
      <c r="JJ278" s="49"/>
      <c r="JL278" s="49"/>
      <c r="JM278" s="49"/>
      <c r="JO278" s="49"/>
      <c r="JP278" s="49"/>
      <c r="JR278" s="49"/>
    </row>
    <row r="279" spans="237:278">
      <c r="IC279" s="49"/>
      <c r="IE279" s="49"/>
      <c r="IF279" s="49"/>
      <c r="IH279" s="49"/>
      <c r="II279" s="49"/>
      <c r="IK279" s="49"/>
      <c r="IL279" s="49"/>
      <c r="IN279" s="49"/>
      <c r="IO279" s="49"/>
      <c r="IQ279" s="49"/>
      <c r="IR279" s="49"/>
      <c r="IT279" s="49"/>
      <c r="IU279" s="49"/>
      <c r="IW279" s="49"/>
      <c r="IX279" s="49"/>
      <c r="IZ279" s="49"/>
      <c r="JA279" s="49"/>
      <c r="JC279" s="49"/>
      <c r="JD279" s="49"/>
      <c r="JF279" s="49"/>
      <c r="JG279" s="49"/>
      <c r="JI279" s="49"/>
      <c r="JJ279" s="49"/>
      <c r="JL279" s="49"/>
      <c r="JM279" s="49"/>
      <c r="JO279" s="49"/>
      <c r="JP279" s="49"/>
      <c r="JR279" s="49"/>
    </row>
    <row r="280" spans="237:278">
      <c r="IC280" s="49"/>
      <c r="IE280" s="49"/>
      <c r="IF280" s="49"/>
      <c r="IH280" s="49"/>
      <c r="II280" s="49"/>
      <c r="IK280" s="49"/>
      <c r="IL280" s="49"/>
      <c r="IN280" s="49"/>
      <c r="IO280" s="49"/>
      <c r="IQ280" s="49"/>
      <c r="IR280" s="49"/>
      <c r="IT280" s="49"/>
      <c r="IU280" s="49"/>
      <c r="IW280" s="49"/>
      <c r="IX280" s="49"/>
      <c r="IZ280" s="49"/>
      <c r="JA280" s="49"/>
      <c r="JC280" s="49"/>
      <c r="JD280" s="49"/>
      <c r="JF280" s="49"/>
      <c r="JG280" s="49"/>
      <c r="JI280" s="49"/>
      <c r="JJ280" s="49"/>
      <c r="JL280" s="49"/>
      <c r="JM280" s="49"/>
      <c r="JO280" s="49"/>
      <c r="JP280" s="49"/>
      <c r="JR280" s="49"/>
    </row>
    <row r="281" spans="237:278">
      <c r="IC281" s="49"/>
      <c r="IE281" s="49"/>
      <c r="IF281" s="49"/>
      <c r="IH281" s="49"/>
      <c r="II281" s="49"/>
      <c r="IK281" s="49"/>
      <c r="IL281" s="49"/>
      <c r="IN281" s="49"/>
      <c r="IO281" s="49"/>
      <c r="IQ281" s="49"/>
      <c r="IR281" s="49"/>
      <c r="IT281" s="49"/>
      <c r="IU281" s="49"/>
      <c r="IW281" s="49"/>
      <c r="IX281" s="49"/>
      <c r="IZ281" s="49"/>
      <c r="JA281" s="49"/>
      <c r="JC281" s="49"/>
      <c r="JD281" s="49"/>
      <c r="JF281" s="49"/>
      <c r="JG281" s="49"/>
      <c r="JI281" s="49"/>
      <c r="JJ281" s="49"/>
      <c r="JL281" s="49"/>
      <c r="JM281" s="49"/>
      <c r="JO281" s="49"/>
      <c r="JP281" s="49"/>
      <c r="JR281" s="49"/>
    </row>
    <row r="282" spans="237:278">
      <c r="IC282" s="49"/>
      <c r="IE282" s="49"/>
      <c r="IF282" s="49"/>
      <c r="IH282" s="49"/>
      <c r="II282" s="49"/>
      <c r="IK282" s="49"/>
      <c r="IL282" s="49"/>
      <c r="IN282" s="49"/>
      <c r="IO282" s="49"/>
      <c r="IQ282" s="49"/>
      <c r="IR282" s="49"/>
      <c r="IT282" s="49"/>
      <c r="IU282" s="49"/>
      <c r="IW282" s="49"/>
      <c r="IX282" s="49"/>
      <c r="IZ282" s="49"/>
      <c r="JA282" s="49"/>
      <c r="JC282" s="49"/>
      <c r="JD282" s="49"/>
      <c r="JF282" s="49"/>
      <c r="JG282" s="49"/>
      <c r="JI282" s="49"/>
      <c r="JJ282" s="49"/>
      <c r="JL282" s="49"/>
      <c r="JM282" s="49"/>
      <c r="JO282" s="49"/>
      <c r="JP282" s="49"/>
      <c r="JR282" s="49"/>
    </row>
    <row r="283" spans="237:278">
      <c r="IC283" s="49"/>
      <c r="IE283" s="49"/>
      <c r="IF283" s="49"/>
      <c r="IH283" s="49"/>
      <c r="II283" s="49"/>
      <c r="IK283" s="49"/>
      <c r="IL283" s="49"/>
      <c r="IN283" s="49"/>
      <c r="IO283" s="49"/>
      <c r="IQ283" s="49"/>
      <c r="IR283" s="49"/>
      <c r="IT283" s="49"/>
      <c r="IU283" s="49"/>
      <c r="IW283" s="49"/>
      <c r="IX283" s="49"/>
      <c r="IZ283" s="49"/>
      <c r="JA283" s="49"/>
      <c r="JC283" s="49"/>
      <c r="JD283" s="49"/>
      <c r="JF283" s="49"/>
      <c r="JG283" s="49"/>
      <c r="JI283" s="49"/>
      <c r="JJ283" s="49"/>
      <c r="JL283" s="49"/>
      <c r="JM283" s="49"/>
      <c r="JO283" s="49"/>
      <c r="JP283" s="49"/>
      <c r="JR283" s="49"/>
    </row>
    <row r="284" spans="237:278">
      <c r="IC284" s="49"/>
      <c r="IE284" s="49"/>
      <c r="IF284" s="49"/>
      <c r="IH284" s="49"/>
      <c r="II284" s="49"/>
      <c r="IK284" s="49"/>
      <c r="IL284" s="49"/>
      <c r="IN284" s="49"/>
      <c r="IO284" s="49"/>
      <c r="IQ284" s="49"/>
      <c r="IR284" s="49"/>
      <c r="IT284" s="49"/>
      <c r="IU284" s="49"/>
      <c r="IW284" s="49"/>
      <c r="IX284" s="49"/>
      <c r="IZ284" s="49"/>
      <c r="JA284" s="49"/>
      <c r="JC284" s="49"/>
      <c r="JD284" s="49"/>
      <c r="JF284" s="49"/>
      <c r="JG284" s="49"/>
      <c r="JI284" s="49"/>
      <c r="JJ284" s="49"/>
      <c r="JL284" s="49"/>
      <c r="JM284" s="49"/>
      <c r="JO284" s="49"/>
      <c r="JP284" s="49"/>
      <c r="JR284" s="49"/>
    </row>
    <row r="285" spans="237:278">
      <c r="IC285" s="49"/>
      <c r="IE285" s="49"/>
      <c r="IF285" s="49"/>
      <c r="IH285" s="49"/>
      <c r="II285" s="49"/>
      <c r="IK285" s="49"/>
      <c r="IL285" s="49"/>
      <c r="IN285" s="49"/>
      <c r="IO285" s="49"/>
      <c r="IQ285" s="49"/>
      <c r="IR285" s="49"/>
      <c r="IT285" s="49"/>
      <c r="IU285" s="49"/>
      <c r="IW285" s="49"/>
      <c r="IX285" s="49"/>
      <c r="IZ285" s="49"/>
      <c r="JA285" s="49"/>
      <c r="JC285" s="49"/>
      <c r="JD285" s="49"/>
      <c r="JF285" s="49"/>
      <c r="JG285" s="49"/>
      <c r="JI285" s="49"/>
      <c r="JJ285" s="49"/>
      <c r="JL285" s="49"/>
      <c r="JM285" s="49"/>
      <c r="JO285" s="49"/>
      <c r="JP285" s="49"/>
      <c r="JR285" s="49"/>
    </row>
    <row r="286" spans="237:278">
      <c r="IC286" s="49"/>
      <c r="IE286" s="49"/>
      <c r="IF286" s="49"/>
      <c r="IH286" s="49"/>
      <c r="II286" s="49"/>
      <c r="IK286" s="49"/>
      <c r="IL286" s="49"/>
      <c r="IN286" s="49"/>
      <c r="IO286" s="49"/>
      <c r="IQ286" s="49"/>
      <c r="IR286" s="49"/>
      <c r="IT286" s="49"/>
      <c r="IU286" s="49"/>
      <c r="IW286" s="49"/>
      <c r="IX286" s="49"/>
      <c r="IZ286" s="49"/>
      <c r="JA286" s="49"/>
      <c r="JC286" s="49"/>
      <c r="JD286" s="49"/>
      <c r="JF286" s="49"/>
      <c r="JG286" s="49"/>
      <c r="JI286" s="49"/>
      <c r="JJ286" s="49"/>
      <c r="JL286" s="49"/>
      <c r="JM286" s="49"/>
      <c r="JO286" s="49"/>
      <c r="JP286" s="49"/>
      <c r="JR286" s="49"/>
    </row>
    <row r="287" spans="237:278">
      <c r="IC287" s="49"/>
      <c r="IE287" s="49"/>
      <c r="IF287" s="49"/>
      <c r="IH287" s="49"/>
      <c r="II287" s="49"/>
      <c r="IK287" s="49"/>
      <c r="IL287" s="49"/>
      <c r="IN287" s="49"/>
      <c r="IO287" s="49"/>
      <c r="IQ287" s="49"/>
      <c r="IR287" s="49"/>
      <c r="IT287" s="49"/>
      <c r="IU287" s="49"/>
      <c r="IW287" s="49"/>
      <c r="IX287" s="49"/>
      <c r="IZ287" s="49"/>
      <c r="JA287" s="49"/>
      <c r="JC287" s="49"/>
      <c r="JD287" s="49"/>
      <c r="JF287" s="49"/>
      <c r="JG287" s="49"/>
      <c r="JI287" s="49"/>
      <c r="JJ287" s="49"/>
      <c r="JL287" s="49"/>
      <c r="JM287" s="49"/>
      <c r="JO287" s="49"/>
      <c r="JP287" s="49"/>
      <c r="JR287" s="49"/>
    </row>
    <row r="288" spans="237:278">
      <c r="IC288" s="49"/>
      <c r="IE288" s="49"/>
      <c r="IF288" s="49"/>
      <c r="IH288" s="49"/>
      <c r="II288" s="49"/>
      <c r="IK288" s="49"/>
      <c r="IL288" s="49"/>
      <c r="IN288" s="49"/>
      <c r="IO288" s="49"/>
      <c r="IQ288" s="49"/>
      <c r="IR288" s="49"/>
      <c r="IT288" s="49"/>
      <c r="IU288" s="49"/>
      <c r="IW288" s="49"/>
      <c r="IX288" s="49"/>
      <c r="IZ288" s="49"/>
      <c r="JA288" s="49"/>
      <c r="JC288" s="49"/>
      <c r="JD288" s="49"/>
      <c r="JF288" s="49"/>
      <c r="JG288" s="49"/>
      <c r="JI288" s="49"/>
      <c r="JJ288" s="49"/>
      <c r="JL288" s="49"/>
      <c r="JM288" s="49"/>
      <c r="JO288" s="49"/>
      <c r="JP288" s="49"/>
      <c r="JR288" s="49"/>
    </row>
    <row r="289" spans="237:278">
      <c r="IC289" s="49"/>
      <c r="IE289" s="49"/>
      <c r="IF289" s="49"/>
      <c r="IH289" s="49"/>
      <c r="II289" s="49"/>
      <c r="IK289" s="49"/>
      <c r="IL289" s="49"/>
      <c r="IN289" s="49"/>
      <c r="IO289" s="49"/>
      <c r="IQ289" s="49"/>
      <c r="IR289" s="49"/>
      <c r="IT289" s="49"/>
      <c r="IU289" s="49"/>
      <c r="IW289" s="49"/>
      <c r="IX289" s="49"/>
      <c r="IZ289" s="49"/>
      <c r="JA289" s="49"/>
      <c r="JC289" s="49"/>
      <c r="JD289" s="49"/>
      <c r="JF289" s="49"/>
      <c r="JG289" s="49"/>
      <c r="JI289" s="49"/>
      <c r="JJ289" s="49"/>
      <c r="JL289" s="49"/>
      <c r="JM289" s="49"/>
      <c r="JO289" s="49"/>
      <c r="JP289" s="49"/>
      <c r="JR289" s="49"/>
    </row>
    <row r="290" spans="237:278">
      <c r="IC290" s="49"/>
      <c r="IE290" s="49"/>
      <c r="IF290" s="49"/>
      <c r="IH290" s="49"/>
      <c r="II290" s="49"/>
      <c r="IK290" s="49"/>
      <c r="IL290" s="49"/>
      <c r="IN290" s="49"/>
      <c r="IO290" s="49"/>
      <c r="IQ290" s="49"/>
      <c r="IR290" s="49"/>
      <c r="IT290" s="49"/>
      <c r="IU290" s="49"/>
      <c r="IW290" s="49"/>
      <c r="IX290" s="49"/>
      <c r="IZ290" s="49"/>
      <c r="JA290" s="49"/>
      <c r="JC290" s="49"/>
      <c r="JD290" s="49"/>
      <c r="JF290" s="49"/>
      <c r="JG290" s="49"/>
      <c r="JI290" s="49"/>
      <c r="JJ290" s="49"/>
      <c r="JL290" s="49"/>
      <c r="JM290" s="49"/>
      <c r="JO290" s="49"/>
      <c r="JP290" s="49"/>
      <c r="JR290" s="49"/>
    </row>
    <row r="291" spans="237:278">
      <c r="IC291" s="49"/>
      <c r="IE291" s="49"/>
      <c r="IF291" s="49"/>
      <c r="IH291" s="49"/>
      <c r="II291" s="49"/>
      <c r="IK291" s="49"/>
      <c r="IL291" s="49"/>
      <c r="IN291" s="49"/>
      <c r="IO291" s="49"/>
      <c r="IQ291" s="49"/>
      <c r="IR291" s="49"/>
      <c r="IT291" s="49"/>
      <c r="IU291" s="49"/>
      <c r="IW291" s="49"/>
      <c r="IX291" s="49"/>
      <c r="IZ291" s="49"/>
      <c r="JA291" s="49"/>
      <c r="JC291" s="49"/>
      <c r="JD291" s="49"/>
      <c r="JF291" s="49"/>
      <c r="JG291" s="49"/>
      <c r="JI291" s="49"/>
      <c r="JJ291" s="49"/>
      <c r="JL291" s="49"/>
      <c r="JM291" s="49"/>
      <c r="JO291" s="49"/>
      <c r="JP291" s="49"/>
      <c r="JR291" s="49"/>
    </row>
    <row r="292" spans="237:278">
      <c r="IC292" s="49"/>
      <c r="IE292" s="49"/>
      <c r="IF292" s="49"/>
      <c r="IH292" s="49"/>
      <c r="II292" s="49"/>
      <c r="IK292" s="49"/>
      <c r="IL292" s="49"/>
      <c r="IN292" s="49"/>
      <c r="IO292" s="49"/>
      <c r="IQ292" s="49"/>
      <c r="IR292" s="49"/>
      <c r="IT292" s="49"/>
      <c r="IU292" s="49"/>
      <c r="IW292" s="49"/>
      <c r="IX292" s="49"/>
      <c r="IZ292" s="49"/>
      <c r="JA292" s="49"/>
      <c r="JC292" s="49"/>
      <c r="JD292" s="49"/>
      <c r="JF292" s="49"/>
      <c r="JG292" s="49"/>
      <c r="JI292" s="49"/>
      <c r="JJ292" s="49"/>
      <c r="JL292" s="49"/>
      <c r="JM292" s="49"/>
      <c r="JO292" s="49"/>
      <c r="JP292" s="49"/>
      <c r="JR292" s="49"/>
    </row>
    <row r="293" spans="237:278">
      <c r="IC293" s="49"/>
      <c r="IE293" s="49"/>
      <c r="IF293" s="49"/>
      <c r="IH293" s="49"/>
      <c r="II293" s="49"/>
      <c r="IK293" s="49"/>
      <c r="IL293" s="49"/>
      <c r="IN293" s="49"/>
      <c r="IO293" s="49"/>
      <c r="IQ293" s="49"/>
      <c r="IR293" s="49"/>
      <c r="IT293" s="49"/>
      <c r="IU293" s="49"/>
      <c r="IW293" s="49"/>
      <c r="IX293" s="49"/>
      <c r="IZ293" s="49"/>
      <c r="JA293" s="49"/>
      <c r="JC293" s="49"/>
      <c r="JD293" s="49"/>
      <c r="JF293" s="49"/>
      <c r="JG293" s="49"/>
      <c r="JI293" s="49"/>
      <c r="JJ293" s="49"/>
      <c r="JL293" s="49"/>
      <c r="JM293" s="49"/>
      <c r="JO293" s="49"/>
      <c r="JP293" s="49"/>
      <c r="JR293" s="49"/>
    </row>
    <row r="294" spans="237:278">
      <c r="IC294" s="49"/>
      <c r="IE294" s="49"/>
      <c r="IF294" s="49"/>
      <c r="IH294" s="49"/>
      <c r="II294" s="49"/>
      <c r="IK294" s="49"/>
      <c r="IL294" s="49"/>
      <c r="IN294" s="49"/>
      <c r="IO294" s="49"/>
      <c r="IQ294" s="49"/>
      <c r="IR294" s="49"/>
      <c r="IT294" s="49"/>
      <c r="IU294" s="49"/>
      <c r="IW294" s="49"/>
      <c r="IX294" s="49"/>
      <c r="IZ294" s="49"/>
      <c r="JA294" s="49"/>
      <c r="JC294" s="49"/>
      <c r="JD294" s="49"/>
      <c r="JF294" s="49"/>
      <c r="JG294" s="49"/>
      <c r="JI294" s="49"/>
      <c r="JJ294" s="49"/>
      <c r="JL294" s="49"/>
      <c r="JM294" s="49"/>
      <c r="JO294" s="49"/>
      <c r="JP294" s="49"/>
      <c r="JR294" s="49"/>
    </row>
    <row r="295" spans="237:278">
      <c r="IC295" s="49"/>
      <c r="IE295" s="49"/>
      <c r="IF295" s="49"/>
      <c r="IH295" s="49"/>
      <c r="II295" s="49"/>
      <c r="IK295" s="49"/>
      <c r="IL295" s="49"/>
      <c r="IN295" s="49"/>
      <c r="IO295" s="49"/>
      <c r="IQ295" s="49"/>
      <c r="IR295" s="49"/>
      <c r="IT295" s="49"/>
      <c r="IU295" s="49"/>
      <c r="IW295" s="49"/>
      <c r="IX295" s="49"/>
      <c r="IZ295" s="49"/>
      <c r="JA295" s="49"/>
      <c r="JC295" s="49"/>
      <c r="JD295" s="49"/>
      <c r="JF295" s="49"/>
      <c r="JG295" s="49"/>
      <c r="JI295" s="49"/>
      <c r="JJ295" s="49"/>
      <c r="JL295" s="49"/>
      <c r="JM295" s="49"/>
      <c r="JO295" s="49"/>
      <c r="JP295" s="49"/>
      <c r="JR295" s="49"/>
    </row>
    <row r="296" spans="237:278">
      <c r="IC296" s="49"/>
      <c r="IE296" s="49"/>
      <c r="IF296" s="49"/>
      <c r="IH296" s="49"/>
      <c r="II296" s="49"/>
      <c r="IK296" s="49"/>
      <c r="IL296" s="49"/>
      <c r="IN296" s="49"/>
      <c r="IO296" s="49"/>
      <c r="IQ296" s="49"/>
      <c r="IR296" s="49"/>
      <c r="IT296" s="49"/>
      <c r="IU296" s="49"/>
      <c r="IW296" s="49"/>
      <c r="IX296" s="49"/>
      <c r="IZ296" s="49"/>
      <c r="JA296" s="49"/>
      <c r="JC296" s="49"/>
      <c r="JD296" s="49"/>
      <c r="JF296" s="49"/>
      <c r="JG296" s="49"/>
      <c r="JI296" s="49"/>
      <c r="JJ296" s="49"/>
      <c r="JL296" s="49"/>
      <c r="JM296" s="49"/>
      <c r="JO296" s="49"/>
      <c r="JP296" s="49"/>
      <c r="JR296" s="49"/>
    </row>
    <row r="297" spans="237:278">
      <c r="IC297" s="49"/>
      <c r="IE297" s="49"/>
      <c r="IF297" s="49"/>
      <c r="IH297" s="49"/>
      <c r="II297" s="49"/>
      <c r="IK297" s="49"/>
      <c r="IL297" s="49"/>
      <c r="IN297" s="49"/>
      <c r="IO297" s="49"/>
      <c r="IQ297" s="49"/>
      <c r="IR297" s="49"/>
      <c r="IT297" s="49"/>
      <c r="IU297" s="49"/>
      <c r="IW297" s="49"/>
      <c r="IX297" s="49"/>
      <c r="IZ297" s="49"/>
      <c r="JA297" s="49"/>
      <c r="JC297" s="49"/>
      <c r="JD297" s="49"/>
      <c r="JF297" s="49"/>
      <c r="JG297" s="49"/>
      <c r="JI297" s="49"/>
      <c r="JJ297" s="49"/>
      <c r="JL297" s="49"/>
      <c r="JM297" s="49"/>
      <c r="JO297" s="49"/>
      <c r="JP297" s="49"/>
      <c r="JR297" s="49"/>
    </row>
    <row r="298" spans="237:278">
      <c r="IC298" s="49"/>
      <c r="IE298" s="49"/>
      <c r="IF298" s="49"/>
      <c r="IH298" s="49"/>
      <c r="II298" s="49"/>
      <c r="IK298" s="49"/>
      <c r="IL298" s="49"/>
      <c r="IN298" s="49"/>
      <c r="IO298" s="49"/>
      <c r="IQ298" s="49"/>
      <c r="IR298" s="49"/>
      <c r="IT298" s="49"/>
      <c r="IU298" s="49"/>
      <c r="IW298" s="49"/>
      <c r="IX298" s="49"/>
      <c r="IZ298" s="49"/>
      <c r="JA298" s="49"/>
      <c r="JC298" s="49"/>
      <c r="JD298" s="49"/>
      <c r="JF298" s="49"/>
      <c r="JG298" s="49"/>
      <c r="JI298" s="49"/>
      <c r="JJ298" s="49"/>
      <c r="JL298" s="49"/>
      <c r="JM298" s="49"/>
      <c r="JO298" s="49"/>
      <c r="JP298" s="49"/>
      <c r="JR298" s="49"/>
    </row>
    <row r="299" spans="237:278">
      <c r="IC299" s="49"/>
      <c r="IE299" s="49"/>
      <c r="IF299" s="49"/>
      <c r="IH299" s="49"/>
      <c r="II299" s="49"/>
      <c r="IK299" s="49"/>
      <c r="IL299" s="49"/>
      <c r="IN299" s="49"/>
      <c r="IO299" s="49"/>
      <c r="IQ299" s="49"/>
      <c r="IR299" s="49"/>
      <c r="IT299" s="49"/>
      <c r="IU299" s="49"/>
      <c r="IW299" s="49"/>
      <c r="IX299" s="49"/>
      <c r="IZ299" s="49"/>
      <c r="JA299" s="49"/>
      <c r="JC299" s="49"/>
      <c r="JD299" s="49"/>
      <c r="JF299" s="49"/>
      <c r="JG299" s="49"/>
      <c r="JI299" s="49"/>
      <c r="JJ299" s="49"/>
      <c r="JL299" s="49"/>
      <c r="JM299" s="49"/>
      <c r="JO299" s="49"/>
      <c r="JP299" s="49"/>
      <c r="JR299" s="49"/>
    </row>
    <row r="300" spans="237:278">
      <c r="IC300" s="49"/>
      <c r="IE300" s="49"/>
      <c r="IF300" s="49"/>
      <c r="IH300" s="49"/>
      <c r="II300" s="49"/>
      <c r="IK300" s="49"/>
      <c r="IL300" s="49"/>
      <c r="IN300" s="49"/>
      <c r="IO300" s="49"/>
      <c r="IQ300" s="49"/>
      <c r="IR300" s="49"/>
      <c r="IT300" s="49"/>
      <c r="IU300" s="49"/>
      <c r="IW300" s="49"/>
      <c r="IX300" s="49"/>
      <c r="IZ300" s="49"/>
      <c r="JA300" s="49"/>
      <c r="JC300" s="49"/>
      <c r="JD300" s="49"/>
      <c r="JF300" s="49"/>
      <c r="JG300" s="49"/>
      <c r="JI300" s="49"/>
      <c r="JJ300" s="49"/>
      <c r="JL300" s="49"/>
      <c r="JM300" s="49"/>
      <c r="JO300" s="49"/>
      <c r="JP300" s="49"/>
      <c r="JR300" s="49"/>
    </row>
    <row r="301" spans="237:278">
      <c r="IC301" s="49"/>
      <c r="IE301" s="49"/>
      <c r="IF301" s="49"/>
      <c r="IH301" s="49"/>
      <c r="II301" s="49"/>
      <c r="IK301" s="49"/>
      <c r="IL301" s="49"/>
      <c r="IN301" s="49"/>
      <c r="IO301" s="49"/>
      <c r="IQ301" s="49"/>
      <c r="IR301" s="49"/>
      <c r="IT301" s="49"/>
      <c r="IU301" s="49"/>
      <c r="IW301" s="49"/>
      <c r="IX301" s="49"/>
      <c r="IZ301" s="49"/>
      <c r="JA301" s="49"/>
      <c r="JC301" s="49"/>
      <c r="JD301" s="49"/>
      <c r="JF301" s="49"/>
      <c r="JG301" s="49"/>
      <c r="JI301" s="49"/>
      <c r="JJ301" s="49"/>
      <c r="JL301" s="49"/>
      <c r="JM301" s="49"/>
      <c r="JO301" s="49"/>
      <c r="JP301" s="49"/>
      <c r="JR301" s="49"/>
    </row>
    <row r="302" spans="237:278">
      <c r="IC302" s="49"/>
      <c r="IE302" s="49"/>
      <c r="IF302" s="49"/>
      <c r="IH302" s="49"/>
      <c r="II302" s="49"/>
      <c r="IK302" s="49"/>
      <c r="IL302" s="49"/>
      <c r="IN302" s="49"/>
      <c r="IO302" s="49"/>
      <c r="IQ302" s="49"/>
      <c r="IR302" s="49"/>
      <c r="IT302" s="49"/>
      <c r="IU302" s="49"/>
      <c r="IW302" s="49"/>
      <c r="IX302" s="49"/>
      <c r="IZ302" s="49"/>
      <c r="JA302" s="49"/>
      <c r="JC302" s="49"/>
      <c r="JD302" s="49"/>
      <c r="JF302" s="49"/>
      <c r="JG302" s="49"/>
      <c r="JI302" s="49"/>
      <c r="JJ302" s="49"/>
      <c r="JL302" s="49"/>
      <c r="JM302" s="49"/>
      <c r="JO302" s="49"/>
      <c r="JP302" s="49"/>
      <c r="JR302" s="49"/>
    </row>
    <row r="303" spans="237:278">
      <c r="IC303" s="49"/>
      <c r="IE303" s="49"/>
      <c r="IF303" s="49"/>
      <c r="IH303" s="49"/>
      <c r="II303" s="49"/>
      <c r="IK303" s="49"/>
      <c r="IL303" s="49"/>
      <c r="IN303" s="49"/>
      <c r="IO303" s="49"/>
      <c r="IQ303" s="49"/>
      <c r="IR303" s="49"/>
      <c r="IT303" s="49"/>
      <c r="IU303" s="49"/>
      <c r="IW303" s="49"/>
      <c r="IX303" s="49"/>
      <c r="IZ303" s="49"/>
      <c r="JA303" s="49"/>
      <c r="JC303" s="49"/>
      <c r="JD303" s="49"/>
      <c r="JF303" s="49"/>
      <c r="JG303" s="49"/>
      <c r="JI303" s="49"/>
      <c r="JJ303" s="49"/>
      <c r="JL303" s="49"/>
      <c r="JM303" s="49"/>
      <c r="JO303" s="49"/>
      <c r="JP303" s="49"/>
      <c r="JR303" s="49"/>
    </row>
    <row r="304" spans="237:278">
      <c r="IC304" s="49"/>
      <c r="IE304" s="49"/>
      <c r="IF304" s="49"/>
      <c r="IH304" s="49"/>
      <c r="II304" s="49"/>
      <c r="IK304" s="49"/>
      <c r="IL304" s="49"/>
      <c r="IN304" s="49"/>
      <c r="IO304" s="49"/>
      <c r="IQ304" s="49"/>
      <c r="IR304" s="49"/>
      <c r="IT304" s="49"/>
      <c r="IU304" s="49"/>
      <c r="IW304" s="49"/>
      <c r="IX304" s="49"/>
      <c r="IZ304" s="49"/>
      <c r="JA304" s="49"/>
      <c r="JC304" s="49"/>
      <c r="JD304" s="49"/>
      <c r="JF304" s="49"/>
      <c r="JG304" s="49"/>
      <c r="JI304" s="49"/>
      <c r="JJ304" s="49"/>
      <c r="JL304" s="49"/>
      <c r="JM304" s="49"/>
      <c r="JO304" s="49"/>
      <c r="JP304" s="49"/>
      <c r="JR304" s="49"/>
    </row>
    <row r="305" spans="237:278">
      <c r="IC305" s="49"/>
      <c r="IE305" s="49"/>
      <c r="IF305" s="49"/>
      <c r="IH305" s="49"/>
      <c r="II305" s="49"/>
      <c r="IK305" s="49"/>
      <c r="IL305" s="49"/>
      <c r="IN305" s="49"/>
      <c r="IO305" s="49"/>
      <c r="IQ305" s="49"/>
      <c r="IR305" s="49"/>
      <c r="IT305" s="49"/>
      <c r="IU305" s="49"/>
      <c r="IW305" s="49"/>
      <c r="IX305" s="49"/>
      <c r="IZ305" s="49"/>
      <c r="JA305" s="49"/>
      <c r="JC305" s="49"/>
      <c r="JD305" s="49"/>
      <c r="JF305" s="49"/>
      <c r="JG305" s="49"/>
      <c r="JI305" s="49"/>
      <c r="JJ305" s="49"/>
      <c r="JL305" s="49"/>
      <c r="JM305" s="49"/>
      <c r="JO305" s="49"/>
      <c r="JP305" s="49"/>
      <c r="JR305" s="49"/>
    </row>
    <row r="306" spans="237:278">
      <c r="IC306" s="49"/>
      <c r="IE306" s="49"/>
      <c r="IF306" s="49"/>
      <c r="IH306" s="49"/>
      <c r="II306" s="49"/>
      <c r="IK306" s="49"/>
      <c r="IL306" s="49"/>
      <c r="IN306" s="49"/>
      <c r="IO306" s="49"/>
      <c r="IQ306" s="49"/>
      <c r="IR306" s="49"/>
      <c r="IT306" s="49"/>
      <c r="IU306" s="49"/>
      <c r="IW306" s="49"/>
      <c r="IX306" s="49"/>
      <c r="IZ306" s="49"/>
      <c r="JA306" s="49"/>
      <c r="JC306" s="49"/>
      <c r="JD306" s="49"/>
      <c r="JF306" s="49"/>
      <c r="JG306" s="49"/>
      <c r="JI306" s="49"/>
      <c r="JJ306" s="49"/>
      <c r="JL306" s="49"/>
      <c r="JM306" s="49"/>
      <c r="JO306" s="49"/>
      <c r="JP306" s="49"/>
      <c r="JR306" s="49"/>
    </row>
    <row r="307" spans="237:278">
      <c r="IC307" s="49"/>
      <c r="IE307" s="49"/>
      <c r="IF307" s="49"/>
      <c r="IH307" s="49"/>
      <c r="II307" s="49"/>
      <c r="IK307" s="49"/>
      <c r="IL307" s="49"/>
      <c r="IN307" s="49"/>
      <c r="IO307" s="49"/>
      <c r="IQ307" s="49"/>
      <c r="IR307" s="49"/>
      <c r="IT307" s="49"/>
      <c r="IU307" s="49"/>
      <c r="IW307" s="49"/>
      <c r="IX307" s="49"/>
      <c r="IZ307" s="49"/>
      <c r="JA307" s="49"/>
      <c r="JC307" s="49"/>
      <c r="JD307" s="49"/>
      <c r="JF307" s="49"/>
      <c r="JG307" s="49"/>
      <c r="JI307" s="49"/>
      <c r="JJ307" s="49"/>
      <c r="JL307" s="49"/>
      <c r="JM307" s="49"/>
      <c r="JO307" s="49"/>
      <c r="JP307" s="49"/>
      <c r="JR307" s="49"/>
    </row>
    <row r="308" spans="237:278">
      <c r="IC308" s="49"/>
      <c r="IE308" s="49"/>
      <c r="IF308" s="49"/>
      <c r="IH308" s="49"/>
      <c r="II308" s="49"/>
      <c r="IK308" s="49"/>
      <c r="IL308" s="49"/>
      <c r="IN308" s="49"/>
      <c r="IO308" s="49"/>
      <c r="IQ308" s="49"/>
      <c r="IR308" s="49"/>
      <c r="IT308" s="49"/>
      <c r="IU308" s="49"/>
      <c r="IW308" s="49"/>
      <c r="IX308" s="49"/>
      <c r="IZ308" s="49"/>
      <c r="JA308" s="49"/>
      <c r="JC308" s="49"/>
      <c r="JD308" s="49"/>
      <c r="JF308" s="49"/>
      <c r="JG308" s="49"/>
      <c r="JI308" s="49"/>
      <c r="JJ308" s="49"/>
      <c r="JL308" s="49"/>
      <c r="JM308" s="49"/>
      <c r="JO308" s="49"/>
      <c r="JP308" s="49"/>
      <c r="JR308" s="49"/>
    </row>
    <row r="309" spans="237:278">
      <c r="IC309" s="49"/>
      <c r="IE309" s="49"/>
      <c r="IF309" s="49"/>
      <c r="IH309" s="49"/>
      <c r="II309" s="49"/>
      <c r="IK309" s="49"/>
      <c r="IL309" s="49"/>
      <c r="IN309" s="49"/>
      <c r="IO309" s="49"/>
      <c r="IQ309" s="49"/>
      <c r="IR309" s="49"/>
      <c r="IT309" s="49"/>
      <c r="IU309" s="49"/>
      <c r="IW309" s="49"/>
      <c r="IX309" s="49"/>
      <c r="IZ309" s="49"/>
      <c r="JA309" s="49"/>
      <c r="JC309" s="49"/>
      <c r="JD309" s="49"/>
      <c r="JF309" s="49"/>
      <c r="JG309" s="49"/>
      <c r="JI309" s="49"/>
      <c r="JJ309" s="49"/>
      <c r="JL309" s="49"/>
      <c r="JM309" s="49"/>
      <c r="JO309" s="49"/>
      <c r="JP309" s="49"/>
      <c r="JR309" s="49"/>
    </row>
    <row r="310" spans="237:278">
      <c r="IC310" s="49"/>
      <c r="IE310" s="49"/>
      <c r="IF310" s="49"/>
      <c r="IH310" s="49"/>
      <c r="II310" s="49"/>
      <c r="IK310" s="49"/>
      <c r="IL310" s="49"/>
      <c r="IN310" s="49"/>
      <c r="IO310" s="49"/>
      <c r="IQ310" s="49"/>
      <c r="IR310" s="49"/>
      <c r="IT310" s="49"/>
      <c r="IU310" s="49"/>
      <c r="IW310" s="49"/>
      <c r="IX310" s="49"/>
      <c r="IZ310" s="49"/>
      <c r="JA310" s="49"/>
      <c r="JC310" s="49"/>
      <c r="JD310" s="49"/>
      <c r="JF310" s="49"/>
      <c r="JG310" s="49"/>
      <c r="JI310" s="49"/>
      <c r="JJ310" s="49"/>
      <c r="JL310" s="49"/>
      <c r="JM310" s="49"/>
      <c r="JO310" s="49"/>
      <c r="JP310" s="49"/>
      <c r="JR310" s="49"/>
    </row>
    <row r="311" spans="237:278">
      <c r="IC311" s="49"/>
      <c r="IE311" s="49"/>
      <c r="IF311" s="49"/>
      <c r="IH311" s="49"/>
      <c r="II311" s="49"/>
      <c r="IK311" s="49"/>
      <c r="IL311" s="49"/>
      <c r="IN311" s="49"/>
      <c r="IO311" s="49"/>
      <c r="IQ311" s="49"/>
      <c r="IR311" s="49"/>
      <c r="IT311" s="49"/>
      <c r="IU311" s="49"/>
      <c r="IW311" s="49"/>
      <c r="IX311" s="49"/>
      <c r="IZ311" s="49"/>
      <c r="JA311" s="49"/>
      <c r="JC311" s="49"/>
      <c r="JD311" s="49"/>
      <c r="JF311" s="49"/>
      <c r="JG311" s="49"/>
      <c r="JI311" s="49"/>
      <c r="JJ311" s="49"/>
      <c r="JL311" s="49"/>
      <c r="JM311" s="49"/>
      <c r="JO311" s="49"/>
      <c r="JP311" s="49"/>
      <c r="JR311" s="49"/>
    </row>
    <row r="312" spans="237:278">
      <c r="IC312" s="49"/>
      <c r="IE312" s="49"/>
      <c r="IF312" s="49"/>
      <c r="IH312" s="49"/>
      <c r="II312" s="49"/>
      <c r="IK312" s="49"/>
      <c r="IL312" s="49"/>
      <c r="IN312" s="49"/>
      <c r="IO312" s="49"/>
      <c r="IQ312" s="49"/>
      <c r="IR312" s="49"/>
      <c r="IT312" s="49"/>
      <c r="IU312" s="49"/>
      <c r="IW312" s="49"/>
      <c r="IX312" s="49"/>
      <c r="IZ312" s="49"/>
      <c r="JA312" s="49"/>
      <c r="JC312" s="49"/>
      <c r="JD312" s="49"/>
      <c r="JF312" s="49"/>
      <c r="JG312" s="49"/>
      <c r="JI312" s="49"/>
      <c r="JJ312" s="49"/>
      <c r="JL312" s="49"/>
      <c r="JM312" s="49"/>
      <c r="JO312" s="49"/>
      <c r="JP312" s="49"/>
      <c r="JR312" s="49"/>
    </row>
    <row r="313" spans="237:278">
      <c r="IC313" s="49"/>
      <c r="IE313" s="49"/>
      <c r="IF313" s="49"/>
      <c r="IH313" s="49"/>
      <c r="II313" s="49"/>
      <c r="IK313" s="49"/>
      <c r="IL313" s="49"/>
      <c r="IN313" s="49"/>
      <c r="IO313" s="49"/>
      <c r="IQ313" s="49"/>
      <c r="IR313" s="49"/>
      <c r="IT313" s="49"/>
      <c r="IU313" s="49"/>
      <c r="IW313" s="49"/>
      <c r="IX313" s="49"/>
      <c r="IZ313" s="49"/>
      <c r="JA313" s="49"/>
      <c r="JC313" s="49"/>
      <c r="JD313" s="49"/>
      <c r="JF313" s="49"/>
      <c r="JG313" s="49"/>
      <c r="JI313" s="49"/>
      <c r="JJ313" s="49"/>
      <c r="JL313" s="49"/>
      <c r="JM313" s="49"/>
      <c r="JO313" s="49"/>
      <c r="JP313" s="49"/>
      <c r="JR313" s="49"/>
    </row>
    <row r="314" spans="237:278">
      <c r="IC314" s="49"/>
      <c r="IE314" s="49"/>
      <c r="IF314" s="49"/>
      <c r="IH314" s="49"/>
      <c r="II314" s="49"/>
      <c r="IK314" s="49"/>
      <c r="IL314" s="49"/>
      <c r="IN314" s="49"/>
      <c r="IO314" s="49"/>
      <c r="IQ314" s="49"/>
      <c r="IR314" s="49"/>
      <c r="IT314" s="49"/>
      <c r="IU314" s="49"/>
      <c r="IW314" s="49"/>
      <c r="IX314" s="49"/>
      <c r="IZ314" s="49"/>
      <c r="JA314" s="49"/>
      <c r="JC314" s="49"/>
      <c r="JD314" s="49"/>
      <c r="JF314" s="49"/>
      <c r="JG314" s="49"/>
      <c r="JI314" s="49"/>
      <c r="JJ314" s="49"/>
      <c r="JL314" s="49"/>
      <c r="JM314" s="49"/>
      <c r="JO314" s="49"/>
      <c r="JP314" s="49"/>
      <c r="JR314" s="49"/>
    </row>
    <row r="315" spans="237:278">
      <c r="IC315" s="49"/>
      <c r="IE315" s="49"/>
      <c r="IF315" s="49"/>
      <c r="IH315" s="49"/>
      <c r="II315" s="49"/>
      <c r="IK315" s="49"/>
      <c r="IL315" s="49"/>
      <c r="IN315" s="49"/>
      <c r="IO315" s="49"/>
      <c r="IQ315" s="49"/>
      <c r="IR315" s="49"/>
      <c r="IT315" s="49"/>
      <c r="IU315" s="49"/>
      <c r="IW315" s="49"/>
      <c r="IX315" s="49"/>
      <c r="IZ315" s="49"/>
      <c r="JA315" s="49"/>
      <c r="JC315" s="49"/>
      <c r="JD315" s="49"/>
      <c r="JF315" s="49"/>
      <c r="JG315" s="49"/>
      <c r="JI315" s="49"/>
      <c r="JJ315" s="49"/>
      <c r="JL315" s="49"/>
      <c r="JM315" s="49"/>
      <c r="JO315" s="49"/>
      <c r="JP315" s="49"/>
      <c r="JR315" s="49"/>
    </row>
    <row r="316" spans="237:278">
      <c r="IC316" s="49"/>
      <c r="IE316" s="49"/>
      <c r="IF316" s="49"/>
      <c r="IH316" s="49"/>
      <c r="II316" s="49"/>
      <c r="IK316" s="49"/>
      <c r="IL316" s="49"/>
      <c r="IN316" s="49"/>
      <c r="IO316" s="49"/>
      <c r="IQ316" s="49"/>
      <c r="IR316" s="49"/>
      <c r="IT316" s="49"/>
      <c r="IU316" s="49"/>
      <c r="IW316" s="49"/>
      <c r="IX316" s="49"/>
      <c r="IZ316" s="49"/>
      <c r="JA316" s="49"/>
      <c r="JC316" s="49"/>
      <c r="JD316" s="49"/>
      <c r="JF316" s="49"/>
      <c r="JG316" s="49"/>
      <c r="JI316" s="49"/>
      <c r="JJ316" s="49"/>
      <c r="JL316" s="49"/>
      <c r="JM316" s="49"/>
      <c r="JO316" s="49"/>
      <c r="JP316" s="49"/>
      <c r="JR316" s="49"/>
    </row>
    <row r="317" spans="237:278">
      <c r="IC317" s="49"/>
      <c r="IE317" s="49"/>
      <c r="IF317" s="49"/>
      <c r="IH317" s="49"/>
      <c r="II317" s="49"/>
      <c r="IK317" s="49"/>
      <c r="IL317" s="49"/>
      <c r="IN317" s="49"/>
      <c r="IO317" s="49"/>
      <c r="IQ317" s="49"/>
      <c r="IR317" s="49"/>
      <c r="IT317" s="49"/>
      <c r="IU317" s="49"/>
      <c r="IW317" s="49"/>
      <c r="IX317" s="49"/>
      <c r="IZ317" s="49"/>
      <c r="JA317" s="49"/>
      <c r="JC317" s="49"/>
      <c r="JD317" s="49"/>
      <c r="JF317" s="49"/>
      <c r="JG317" s="49"/>
      <c r="JI317" s="49"/>
      <c r="JJ317" s="49"/>
      <c r="JL317" s="49"/>
      <c r="JM317" s="49"/>
      <c r="JO317" s="49"/>
      <c r="JP317" s="49"/>
      <c r="JR317" s="49"/>
    </row>
    <row r="318" spans="237:278">
      <c r="IC318" s="49"/>
      <c r="IE318" s="49"/>
      <c r="IF318" s="49"/>
      <c r="IH318" s="49"/>
      <c r="II318" s="49"/>
      <c r="IK318" s="49"/>
      <c r="IL318" s="49"/>
      <c r="IN318" s="49"/>
      <c r="IO318" s="49"/>
      <c r="IQ318" s="49"/>
      <c r="IR318" s="49"/>
      <c r="IT318" s="49"/>
      <c r="IU318" s="49"/>
      <c r="IW318" s="49"/>
      <c r="IX318" s="49"/>
      <c r="IZ318" s="49"/>
      <c r="JA318" s="49"/>
      <c r="JC318" s="49"/>
      <c r="JD318" s="49"/>
      <c r="JF318" s="49"/>
      <c r="JG318" s="49"/>
      <c r="JI318" s="49"/>
      <c r="JJ318" s="49"/>
      <c r="JL318" s="49"/>
      <c r="JM318" s="49"/>
      <c r="JO318" s="49"/>
      <c r="JP318" s="49"/>
      <c r="JR318" s="49"/>
    </row>
    <row r="319" spans="237:278">
      <c r="IC319" s="49"/>
      <c r="IE319" s="49"/>
      <c r="IF319" s="49"/>
      <c r="IH319" s="49"/>
      <c r="II319" s="49"/>
      <c r="IK319" s="49"/>
      <c r="IL319" s="49"/>
      <c r="IN319" s="49"/>
      <c r="IO319" s="49"/>
      <c r="IQ319" s="49"/>
      <c r="IR319" s="49"/>
      <c r="IT319" s="49"/>
      <c r="IU319" s="49"/>
      <c r="IW319" s="49"/>
      <c r="IX319" s="49"/>
      <c r="IZ319" s="49"/>
      <c r="JA319" s="49"/>
      <c r="JC319" s="49"/>
      <c r="JD319" s="49"/>
      <c r="JF319" s="49"/>
      <c r="JG319" s="49"/>
      <c r="JI319" s="49"/>
      <c r="JJ319" s="49"/>
      <c r="JL319" s="49"/>
      <c r="JM319" s="49"/>
      <c r="JO319" s="49"/>
      <c r="JP319" s="49"/>
      <c r="JR319" s="49"/>
    </row>
    <row r="320" spans="237:278">
      <c r="IC320" s="49"/>
      <c r="IE320" s="49"/>
      <c r="IF320" s="49"/>
      <c r="IH320" s="49"/>
      <c r="II320" s="49"/>
      <c r="IK320" s="49"/>
      <c r="IL320" s="49"/>
      <c r="IN320" s="49"/>
      <c r="IO320" s="49"/>
      <c r="IQ320" s="49"/>
      <c r="IR320" s="49"/>
      <c r="IT320" s="49"/>
      <c r="IU320" s="49"/>
      <c r="IW320" s="49"/>
      <c r="IX320" s="49"/>
      <c r="IZ320" s="49"/>
      <c r="JA320" s="49"/>
      <c r="JC320" s="49"/>
      <c r="JD320" s="49"/>
      <c r="JF320" s="49"/>
      <c r="JG320" s="49"/>
      <c r="JI320" s="49"/>
      <c r="JJ320" s="49"/>
      <c r="JL320" s="49"/>
      <c r="JM320" s="49"/>
      <c r="JO320" s="49"/>
      <c r="JP320" s="49"/>
      <c r="JR320" s="49"/>
    </row>
    <row r="321" spans="237:278">
      <c r="IC321" s="49"/>
      <c r="IE321" s="49"/>
      <c r="IF321" s="49"/>
      <c r="IH321" s="49"/>
      <c r="II321" s="49"/>
      <c r="IK321" s="49"/>
      <c r="IL321" s="49"/>
      <c r="IN321" s="49"/>
      <c r="IO321" s="49"/>
      <c r="IQ321" s="49"/>
      <c r="IR321" s="49"/>
      <c r="IT321" s="49"/>
      <c r="IU321" s="49"/>
      <c r="IW321" s="49"/>
      <c r="IX321" s="49"/>
      <c r="IZ321" s="49"/>
      <c r="JA321" s="49"/>
      <c r="JC321" s="49"/>
      <c r="JD321" s="49"/>
      <c r="JF321" s="49"/>
      <c r="JG321" s="49"/>
      <c r="JI321" s="49"/>
      <c r="JJ321" s="49"/>
      <c r="JL321" s="49"/>
      <c r="JM321" s="49"/>
      <c r="JO321" s="49"/>
      <c r="JP321" s="49"/>
      <c r="JR321" s="49"/>
    </row>
    <row r="322" spans="237:278">
      <c r="IC322" s="49"/>
      <c r="IE322" s="49"/>
      <c r="IF322" s="49"/>
      <c r="IH322" s="49"/>
      <c r="II322" s="49"/>
      <c r="IK322" s="49"/>
      <c r="IL322" s="49"/>
      <c r="IN322" s="49"/>
      <c r="IO322" s="49"/>
      <c r="IQ322" s="49"/>
      <c r="IR322" s="49"/>
      <c r="IT322" s="49"/>
      <c r="IU322" s="49"/>
      <c r="IW322" s="49"/>
      <c r="IX322" s="49"/>
      <c r="IZ322" s="49"/>
      <c r="JA322" s="49"/>
      <c r="JC322" s="49"/>
      <c r="JD322" s="49"/>
      <c r="JF322" s="49"/>
      <c r="JG322" s="49"/>
      <c r="JI322" s="49"/>
      <c r="JJ322" s="49"/>
      <c r="JL322" s="49"/>
      <c r="JM322" s="49"/>
      <c r="JO322" s="49"/>
      <c r="JP322" s="49"/>
      <c r="JR322" s="49"/>
    </row>
    <row r="323" spans="237:278">
      <c r="IC323" s="49"/>
      <c r="IE323" s="49"/>
      <c r="IF323" s="49"/>
      <c r="IH323" s="49"/>
      <c r="II323" s="49"/>
      <c r="IK323" s="49"/>
      <c r="IL323" s="49"/>
      <c r="IN323" s="49"/>
      <c r="IO323" s="49"/>
      <c r="IQ323" s="49"/>
      <c r="IR323" s="49"/>
      <c r="IT323" s="49"/>
      <c r="IU323" s="49"/>
      <c r="IW323" s="49"/>
      <c r="IX323" s="49"/>
      <c r="IZ323" s="49"/>
      <c r="JA323" s="49"/>
      <c r="JC323" s="49"/>
      <c r="JD323" s="49"/>
      <c r="JF323" s="49"/>
      <c r="JG323" s="49"/>
      <c r="JI323" s="49"/>
      <c r="JJ323" s="49"/>
      <c r="JL323" s="49"/>
      <c r="JM323" s="49"/>
      <c r="JO323" s="49"/>
      <c r="JP323" s="49"/>
      <c r="JR323" s="49"/>
    </row>
    <row r="324" spans="237:278">
      <c r="IC324" s="49"/>
      <c r="IE324" s="49"/>
      <c r="IF324" s="49"/>
      <c r="IH324" s="49"/>
      <c r="II324" s="49"/>
      <c r="IK324" s="49"/>
      <c r="IL324" s="49"/>
      <c r="IN324" s="49"/>
      <c r="IO324" s="49"/>
      <c r="IQ324" s="49"/>
      <c r="IR324" s="49"/>
      <c r="IT324" s="49"/>
      <c r="IU324" s="49"/>
      <c r="IW324" s="49"/>
      <c r="IX324" s="49"/>
      <c r="IZ324" s="49"/>
      <c r="JA324" s="49"/>
      <c r="JC324" s="49"/>
      <c r="JD324" s="49"/>
      <c r="JF324" s="49"/>
      <c r="JG324" s="49"/>
      <c r="JI324" s="49"/>
      <c r="JJ324" s="49"/>
      <c r="JL324" s="49"/>
      <c r="JM324" s="49"/>
      <c r="JO324" s="49"/>
      <c r="JP324" s="49"/>
      <c r="JR324" s="49"/>
    </row>
    <row r="325" spans="237:278">
      <c r="IC325" s="49"/>
      <c r="IE325" s="49"/>
      <c r="IF325" s="49"/>
      <c r="IH325" s="49"/>
      <c r="II325" s="49"/>
      <c r="IK325" s="49"/>
      <c r="IL325" s="49"/>
      <c r="IN325" s="49"/>
      <c r="IO325" s="49"/>
      <c r="IQ325" s="49"/>
      <c r="IR325" s="49"/>
      <c r="IT325" s="49"/>
      <c r="IU325" s="49"/>
      <c r="IW325" s="49"/>
      <c r="IX325" s="49"/>
      <c r="IZ325" s="49"/>
      <c r="JA325" s="49"/>
      <c r="JC325" s="49"/>
      <c r="JD325" s="49"/>
      <c r="JF325" s="49"/>
      <c r="JG325" s="49"/>
      <c r="JI325" s="49"/>
      <c r="JJ325" s="49"/>
      <c r="JL325" s="49"/>
      <c r="JM325" s="49"/>
      <c r="JO325" s="49"/>
      <c r="JP325" s="49"/>
      <c r="JR325" s="49"/>
    </row>
    <row r="326" spans="237:278">
      <c r="IC326" s="49"/>
      <c r="IE326" s="49"/>
      <c r="IF326" s="49"/>
      <c r="IH326" s="49"/>
      <c r="II326" s="49"/>
      <c r="IK326" s="49"/>
      <c r="IL326" s="49"/>
      <c r="IN326" s="49"/>
      <c r="IO326" s="49"/>
      <c r="IQ326" s="49"/>
      <c r="IR326" s="49"/>
      <c r="IT326" s="49"/>
      <c r="IU326" s="49"/>
      <c r="IW326" s="49"/>
      <c r="IX326" s="49"/>
      <c r="IZ326" s="49"/>
      <c r="JA326" s="49"/>
      <c r="JC326" s="49"/>
      <c r="JD326" s="49"/>
      <c r="JF326" s="49"/>
      <c r="JG326" s="49"/>
      <c r="JI326" s="49"/>
      <c r="JJ326" s="49"/>
      <c r="JL326" s="49"/>
      <c r="JM326" s="49"/>
      <c r="JO326" s="49"/>
      <c r="JP326" s="49"/>
      <c r="JR326" s="49"/>
    </row>
    <row r="327" spans="237:278">
      <c r="IC327" s="49"/>
      <c r="IE327" s="49"/>
      <c r="IF327" s="49"/>
      <c r="IH327" s="49"/>
      <c r="II327" s="49"/>
      <c r="IK327" s="49"/>
      <c r="IL327" s="49"/>
      <c r="IN327" s="49"/>
      <c r="IO327" s="49"/>
      <c r="IQ327" s="49"/>
      <c r="IR327" s="49"/>
      <c r="IT327" s="49"/>
      <c r="IU327" s="49"/>
      <c r="IW327" s="49"/>
      <c r="IX327" s="49"/>
      <c r="IZ327" s="49"/>
      <c r="JA327" s="49"/>
      <c r="JC327" s="49"/>
      <c r="JD327" s="49"/>
      <c r="JF327" s="49"/>
      <c r="JG327" s="49"/>
      <c r="JI327" s="49"/>
      <c r="JJ327" s="49"/>
      <c r="JL327" s="49"/>
      <c r="JM327" s="49"/>
      <c r="JO327" s="49"/>
      <c r="JP327" s="49"/>
      <c r="JR327" s="49"/>
    </row>
    <row r="328" spans="237:278">
      <c r="IC328" s="49"/>
      <c r="IE328" s="49"/>
      <c r="IF328" s="49"/>
      <c r="IH328" s="49"/>
      <c r="II328" s="49"/>
      <c r="IK328" s="49"/>
      <c r="IL328" s="49"/>
      <c r="IN328" s="49"/>
      <c r="IO328" s="49"/>
      <c r="IQ328" s="49"/>
      <c r="IR328" s="49"/>
      <c r="IT328" s="49"/>
      <c r="IU328" s="49"/>
      <c r="IW328" s="49"/>
      <c r="IX328" s="49"/>
      <c r="IZ328" s="49"/>
      <c r="JA328" s="49"/>
      <c r="JC328" s="49"/>
      <c r="JD328" s="49"/>
      <c r="JF328" s="49"/>
      <c r="JG328" s="49"/>
      <c r="JI328" s="49"/>
      <c r="JJ328" s="49"/>
      <c r="JL328" s="49"/>
      <c r="JM328" s="49"/>
      <c r="JO328" s="49"/>
      <c r="JP328" s="49"/>
      <c r="JR328" s="49"/>
    </row>
    <row r="329" spans="237:278">
      <c r="IC329" s="49"/>
      <c r="IE329" s="49"/>
      <c r="IF329" s="49"/>
      <c r="IH329" s="49"/>
      <c r="II329" s="49"/>
      <c r="IK329" s="49"/>
      <c r="IL329" s="49"/>
      <c r="IN329" s="49"/>
      <c r="IO329" s="49"/>
      <c r="IQ329" s="49"/>
      <c r="IR329" s="49"/>
      <c r="IT329" s="49"/>
      <c r="IU329" s="49"/>
      <c r="IW329" s="49"/>
      <c r="IX329" s="49"/>
      <c r="IZ329" s="49"/>
      <c r="JA329" s="49"/>
      <c r="JC329" s="49"/>
      <c r="JD329" s="49"/>
      <c r="JF329" s="49"/>
      <c r="JG329" s="49"/>
      <c r="JI329" s="49"/>
      <c r="JJ329" s="49"/>
      <c r="JL329" s="49"/>
      <c r="JM329" s="49"/>
      <c r="JO329" s="49"/>
      <c r="JP329" s="49"/>
      <c r="JR329" s="49"/>
    </row>
    <row r="330" spans="237:278">
      <c r="IC330" s="49"/>
      <c r="IE330" s="49"/>
      <c r="IF330" s="49"/>
      <c r="IH330" s="49"/>
      <c r="II330" s="49"/>
      <c r="IK330" s="49"/>
      <c r="IL330" s="49"/>
      <c r="IN330" s="49"/>
      <c r="IO330" s="49"/>
      <c r="IQ330" s="49"/>
      <c r="IR330" s="49"/>
      <c r="IT330" s="49"/>
      <c r="IU330" s="49"/>
      <c r="IW330" s="49"/>
      <c r="IX330" s="49"/>
      <c r="IZ330" s="49"/>
      <c r="JA330" s="49"/>
      <c r="JC330" s="49"/>
      <c r="JD330" s="49"/>
      <c r="JF330" s="49"/>
      <c r="JG330" s="49"/>
      <c r="JI330" s="49"/>
      <c r="JJ330" s="49"/>
      <c r="JL330" s="49"/>
      <c r="JM330" s="49"/>
      <c r="JO330" s="49"/>
      <c r="JP330" s="49"/>
      <c r="JR330" s="49"/>
    </row>
    <row r="331" spans="237:278">
      <c r="IC331" s="49"/>
      <c r="IE331" s="49"/>
      <c r="IF331" s="49"/>
      <c r="IH331" s="49"/>
      <c r="II331" s="49"/>
      <c r="IK331" s="49"/>
      <c r="IL331" s="49"/>
      <c r="IN331" s="49"/>
      <c r="IO331" s="49"/>
      <c r="IQ331" s="49"/>
      <c r="IR331" s="49"/>
      <c r="IT331" s="49"/>
      <c r="IU331" s="49"/>
      <c r="IW331" s="49"/>
      <c r="IX331" s="49"/>
      <c r="IZ331" s="49"/>
      <c r="JA331" s="49"/>
      <c r="JC331" s="49"/>
      <c r="JD331" s="49"/>
      <c r="JF331" s="49"/>
      <c r="JG331" s="49"/>
      <c r="JI331" s="49"/>
      <c r="JJ331" s="49"/>
      <c r="JL331" s="49"/>
      <c r="JM331" s="49"/>
      <c r="JO331" s="49"/>
      <c r="JP331" s="49"/>
      <c r="JR331" s="49"/>
    </row>
    <row r="332" spans="237:278">
      <c r="IC332" s="49"/>
      <c r="IE332" s="49"/>
      <c r="IF332" s="49"/>
      <c r="IH332" s="49"/>
      <c r="II332" s="49"/>
      <c r="IK332" s="49"/>
      <c r="IL332" s="49"/>
      <c r="IN332" s="49"/>
      <c r="IO332" s="49"/>
      <c r="IQ332" s="49"/>
      <c r="IR332" s="49"/>
      <c r="IT332" s="49"/>
      <c r="IU332" s="49"/>
      <c r="IW332" s="49"/>
      <c r="IX332" s="49"/>
      <c r="IZ332" s="49"/>
      <c r="JA332" s="49"/>
      <c r="JC332" s="49"/>
      <c r="JD332" s="49"/>
      <c r="JF332" s="49"/>
      <c r="JG332" s="49"/>
      <c r="JI332" s="49"/>
      <c r="JJ332" s="49"/>
      <c r="JL332" s="49"/>
      <c r="JM332" s="49"/>
      <c r="JO332" s="49"/>
      <c r="JP332" s="49"/>
      <c r="JR332" s="49"/>
    </row>
    <row r="333" spans="237:278">
      <c r="IC333" s="49"/>
      <c r="IE333" s="49"/>
      <c r="IF333" s="49"/>
      <c r="IH333" s="49"/>
      <c r="II333" s="49"/>
      <c r="IK333" s="49"/>
      <c r="IL333" s="49"/>
      <c r="IN333" s="49"/>
      <c r="IO333" s="49"/>
      <c r="IQ333" s="49"/>
      <c r="IR333" s="49"/>
      <c r="IT333" s="49"/>
      <c r="IU333" s="49"/>
      <c r="IW333" s="49"/>
      <c r="IX333" s="49"/>
      <c r="IZ333" s="49"/>
      <c r="JA333" s="49"/>
      <c r="JC333" s="49"/>
      <c r="JD333" s="49"/>
      <c r="JF333" s="49"/>
      <c r="JG333" s="49"/>
      <c r="JI333" s="49"/>
      <c r="JJ333" s="49"/>
      <c r="JL333" s="49"/>
      <c r="JM333" s="49"/>
      <c r="JO333" s="49"/>
      <c r="JP333" s="49"/>
      <c r="JR333" s="49"/>
    </row>
    <row r="334" spans="237:278">
      <c r="IC334" s="49"/>
      <c r="IE334" s="49"/>
      <c r="IF334" s="49"/>
      <c r="IH334" s="49"/>
      <c r="II334" s="49"/>
      <c r="IK334" s="49"/>
      <c r="IL334" s="49"/>
      <c r="IN334" s="49"/>
      <c r="IO334" s="49"/>
      <c r="IQ334" s="49"/>
      <c r="IR334" s="49"/>
      <c r="IT334" s="49"/>
      <c r="IU334" s="49"/>
      <c r="IW334" s="49"/>
      <c r="IX334" s="49"/>
      <c r="IZ334" s="49"/>
      <c r="JA334" s="49"/>
      <c r="JC334" s="49"/>
      <c r="JD334" s="49"/>
      <c r="JF334" s="49"/>
      <c r="JG334" s="49"/>
      <c r="JI334" s="49"/>
      <c r="JJ334" s="49"/>
      <c r="JL334" s="49"/>
      <c r="JM334" s="49"/>
      <c r="JO334" s="49"/>
      <c r="JP334" s="49"/>
      <c r="JR334" s="49"/>
    </row>
    <row r="335" spans="237:278">
      <c r="IC335" s="49"/>
      <c r="IE335" s="49"/>
      <c r="IF335" s="49"/>
      <c r="IH335" s="49"/>
      <c r="II335" s="49"/>
      <c r="IK335" s="49"/>
      <c r="IL335" s="49"/>
      <c r="IN335" s="49"/>
      <c r="IO335" s="49"/>
      <c r="IQ335" s="49"/>
      <c r="IR335" s="49"/>
      <c r="IT335" s="49"/>
      <c r="IU335" s="49"/>
      <c r="IW335" s="49"/>
      <c r="IX335" s="49"/>
      <c r="IZ335" s="49"/>
      <c r="JA335" s="49"/>
      <c r="JC335" s="49"/>
      <c r="JD335" s="49"/>
      <c r="JF335" s="49"/>
      <c r="JG335" s="49"/>
      <c r="JI335" s="49"/>
      <c r="JJ335" s="49"/>
      <c r="JL335" s="49"/>
      <c r="JM335" s="49"/>
      <c r="JO335" s="49"/>
      <c r="JP335" s="49"/>
      <c r="JR335" s="49"/>
    </row>
    <row r="336" spans="237:278">
      <c r="IC336" s="49"/>
      <c r="IE336" s="49"/>
      <c r="IF336" s="49"/>
      <c r="IH336" s="49"/>
      <c r="II336" s="49"/>
      <c r="IK336" s="49"/>
      <c r="IL336" s="49"/>
      <c r="IN336" s="49"/>
      <c r="IO336" s="49"/>
      <c r="IQ336" s="49"/>
      <c r="IR336" s="49"/>
      <c r="IT336" s="49"/>
      <c r="IU336" s="49"/>
      <c r="IW336" s="49"/>
      <c r="IX336" s="49"/>
      <c r="IZ336" s="49"/>
      <c r="JA336" s="49"/>
      <c r="JC336" s="49"/>
      <c r="JD336" s="49"/>
      <c r="JF336" s="49"/>
      <c r="JG336" s="49"/>
      <c r="JI336" s="49"/>
      <c r="JJ336" s="49"/>
      <c r="JL336" s="49"/>
      <c r="JM336" s="49"/>
      <c r="JO336" s="49"/>
      <c r="JP336" s="49"/>
      <c r="JR336" s="49"/>
    </row>
    <row r="337" spans="237:278">
      <c r="IC337" s="49"/>
      <c r="IE337" s="49"/>
      <c r="IF337" s="49"/>
      <c r="IH337" s="49"/>
      <c r="II337" s="49"/>
      <c r="IK337" s="49"/>
      <c r="IL337" s="49"/>
      <c r="IN337" s="49"/>
      <c r="IO337" s="49"/>
      <c r="IQ337" s="49"/>
      <c r="IR337" s="49"/>
      <c r="IT337" s="49"/>
      <c r="IU337" s="49"/>
      <c r="IW337" s="49"/>
      <c r="IX337" s="49"/>
      <c r="IZ337" s="49"/>
      <c r="JA337" s="49"/>
      <c r="JC337" s="49"/>
      <c r="JD337" s="49"/>
      <c r="JF337" s="49"/>
      <c r="JG337" s="49"/>
      <c r="JI337" s="49"/>
      <c r="JJ337" s="49"/>
      <c r="JL337" s="49"/>
      <c r="JM337" s="49"/>
      <c r="JO337" s="49"/>
      <c r="JP337" s="49"/>
      <c r="JR337" s="49"/>
    </row>
    <row r="338" spans="237:278">
      <c r="IC338" s="49"/>
      <c r="IE338" s="49"/>
      <c r="IF338" s="49"/>
      <c r="IH338" s="49"/>
      <c r="II338" s="49"/>
      <c r="IK338" s="49"/>
      <c r="IL338" s="49"/>
      <c r="IN338" s="49"/>
      <c r="IO338" s="49"/>
      <c r="IQ338" s="49"/>
      <c r="IR338" s="49"/>
      <c r="IT338" s="49"/>
      <c r="IU338" s="49"/>
      <c r="IW338" s="49"/>
      <c r="IX338" s="49"/>
      <c r="IZ338" s="49"/>
      <c r="JA338" s="49"/>
      <c r="JC338" s="49"/>
      <c r="JD338" s="49"/>
      <c r="JF338" s="49"/>
      <c r="JG338" s="49"/>
      <c r="JI338" s="49"/>
      <c r="JJ338" s="49"/>
      <c r="JL338" s="49"/>
      <c r="JM338" s="49"/>
      <c r="JO338" s="49"/>
      <c r="JP338" s="49"/>
      <c r="JR338" s="49"/>
    </row>
    <row r="339" spans="237:278">
      <c r="IC339" s="49"/>
      <c r="IE339" s="49"/>
      <c r="IF339" s="49"/>
      <c r="IH339" s="49"/>
      <c r="II339" s="49"/>
      <c r="IK339" s="49"/>
      <c r="IL339" s="49"/>
      <c r="IN339" s="49"/>
      <c r="IO339" s="49"/>
      <c r="IQ339" s="49"/>
      <c r="IR339" s="49"/>
      <c r="IT339" s="49"/>
      <c r="IU339" s="49"/>
      <c r="IW339" s="49"/>
      <c r="IX339" s="49"/>
      <c r="IZ339" s="49"/>
      <c r="JA339" s="49"/>
      <c r="JC339" s="49"/>
      <c r="JD339" s="49"/>
      <c r="JF339" s="49"/>
      <c r="JG339" s="49"/>
      <c r="JI339" s="49"/>
      <c r="JJ339" s="49"/>
      <c r="JL339" s="49"/>
      <c r="JM339" s="49"/>
      <c r="JO339" s="49"/>
      <c r="JP339" s="49"/>
      <c r="JR339" s="49"/>
    </row>
    <row r="340" spans="237:278">
      <c r="IC340" s="49"/>
      <c r="IE340" s="49"/>
      <c r="IF340" s="49"/>
      <c r="IH340" s="49"/>
      <c r="II340" s="49"/>
      <c r="IK340" s="49"/>
      <c r="IL340" s="49"/>
      <c r="IN340" s="49"/>
      <c r="IO340" s="49"/>
      <c r="IQ340" s="49"/>
      <c r="IR340" s="49"/>
      <c r="IT340" s="49"/>
      <c r="IU340" s="49"/>
      <c r="IW340" s="49"/>
      <c r="IX340" s="49"/>
      <c r="IZ340" s="49"/>
      <c r="JA340" s="49"/>
      <c r="JC340" s="49"/>
      <c r="JD340" s="49"/>
      <c r="JF340" s="49"/>
      <c r="JG340" s="49"/>
      <c r="JI340" s="49"/>
      <c r="JJ340" s="49"/>
      <c r="JL340" s="49"/>
      <c r="JM340" s="49"/>
      <c r="JO340" s="49"/>
      <c r="JP340" s="49"/>
      <c r="JR340" s="49"/>
    </row>
    <row r="341" spans="237:278">
      <c r="IC341" s="49"/>
      <c r="IE341" s="49"/>
      <c r="IF341" s="49"/>
      <c r="IH341" s="49"/>
      <c r="II341" s="49"/>
      <c r="IK341" s="49"/>
      <c r="IL341" s="49"/>
      <c r="IN341" s="49"/>
      <c r="IO341" s="49"/>
      <c r="IQ341" s="49"/>
      <c r="IR341" s="49"/>
      <c r="IT341" s="49"/>
      <c r="IU341" s="49"/>
      <c r="IW341" s="49"/>
      <c r="IX341" s="49"/>
      <c r="IZ341" s="49"/>
      <c r="JA341" s="49"/>
      <c r="JC341" s="49"/>
      <c r="JD341" s="49"/>
      <c r="JF341" s="49"/>
      <c r="JG341" s="49"/>
      <c r="JI341" s="49"/>
      <c r="JJ341" s="49"/>
      <c r="JL341" s="49"/>
      <c r="JM341" s="49"/>
      <c r="JO341" s="49"/>
      <c r="JP341" s="49"/>
      <c r="JR341" s="49"/>
    </row>
    <row r="342" spans="237:278">
      <c r="IC342" s="49"/>
      <c r="IE342" s="49"/>
      <c r="IF342" s="49"/>
      <c r="IH342" s="49"/>
      <c r="II342" s="49"/>
      <c r="IK342" s="49"/>
      <c r="IL342" s="49"/>
      <c r="IN342" s="49"/>
      <c r="IO342" s="49"/>
      <c r="IQ342" s="49"/>
      <c r="IR342" s="49"/>
      <c r="IT342" s="49"/>
      <c r="IU342" s="49"/>
      <c r="IW342" s="49"/>
      <c r="IX342" s="49"/>
      <c r="IZ342" s="49"/>
      <c r="JA342" s="49"/>
      <c r="JC342" s="49"/>
      <c r="JD342" s="49"/>
      <c r="JF342" s="49"/>
      <c r="JG342" s="49"/>
      <c r="JI342" s="49"/>
      <c r="JJ342" s="49"/>
      <c r="JL342" s="49"/>
      <c r="JM342" s="49"/>
      <c r="JO342" s="49"/>
      <c r="JP342" s="49"/>
      <c r="JR342" s="49"/>
    </row>
    <row r="343" spans="237:278">
      <c r="IC343" s="49"/>
      <c r="IE343" s="49"/>
      <c r="IF343" s="49"/>
      <c r="IH343" s="49"/>
      <c r="II343" s="49"/>
      <c r="IK343" s="49"/>
      <c r="IL343" s="49"/>
      <c r="IN343" s="49"/>
      <c r="IO343" s="49"/>
      <c r="IQ343" s="49"/>
      <c r="IR343" s="49"/>
      <c r="IT343" s="49"/>
      <c r="IU343" s="49"/>
      <c r="IW343" s="49"/>
      <c r="IX343" s="49"/>
      <c r="IZ343" s="49"/>
      <c r="JA343" s="49"/>
      <c r="JC343" s="49"/>
      <c r="JD343" s="49"/>
      <c r="JF343" s="49"/>
      <c r="JG343" s="49"/>
      <c r="JI343" s="49"/>
      <c r="JJ343" s="49"/>
      <c r="JL343" s="49"/>
      <c r="JM343" s="49"/>
      <c r="JO343" s="49"/>
      <c r="JP343" s="49"/>
      <c r="JR343" s="49"/>
    </row>
    <row r="344" spans="237:278">
      <c r="IC344" s="49"/>
      <c r="IE344" s="49"/>
      <c r="IF344" s="49"/>
      <c r="IH344" s="49"/>
      <c r="II344" s="49"/>
      <c r="IK344" s="49"/>
      <c r="IL344" s="49"/>
      <c r="IN344" s="49"/>
      <c r="IO344" s="49"/>
      <c r="IQ344" s="49"/>
      <c r="IR344" s="49"/>
      <c r="IT344" s="49"/>
      <c r="IU344" s="49"/>
      <c r="IW344" s="49"/>
      <c r="IX344" s="49"/>
      <c r="IZ344" s="49"/>
      <c r="JA344" s="49"/>
      <c r="JC344" s="49"/>
      <c r="JD344" s="49"/>
      <c r="JF344" s="49"/>
      <c r="JG344" s="49"/>
      <c r="JI344" s="49"/>
      <c r="JJ344" s="49"/>
      <c r="JL344" s="49"/>
      <c r="JM344" s="49"/>
      <c r="JO344" s="49"/>
      <c r="JP344" s="49"/>
      <c r="JR344" s="49"/>
    </row>
    <row r="345" spans="237:278">
      <c r="IC345" s="49"/>
      <c r="IE345" s="49"/>
      <c r="IF345" s="49"/>
      <c r="IH345" s="49"/>
      <c r="II345" s="49"/>
      <c r="IK345" s="49"/>
      <c r="IL345" s="49"/>
      <c r="IN345" s="49"/>
      <c r="IO345" s="49"/>
      <c r="IQ345" s="49"/>
      <c r="IR345" s="49"/>
      <c r="IT345" s="49"/>
      <c r="IU345" s="49"/>
      <c r="IW345" s="49"/>
      <c r="IX345" s="49"/>
      <c r="IZ345" s="49"/>
      <c r="JA345" s="49"/>
      <c r="JC345" s="49"/>
      <c r="JD345" s="49"/>
      <c r="JF345" s="49"/>
      <c r="JG345" s="49"/>
      <c r="JI345" s="49"/>
      <c r="JJ345" s="49"/>
      <c r="JL345" s="49"/>
      <c r="JM345" s="49"/>
      <c r="JO345" s="49"/>
      <c r="JP345" s="49"/>
      <c r="JR345" s="49"/>
    </row>
    <row r="346" spans="237:278">
      <c r="IC346" s="49"/>
      <c r="IE346" s="49"/>
      <c r="IF346" s="49"/>
      <c r="IH346" s="49"/>
      <c r="II346" s="49"/>
      <c r="IK346" s="49"/>
      <c r="IL346" s="49"/>
      <c r="IN346" s="49"/>
      <c r="IO346" s="49"/>
      <c r="IQ346" s="49"/>
      <c r="IR346" s="49"/>
      <c r="IT346" s="49"/>
      <c r="IU346" s="49"/>
      <c r="IW346" s="49"/>
      <c r="IX346" s="49"/>
      <c r="IZ346" s="49"/>
      <c r="JA346" s="49"/>
      <c r="JC346" s="49"/>
      <c r="JD346" s="49"/>
      <c r="JF346" s="49"/>
      <c r="JG346" s="49"/>
      <c r="JI346" s="49"/>
      <c r="JJ346" s="49"/>
      <c r="JL346" s="49"/>
      <c r="JM346" s="49"/>
      <c r="JO346" s="49"/>
      <c r="JP346" s="49"/>
      <c r="JR346" s="49"/>
    </row>
    <row r="347" spans="237:278">
      <c r="IC347" s="49"/>
      <c r="IE347" s="49"/>
      <c r="IF347" s="49"/>
      <c r="IH347" s="49"/>
      <c r="II347" s="49"/>
      <c r="IK347" s="49"/>
      <c r="IL347" s="49"/>
      <c r="IN347" s="49"/>
      <c r="IO347" s="49"/>
      <c r="IQ347" s="49"/>
      <c r="IR347" s="49"/>
      <c r="IT347" s="49"/>
      <c r="IU347" s="49"/>
      <c r="IW347" s="49"/>
      <c r="IX347" s="49"/>
      <c r="IZ347" s="49"/>
      <c r="JA347" s="49"/>
      <c r="JC347" s="49"/>
      <c r="JD347" s="49"/>
      <c r="JF347" s="49"/>
      <c r="JG347" s="49"/>
      <c r="JI347" s="49"/>
      <c r="JJ347" s="49"/>
      <c r="JL347" s="49"/>
      <c r="JM347" s="49"/>
      <c r="JO347" s="49"/>
      <c r="JP347" s="49"/>
      <c r="JR347" s="49"/>
    </row>
    <row r="348" spans="237:278">
      <c r="IC348" s="49"/>
      <c r="IE348" s="49"/>
      <c r="IF348" s="49"/>
      <c r="IH348" s="49"/>
      <c r="II348" s="49"/>
      <c r="IK348" s="49"/>
      <c r="IL348" s="49"/>
      <c r="IN348" s="49"/>
      <c r="IO348" s="49"/>
      <c r="IQ348" s="49"/>
      <c r="IR348" s="49"/>
      <c r="IT348" s="49"/>
      <c r="IU348" s="49"/>
      <c r="IW348" s="49"/>
      <c r="IX348" s="49"/>
      <c r="IZ348" s="49"/>
      <c r="JA348" s="49"/>
      <c r="JC348" s="49"/>
      <c r="JD348" s="49"/>
      <c r="JF348" s="49"/>
      <c r="JG348" s="49"/>
      <c r="JI348" s="49"/>
      <c r="JJ348" s="49"/>
      <c r="JL348" s="49"/>
      <c r="JM348" s="49"/>
      <c r="JO348" s="49"/>
      <c r="JP348" s="49"/>
      <c r="JR348" s="49"/>
    </row>
    <row r="349" spans="237:278">
      <c r="IC349" s="49"/>
      <c r="IE349" s="49"/>
      <c r="IF349" s="49"/>
      <c r="IH349" s="49"/>
      <c r="II349" s="49"/>
      <c r="IK349" s="49"/>
      <c r="IL349" s="49"/>
      <c r="IN349" s="49"/>
      <c r="IO349" s="49"/>
      <c r="IQ349" s="49"/>
      <c r="IR349" s="49"/>
      <c r="IT349" s="49"/>
      <c r="IU349" s="49"/>
      <c r="IW349" s="49"/>
      <c r="IX349" s="49"/>
      <c r="IZ349" s="49"/>
      <c r="JA349" s="49"/>
      <c r="JC349" s="49"/>
      <c r="JD349" s="49"/>
      <c r="JF349" s="49"/>
      <c r="JG349" s="49"/>
      <c r="JI349" s="49"/>
      <c r="JJ349" s="49"/>
      <c r="JL349" s="49"/>
      <c r="JM349" s="49"/>
      <c r="JO349" s="49"/>
      <c r="JP349" s="49"/>
      <c r="JR349" s="49"/>
    </row>
    <row r="350" spans="237:278">
      <c r="IC350" s="49"/>
      <c r="IE350" s="49"/>
      <c r="IF350" s="49"/>
      <c r="IH350" s="49"/>
      <c r="II350" s="49"/>
      <c r="IK350" s="49"/>
      <c r="IL350" s="49"/>
      <c r="IN350" s="49"/>
      <c r="IO350" s="49"/>
      <c r="IQ350" s="49"/>
      <c r="IR350" s="49"/>
      <c r="IT350" s="49"/>
      <c r="IU350" s="49"/>
      <c r="IW350" s="49"/>
      <c r="IX350" s="49"/>
      <c r="IZ350" s="49"/>
      <c r="JA350" s="49"/>
      <c r="JC350" s="49"/>
      <c r="JD350" s="49"/>
      <c r="JF350" s="49"/>
      <c r="JG350" s="49"/>
      <c r="JI350" s="49"/>
      <c r="JJ350" s="49"/>
      <c r="JL350" s="49"/>
      <c r="JM350" s="49"/>
      <c r="JO350" s="49"/>
      <c r="JP350" s="49"/>
      <c r="JR350" s="49"/>
    </row>
    <row r="351" spans="237:278">
      <c r="IC351" s="49"/>
      <c r="IE351" s="49"/>
      <c r="IF351" s="49"/>
      <c r="IH351" s="49"/>
      <c r="II351" s="49"/>
      <c r="IK351" s="49"/>
      <c r="IL351" s="49"/>
      <c r="IN351" s="49"/>
      <c r="IO351" s="49"/>
      <c r="IQ351" s="49"/>
      <c r="IR351" s="49"/>
      <c r="IT351" s="49"/>
      <c r="IU351" s="49"/>
      <c r="IW351" s="49"/>
      <c r="IX351" s="49"/>
      <c r="IZ351" s="49"/>
      <c r="JA351" s="49"/>
      <c r="JC351" s="49"/>
      <c r="JD351" s="49"/>
      <c r="JF351" s="49"/>
      <c r="JG351" s="49"/>
      <c r="JI351" s="49"/>
      <c r="JJ351" s="49"/>
      <c r="JL351" s="49"/>
      <c r="JM351" s="49"/>
      <c r="JO351" s="49"/>
      <c r="JP351" s="49"/>
      <c r="JR351" s="49"/>
    </row>
    <row r="352" spans="237:278">
      <c r="IC352" s="49"/>
      <c r="IE352" s="49"/>
      <c r="IF352" s="49"/>
      <c r="IH352" s="49"/>
      <c r="II352" s="49"/>
      <c r="IK352" s="49"/>
      <c r="IL352" s="49"/>
      <c r="IN352" s="49"/>
      <c r="IO352" s="49"/>
      <c r="IQ352" s="49"/>
      <c r="IR352" s="49"/>
      <c r="IT352" s="49"/>
      <c r="IU352" s="49"/>
      <c r="IW352" s="49"/>
      <c r="IX352" s="49"/>
      <c r="IZ352" s="49"/>
      <c r="JA352" s="49"/>
      <c r="JC352" s="49"/>
      <c r="JD352" s="49"/>
      <c r="JF352" s="49"/>
      <c r="JG352" s="49"/>
      <c r="JI352" s="49"/>
      <c r="JJ352" s="49"/>
      <c r="JL352" s="49"/>
      <c r="JM352" s="49"/>
      <c r="JO352" s="49"/>
      <c r="JP352" s="49"/>
      <c r="JR352" s="49"/>
    </row>
    <row r="353" spans="237:278">
      <c r="IC353" s="49"/>
      <c r="IE353" s="49"/>
      <c r="IF353" s="49"/>
      <c r="IH353" s="49"/>
      <c r="II353" s="49"/>
      <c r="IK353" s="49"/>
      <c r="IL353" s="49"/>
      <c r="IN353" s="49"/>
      <c r="IO353" s="49"/>
      <c r="IQ353" s="49"/>
      <c r="IR353" s="49"/>
      <c r="IT353" s="49"/>
      <c r="IU353" s="49"/>
      <c r="IW353" s="49"/>
      <c r="IX353" s="49"/>
      <c r="IZ353" s="49"/>
      <c r="JA353" s="49"/>
      <c r="JC353" s="49"/>
      <c r="JD353" s="49"/>
      <c r="JF353" s="49"/>
      <c r="JG353" s="49"/>
      <c r="JI353" s="49"/>
      <c r="JJ353" s="49"/>
      <c r="JL353" s="49"/>
      <c r="JM353" s="49"/>
      <c r="JO353" s="49"/>
      <c r="JP353" s="49"/>
      <c r="JR353" s="49"/>
    </row>
    <row r="354" spans="237:278">
      <c r="IC354" s="49"/>
      <c r="IE354" s="49"/>
      <c r="IF354" s="49"/>
      <c r="IH354" s="49"/>
      <c r="II354" s="49"/>
      <c r="IK354" s="49"/>
      <c r="IL354" s="49"/>
      <c r="IN354" s="49"/>
      <c r="IO354" s="49"/>
      <c r="IQ354" s="49"/>
      <c r="IR354" s="49"/>
      <c r="IT354" s="49"/>
      <c r="IU354" s="49"/>
      <c r="IW354" s="49"/>
      <c r="IX354" s="49"/>
      <c r="IZ354" s="49"/>
      <c r="JA354" s="49"/>
      <c r="JC354" s="49"/>
      <c r="JD354" s="49"/>
      <c r="JF354" s="49"/>
      <c r="JG354" s="49"/>
      <c r="JI354" s="49"/>
      <c r="JJ354" s="49"/>
      <c r="JL354" s="49"/>
      <c r="JM354" s="49"/>
      <c r="JO354" s="49"/>
      <c r="JP354" s="49"/>
      <c r="JR354" s="49"/>
    </row>
    <row r="355" spans="237:278">
      <c r="IC355" s="49"/>
      <c r="IE355" s="49"/>
      <c r="IF355" s="49"/>
      <c r="IH355" s="49"/>
      <c r="II355" s="49"/>
      <c r="IK355" s="49"/>
      <c r="IL355" s="49"/>
      <c r="IN355" s="49"/>
      <c r="IO355" s="49"/>
      <c r="IQ355" s="49"/>
      <c r="IR355" s="49"/>
      <c r="IT355" s="49"/>
      <c r="IU355" s="49"/>
      <c r="IW355" s="49"/>
      <c r="IX355" s="49"/>
      <c r="IZ355" s="49"/>
      <c r="JA355" s="49"/>
      <c r="JC355" s="49"/>
      <c r="JD355" s="49"/>
      <c r="JF355" s="49"/>
      <c r="JG355" s="49"/>
      <c r="JI355" s="49"/>
      <c r="JJ355" s="49"/>
      <c r="JL355" s="49"/>
      <c r="JM355" s="49"/>
      <c r="JO355" s="49"/>
      <c r="JP355" s="49"/>
      <c r="JR355" s="49"/>
    </row>
    <row r="356" spans="237:278">
      <c r="IC356" s="49"/>
      <c r="IE356" s="49"/>
      <c r="IF356" s="49"/>
      <c r="IH356" s="49"/>
      <c r="II356" s="49"/>
      <c r="IK356" s="49"/>
      <c r="IL356" s="49"/>
      <c r="IN356" s="49"/>
      <c r="IO356" s="49"/>
      <c r="IQ356" s="49"/>
      <c r="IR356" s="49"/>
      <c r="IT356" s="49"/>
      <c r="IU356" s="49"/>
      <c r="IW356" s="49"/>
      <c r="IX356" s="49"/>
      <c r="IZ356" s="49"/>
      <c r="JA356" s="49"/>
      <c r="JC356" s="49"/>
      <c r="JD356" s="49"/>
      <c r="JF356" s="49"/>
      <c r="JG356" s="49"/>
      <c r="JI356" s="49"/>
      <c r="JJ356" s="49"/>
      <c r="JL356" s="49"/>
      <c r="JM356" s="49"/>
      <c r="JO356" s="49"/>
      <c r="JP356" s="49"/>
      <c r="JR356" s="49"/>
    </row>
    <row r="357" spans="237:278">
      <c r="IC357" s="49"/>
      <c r="IE357" s="49"/>
      <c r="IF357" s="49"/>
      <c r="IH357" s="49"/>
      <c r="II357" s="49"/>
      <c r="IK357" s="49"/>
      <c r="IL357" s="49"/>
      <c r="IN357" s="49"/>
      <c r="IO357" s="49"/>
      <c r="IQ357" s="49"/>
      <c r="IR357" s="49"/>
      <c r="IT357" s="49"/>
      <c r="IU357" s="49"/>
      <c r="IW357" s="49"/>
      <c r="IX357" s="49"/>
      <c r="IZ357" s="49"/>
      <c r="JA357" s="49"/>
      <c r="JC357" s="49"/>
      <c r="JD357" s="49"/>
      <c r="JF357" s="49"/>
      <c r="JG357" s="49"/>
      <c r="JI357" s="49"/>
      <c r="JJ357" s="49"/>
      <c r="JL357" s="49"/>
      <c r="JM357" s="49"/>
      <c r="JO357" s="49"/>
      <c r="JP357" s="49"/>
      <c r="JR357" s="49"/>
    </row>
    <row r="358" spans="237:278">
      <c r="IC358" s="49"/>
      <c r="IE358" s="49"/>
      <c r="IF358" s="49"/>
      <c r="IH358" s="49"/>
      <c r="II358" s="49"/>
      <c r="IK358" s="49"/>
      <c r="IL358" s="49"/>
      <c r="IN358" s="49"/>
      <c r="IO358" s="49"/>
      <c r="IQ358" s="49"/>
      <c r="IR358" s="49"/>
      <c r="IT358" s="49"/>
      <c r="IU358" s="49"/>
      <c r="IW358" s="49"/>
      <c r="IX358" s="49"/>
      <c r="IZ358" s="49"/>
      <c r="JA358" s="49"/>
      <c r="JC358" s="49"/>
      <c r="JD358" s="49"/>
      <c r="JF358" s="49"/>
      <c r="JG358" s="49"/>
      <c r="JI358" s="49"/>
      <c r="JJ358" s="49"/>
      <c r="JL358" s="49"/>
      <c r="JM358" s="49"/>
      <c r="JO358" s="49"/>
      <c r="JP358" s="49"/>
      <c r="JR358" s="49"/>
    </row>
    <row r="359" spans="237:278">
      <c r="IC359" s="49"/>
      <c r="IE359" s="49"/>
      <c r="IF359" s="49"/>
      <c r="IH359" s="49"/>
      <c r="II359" s="49"/>
      <c r="IK359" s="49"/>
      <c r="IL359" s="49"/>
      <c r="IN359" s="49"/>
      <c r="IO359" s="49"/>
      <c r="IQ359" s="49"/>
      <c r="IR359" s="49"/>
      <c r="IT359" s="49"/>
      <c r="IU359" s="49"/>
      <c r="IW359" s="49"/>
      <c r="IX359" s="49"/>
      <c r="IZ359" s="49"/>
      <c r="JA359" s="49"/>
      <c r="JC359" s="49"/>
      <c r="JD359" s="49"/>
      <c r="JF359" s="49"/>
      <c r="JG359" s="49"/>
      <c r="JI359" s="49"/>
      <c r="JJ359" s="49"/>
      <c r="JL359" s="49"/>
      <c r="JM359" s="49"/>
      <c r="JO359" s="49"/>
      <c r="JP359" s="49"/>
      <c r="JR359" s="49"/>
    </row>
    <row r="360" spans="237:278">
      <c r="IC360" s="49"/>
      <c r="IE360" s="49"/>
      <c r="IF360" s="49"/>
      <c r="IH360" s="49"/>
      <c r="II360" s="49"/>
      <c r="IK360" s="49"/>
      <c r="IL360" s="49"/>
      <c r="IN360" s="49"/>
      <c r="IO360" s="49"/>
      <c r="IQ360" s="49"/>
      <c r="IR360" s="49"/>
      <c r="IT360" s="49"/>
      <c r="IU360" s="49"/>
      <c r="IW360" s="49"/>
      <c r="IX360" s="49"/>
      <c r="IZ360" s="49"/>
      <c r="JA360" s="49"/>
      <c r="JC360" s="49"/>
      <c r="JD360" s="49"/>
      <c r="JF360" s="49"/>
      <c r="JG360" s="49"/>
      <c r="JI360" s="49"/>
      <c r="JJ360" s="49"/>
      <c r="JL360" s="49"/>
      <c r="JM360" s="49"/>
      <c r="JO360" s="49"/>
      <c r="JP360" s="49"/>
      <c r="JR360" s="49"/>
    </row>
    <row r="361" spans="237:278">
      <c r="IC361" s="49"/>
      <c r="IE361" s="49"/>
      <c r="IF361" s="49"/>
      <c r="IH361" s="49"/>
      <c r="II361" s="49"/>
      <c r="IK361" s="49"/>
      <c r="IL361" s="49"/>
      <c r="IN361" s="49"/>
      <c r="IO361" s="49"/>
      <c r="IQ361" s="49"/>
      <c r="IR361" s="49"/>
      <c r="IT361" s="49"/>
      <c r="IU361" s="49"/>
      <c r="IW361" s="49"/>
      <c r="IX361" s="49"/>
      <c r="IZ361" s="49"/>
      <c r="JA361" s="49"/>
      <c r="JC361" s="49"/>
      <c r="JD361" s="49"/>
      <c r="JF361" s="49"/>
      <c r="JG361" s="49"/>
      <c r="JI361" s="49"/>
      <c r="JJ361" s="49"/>
      <c r="JL361" s="49"/>
      <c r="JM361" s="49"/>
      <c r="JO361" s="49"/>
      <c r="JP361" s="49"/>
      <c r="JR361" s="49"/>
    </row>
    <row r="362" spans="237:278">
      <c r="IC362" s="49"/>
      <c r="IE362" s="49"/>
      <c r="IF362" s="49"/>
      <c r="IH362" s="49"/>
      <c r="II362" s="49"/>
      <c r="IK362" s="49"/>
      <c r="IL362" s="49"/>
      <c r="IN362" s="49"/>
      <c r="IO362" s="49"/>
      <c r="IQ362" s="49"/>
      <c r="IR362" s="49"/>
      <c r="IT362" s="49"/>
      <c r="IU362" s="49"/>
      <c r="IW362" s="49"/>
      <c r="IX362" s="49"/>
      <c r="IZ362" s="49"/>
      <c r="JA362" s="49"/>
      <c r="JC362" s="49"/>
      <c r="JD362" s="49"/>
      <c r="JF362" s="49"/>
      <c r="JG362" s="49"/>
      <c r="JI362" s="49"/>
      <c r="JJ362" s="49"/>
      <c r="JL362" s="49"/>
      <c r="JM362" s="49"/>
      <c r="JO362" s="49"/>
      <c r="JP362" s="49"/>
      <c r="JR362" s="49"/>
    </row>
    <row r="363" spans="237:278">
      <c r="IC363" s="49"/>
      <c r="IE363" s="49"/>
      <c r="IF363" s="49"/>
      <c r="IH363" s="49"/>
      <c r="II363" s="49"/>
      <c r="IK363" s="49"/>
      <c r="IL363" s="49"/>
      <c r="IN363" s="49"/>
      <c r="IO363" s="49"/>
      <c r="IQ363" s="49"/>
      <c r="IR363" s="49"/>
      <c r="IT363" s="49"/>
      <c r="IU363" s="49"/>
      <c r="IW363" s="49"/>
      <c r="IX363" s="49"/>
      <c r="IZ363" s="49"/>
      <c r="JA363" s="49"/>
      <c r="JC363" s="49"/>
      <c r="JD363" s="49"/>
      <c r="JF363" s="49"/>
      <c r="JG363" s="49"/>
      <c r="JI363" s="49"/>
      <c r="JJ363" s="49"/>
      <c r="JL363" s="49"/>
      <c r="JM363" s="49"/>
      <c r="JO363" s="49"/>
      <c r="JP363" s="49"/>
      <c r="JR363" s="49"/>
    </row>
    <row r="364" spans="237:278">
      <c r="IC364" s="49"/>
      <c r="IE364" s="49"/>
      <c r="IF364" s="49"/>
      <c r="IH364" s="49"/>
      <c r="II364" s="49"/>
      <c r="IK364" s="49"/>
      <c r="IL364" s="49"/>
      <c r="IN364" s="49"/>
      <c r="IO364" s="49"/>
      <c r="IQ364" s="49"/>
      <c r="IR364" s="49"/>
      <c r="IT364" s="49"/>
      <c r="IU364" s="49"/>
      <c r="IW364" s="49"/>
      <c r="IX364" s="49"/>
      <c r="IZ364" s="49"/>
      <c r="JA364" s="49"/>
      <c r="JC364" s="49"/>
      <c r="JD364" s="49"/>
      <c r="JF364" s="49"/>
      <c r="JG364" s="49"/>
      <c r="JI364" s="49"/>
      <c r="JJ364" s="49"/>
      <c r="JL364" s="49"/>
      <c r="JM364" s="49"/>
      <c r="JO364" s="49"/>
      <c r="JP364" s="49"/>
      <c r="JR364" s="49"/>
    </row>
    <row r="365" spans="237:278">
      <c r="IC365" s="49"/>
      <c r="IE365" s="49"/>
      <c r="IF365" s="49"/>
      <c r="IH365" s="49"/>
      <c r="II365" s="49"/>
      <c r="IK365" s="49"/>
      <c r="IL365" s="49"/>
      <c r="IN365" s="49"/>
      <c r="IO365" s="49"/>
      <c r="IQ365" s="49"/>
      <c r="IR365" s="49"/>
      <c r="IT365" s="49"/>
      <c r="IU365" s="49"/>
      <c r="IW365" s="49"/>
      <c r="IX365" s="49"/>
      <c r="IZ365" s="49"/>
      <c r="JA365" s="49"/>
      <c r="JC365" s="49"/>
      <c r="JD365" s="49"/>
      <c r="JF365" s="49"/>
      <c r="JG365" s="49"/>
      <c r="JI365" s="49"/>
      <c r="JJ365" s="49"/>
      <c r="JL365" s="49"/>
      <c r="JM365" s="49"/>
      <c r="JO365" s="49"/>
      <c r="JP365" s="49"/>
      <c r="JR365" s="49"/>
    </row>
    <row r="366" spans="237:278">
      <c r="IC366" s="49"/>
      <c r="IE366" s="49"/>
      <c r="IF366" s="49"/>
      <c r="IH366" s="49"/>
      <c r="II366" s="49"/>
      <c r="IK366" s="49"/>
      <c r="IL366" s="49"/>
      <c r="IN366" s="49"/>
      <c r="IO366" s="49"/>
      <c r="IQ366" s="49"/>
      <c r="IR366" s="49"/>
      <c r="IT366" s="49"/>
      <c r="IU366" s="49"/>
      <c r="IW366" s="49"/>
      <c r="IX366" s="49"/>
      <c r="IZ366" s="49"/>
      <c r="JA366" s="49"/>
      <c r="JC366" s="49"/>
      <c r="JD366" s="49"/>
      <c r="JF366" s="49"/>
      <c r="JG366" s="49"/>
      <c r="JI366" s="49"/>
      <c r="JJ366" s="49"/>
      <c r="JL366" s="49"/>
      <c r="JM366" s="49"/>
      <c r="JO366" s="49"/>
      <c r="JP366" s="49"/>
      <c r="JR366" s="49"/>
    </row>
    <row r="367" spans="237:278">
      <c r="IC367" s="49"/>
      <c r="IE367" s="49"/>
      <c r="IF367" s="49"/>
      <c r="IH367" s="49"/>
      <c r="II367" s="49"/>
      <c r="IK367" s="49"/>
      <c r="IL367" s="49"/>
      <c r="IN367" s="49"/>
      <c r="IO367" s="49"/>
      <c r="IQ367" s="49"/>
      <c r="IR367" s="49"/>
      <c r="IT367" s="49"/>
      <c r="IU367" s="49"/>
      <c r="IW367" s="49"/>
      <c r="IX367" s="49"/>
      <c r="IZ367" s="49"/>
      <c r="JA367" s="49"/>
      <c r="JC367" s="49"/>
      <c r="JD367" s="49"/>
      <c r="JF367" s="49"/>
      <c r="JG367" s="49"/>
      <c r="JI367" s="49"/>
      <c r="JJ367" s="49"/>
      <c r="JL367" s="49"/>
      <c r="JM367" s="49"/>
      <c r="JO367" s="49"/>
      <c r="JP367" s="49"/>
      <c r="JR367" s="49"/>
    </row>
    <row r="368" spans="237:278">
      <c r="IC368" s="49"/>
      <c r="IE368" s="49"/>
      <c r="IF368" s="49"/>
      <c r="IH368" s="49"/>
      <c r="II368" s="49"/>
      <c r="IK368" s="49"/>
      <c r="IL368" s="49"/>
      <c r="IN368" s="49"/>
      <c r="IO368" s="49"/>
      <c r="IQ368" s="49"/>
      <c r="IR368" s="49"/>
      <c r="IT368" s="49"/>
      <c r="IU368" s="49"/>
      <c r="IW368" s="49"/>
      <c r="IX368" s="49"/>
      <c r="IZ368" s="49"/>
      <c r="JA368" s="49"/>
      <c r="JC368" s="49"/>
      <c r="JD368" s="49"/>
      <c r="JF368" s="49"/>
      <c r="JG368" s="49"/>
      <c r="JI368" s="49"/>
      <c r="JJ368" s="49"/>
      <c r="JL368" s="49"/>
      <c r="JM368" s="49"/>
      <c r="JO368" s="49"/>
      <c r="JP368" s="49"/>
      <c r="JR368" s="49"/>
    </row>
    <row r="369" spans="237:278">
      <c r="IC369" s="49"/>
      <c r="IE369" s="49"/>
      <c r="IF369" s="49"/>
      <c r="IH369" s="49"/>
      <c r="II369" s="49"/>
      <c r="IK369" s="49"/>
      <c r="IL369" s="49"/>
      <c r="IN369" s="49"/>
      <c r="IO369" s="49"/>
      <c r="IQ369" s="49"/>
      <c r="IR369" s="49"/>
      <c r="IT369" s="49"/>
      <c r="IU369" s="49"/>
      <c r="IW369" s="49"/>
      <c r="IX369" s="49"/>
      <c r="IZ369" s="49"/>
      <c r="JA369" s="49"/>
      <c r="JC369" s="49"/>
      <c r="JD369" s="49"/>
      <c r="JF369" s="49"/>
      <c r="JG369" s="49"/>
      <c r="JI369" s="49"/>
      <c r="JJ369" s="49"/>
      <c r="JL369" s="49"/>
      <c r="JM369" s="49"/>
      <c r="JO369" s="49"/>
      <c r="JP369" s="49"/>
      <c r="JR369" s="49"/>
    </row>
    <row r="370" spans="237:278">
      <c r="IC370" s="49"/>
      <c r="IE370" s="49"/>
      <c r="IF370" s="49"/>
      <c r="IH370" s="49"/>
      <c r="II370" s="49"/>
      <c r="IK370" s="49"/>
      <c r="IL370" s="49"/>
      <c r="IN370" s="49"/>
      <c r="IO370" s="49"/>
      <c r="IQ370" s="49"/>
      <c r="IR370" s="49"/>
      <c r="IT370" s="49"/>
      <c r="IU370" s="49"/>
      <c r="IW370" s="49"/>
      <c r="IX370" s="49"/>
      <c r="IZ370" s="49"/>
      <c r="JA370" s="49"/>
      <c r="JC370" s="49"/>
      <c r="JD370" s="49"/>
      <c r="JF370" s="49"/>
      <c r="JG370" s="49"/>
      <c r="JI370" s="49"/>
      <c r="JJ370" s="49"/>
      <c r="JL370" s="49"/>
      <c r="JM370" s="49"/>
      <c r="JO370" s="49"/>
      <c r="JP370" s="49"/>
      <c r="JR370" s="49"/>
    </row>
    <row r="371" spans="237:278">
      <c r="IC371" s="49"/>
      <c r="IE371" s="49"/>
      <c r="IF371" s="49"/>
      <c r="IH371" s="49"/>
      <c r="II371" s="49"/>
      <c r="IK371" s="49"/>
      <c r="IL371" s="49"/>
      <c r="IN371" s="49"/>
      <c r="IO371" s="49"/>
      <c r="IQ371" s="49"/>
      <c r="IR371" s="49"/>
      <c r="IT371" s="49"/>
      <c r="IU371" s="49"/>
      <c r="IW371" s="49"/>
      <c r="IX371" s="49"/>
      <c r="IZ371" s="49"/>
      <c r="JA371" s="49"/>
      <c r="JC371" s="49"/>
      <c r="JD371" s="49"/>
      <c r="JF371" s="49"/>
      <c r="JG371" s="49"/>
      <c r="JI371" s="49"/>
      <c r="JJ371" s="49"/>
      <c r="JL371" s="49"/>
      <c r="JM371" s="49"/>
      <c r="JO371" s="49"/>
      <c r="JP371" s="49"/>
      <c r="JR371" s="49"/>
    </row>
    <row r="372" spans="237:278">
      <c r="IC372" s="49"/>
      <c r="IE372" s="49"/>
      <c r="IF372" s="49"/>
      <c r="IH372" s="49"/>
      <c r="II372" s="49"/>
      <c r="IK372" s="49"/>
      <c r="IL372" s="49"/>
      <c r="IN372" s="49"/>
      <c r="IO372" s="49"/>
      <c r="IQ372" s="49"/>
      <c r="IR372" s="49"/>
      <c r="IT372" s="49"/>
      <c r="IU372" s="49"/>
      <c r="IW372" s="49"/>
      <c r="IX372" s="49"/>
      <c r="IZ372" s="49"/>
      <c r="JA372" s="49"/>
      <c r="JC372" s="49"/>
      <c r="JD372" s="49"/>
      <c r="JF372" s="49"/>
      <c r="JG372" s="49"/>
      <c r="JI372" s="49"/>
      <c r="JJ372" s="49"/>
      <c r="JL372" s="49"/>
      <c r="JM372" s="49"/>
      <c r="JO372" s="49"/>
      <c r="JP372" s="49"/>
      <c r="JR372" s="49"/>
    </row>
    <row r="373" spans="237:278">
      <c r="IC373" s="49"/>
      <c r="IE373" s="49"/>
      <c r="IF373" s="49"/>
      <c r="IH373" s="49"/>
      <c r="II373" s="49"/>
      <c r="IK373" s="49"/>
      <c r="IL373" s="49"/>
      <c r="IN373" s="49"/>
      <c r="IO373" s="49"/>
      <c r="IQ373" s="49"/>
      <c r="IR373" s="49"/>
      <c r="IT373" s="49"/>
      <c r="IU373" s="49"/>
      <c r="IW373" s="49"/>
      <c r="IX373" s="49"/>
      <c r="IZ373" s="49"/>
      <c r="JA373" s="49"/>
      <c r="JC373" s="49"/>
      <c r="JD373" s="49"/>
      <c r="JF373" s="49"/>
      <c r="JG373" s="49"/>
      <c r="JI373" s="49"/>
      <c r="JJ373" s="49"/>
      <c r="JL373" s="49"/>
      <c r="JM373" s="49"/>
      <c r="JO373" s="49"/>
      <c r="JP373" s="49"/>
      <c r="JR373" s="49"/>
    </row>
    <row r="374" spans="237:278">
      <c r="IC374" s="49"/>
      <c r="IE374" s="49"/>
      <c r="IF374" s="49"/>
      <c r="IH374" s="49"/>
      <c r="II374" s="49"/>
      <c r="IK374" s="49"/>
      <c r="IL374" s="49"/>
      <c r="IN374" s="49"/>
      <c r="IO374" s="49"/>
      <c r="IQ374" s="49"/>
      <c r="IR374" s="49"/>
      <c r="IT374" s="49"/>
      <c r="IU374" s="49"/>
      <c r="IW374" s="49"/>
      <c r="IX374" s="49"/>
      <c r="IZ374" s="49"/>
      <c r="JA374" s="49"/>
      <c r="JC374" s="49"/>
      <c r="JD374" s="49"/>
      <c r="JF374" s="49"/>
      <c r="JG374" s="49"/>
      <c r="JI374" s="49"/>
      <c r="JJ374" s="49"/>
      <c r="JL374" s="49"/>
      <c r="JM374" s="49"/>
      <c r="JO374" s="49"/>
      <c r="JP374" s="49"/>
      <c r="JR374" s="49"/>
    </row>
    <row r="375" spans="237:278">
      <c r="IC375" s="49"/>
      <c r="IE375" s="49"/>
      <c r="IF375" s="49"/>
      <c r="IH375" s="49"/>
      <c r="II375" s="49"/>
      <c r="IK375" s="49"/>
      <c r="IL375" s="49"/>
      <c r="IN375" s="49"/>
      <c r="IO375" s="49"/>
      <c r="IQ375" s="49"/>
      <c r="IR375" s="49"/>
      <c r="IT375" s="49"/>
      <c r="IU375" s="49"/>
      <c r="IW375" s="49"/>
      <c r="IX375" s="49"/>
      <c r="IZ375" s="49"/>
      <c r="JA375" s="49"/>
      <c r="JC375" s="49"/>
      <c r="JD375" s="49"/>
      <c r="JF375" s="49"/>
      <c r="JG375" s="49"/>
      <c r="JI375" s="49"/>
      <c r="JJ375" s="49"/>
      <c r="JL375" s="49"/>
      <c r="JM375" s="49"/>
      <c r="JO375" s="49"/>
      <c r="JP375" s="49"/>
      <c r="JR375" s="49"/>
    </row>
    <row r="376" spans="237:278">
      <c r="IC376" s="49"/>
      <c r="IE376" s="49"/>
      <c r="IF376" s="49"/>
      <c r="IH376" s="49"/>
      <c r="II376" s="49"/>
      <c r="IK376" s="49"/>
      <c r="IL376" s="49"/>
      <c r="IN376" s="49"/>
      <c r="IO376" s="49"/>
      <c r="IQ376" s="49"/>
      <c r="IR376" s="49"/>
      <c r="IT376" s="49"/>
      <c r="IU376" s="49"/>
      <c r="IW376" s="49"/>
      <c r="IX376" s="49"/>
      <c r="IZ376" s="49"/>
      <c r="JA376" s="49"/>
      <c r="JC376" s="49"/>
      <c r="JD376" s="49"/>
      <c r="JF376" s="49"/>
      <c r="JG376" s="49"/>
      <c r="JI376" s="49"/>
      <c r="JJ376" s="49"/>
      <c r="JL376" s="49"/>
      <c r="JM376" s="49"/>
      <c r="JO376" s="49"/>
      <c r="JP376" s="49"/>
      <c r="JR376" s="49"/>
    </row>
    <row r="377" spans="237:278">
      <c r="IC377" s="49"/>
      <c r="IE377" s="49"/>
      <c r="IF377" s="49"/>
      <c r="IH377" s="49"/>
      <c r="II377" s="49"/>
      <c r="IK377" s="49"/>
      <c r="IL377" s="49"/>
      <c r="IN377" s="49"/>
      <c r="IO377" s="49"/>
      <c r="IQ377" s="49"/>
      <c r="IR377" s="49"/>
      <c r="IT377" s="49"/>
      <c r="IU377" s="49"/>
      <c r="IW377" s="49"/>
      <c r="IX377" s="49"/>
      <c r="IZ377" s="49"/>
      <c r="JA377" s="49"/>
      <c r="JC377" s="49"/>
      <c r="JD377" s="49"/>
      <c r="JF377" s="49"/>
      <c r="JG377" s="49"/>
      <c r="JI377" s="49"/>
      <c r="JJ377" s="49"/>
      <c r="JL377" s="49"/>
      <c r="JM377" s="49"/>
      <c r="JO377" s="49"/>
      <c r="JP377" s="49"/>
      <c r="JR377" s="49"/>
    </row>
    <row r="378" spans="237:278">
      <c r="IC378" s="49"/>
      <c r="IE378" s="49"/>
      <c r="IF378" s="49"/>
      <c r="IH378" s="49"/>
      <c r="II378" s="49"/>
      <c r="IK378" s="49"/>
      <c r="IL378" s="49"/>
      <c r="IN378" s="49"/>
      <c r="IO378" s="49"/>
      <c r="IQ378" s="49"/>
      <c r="IR378" s="49"/>
      <c r="IT378" s="49"/>
      <c r="IU378" s="49"/>
      <c r="IW378" s="49"/>
      <c r="IX378" s="49"/>
      <c r="IZ378" s="49"/>
      <c r="JA378" s="49"/>
      <c r="JC378" s="49"/>
      <c r="JD378" s="49"/>
      <c r="JF378" s="49"/>
      <c r="JG378" s="49"/>
      <c r="JI378" s="49"/>
      <c r="JJ378" s="49"/>
      <c r="JL378" s="49"/>
      <c r="JM378" s="49"/>
      <c r="JO378" s="49"/>
      <c r="JP378" s="49"/>
      <c r="JR378" s="49"/>
    </row>
    <row r="379" spans="237:278">
      <c r="IC379" s="49"/>
      <c r="IE379" s="49"/>
      <c r="IF379" s="49"/>
      <c r="IH379" s="49"/>
      <c r="II379" s="49"/>
      <c r="IK379" s="49"/>
      <c r="IL379" s="49"/>
      <c r="IN379" s="49"/>
      <c r="IO379" s="49"/>
      <c r="IQ379" s="49"/>
      <c r="IR379" s="49"/>
      <c r="IT379" s="49"/>
      <c r="IU379" s="49"/>
      <c r="IW379" s="49"/>
      <c r="IX379" s="49"/>
      <c r="IZ379" s="49"/>
      <c r="JA379" s="49"/>
      <c r="JC379" s="49"/>
      <c r="JD379" s="49"/>
      <c r="JF379" s="49"/>
      <c r="JG379" s="49"/>
      <c r="JI379" s="49"/>
      <c r="JJ379" s="49"/>
      <c r="JL379" s="49"/>
      <c r="JM379" s="49"/>
      <c r="JO379" s="49"/>
      <c r="JP379" s="49"/>
      <c r="JR379" s="49"/>
    </row>
    <row r="380" spans="237:278">
      <c r="IC380" s="49"/>
      <c r="IE380" s="49"/>
      <c r="IF380" s="49"/>
      <c r="IH380" s="49"/>
      <c r="II380" s="49"/>
      <c r="IK380" s="49"/>
      <c r="IL380" s="49"/>
      <c r="IN380" s="49"/>
      <c r="IO380" s="49"/>
      <c r="IQ380" s="49"/>
      <c r="IR380" s="49"/>
      <c r="IT380" s="49"/>
      <c r="IU380" s="49"/>
      <c r="IW380" s="49"/>
      <c r="IX380" s="49"/>
      <c r="IZ380" s="49"/>
      <c r="JA380" s="49"/>
      <c r="JC380" s="49"/>
      <c r="JD380" s="49"/>
      <c r="JF380" s="49"/>
      <c r="JG380" s="49"/>
      <c r="JI380" s="49"/>
      <c r="JJ380" s="49"/>
      <c r="JL380" s="49"/>
      <c r="JM380" s="49"/>
      <c r="JO380" s="49"/>
      <c r="JP380" s="49"/>
      <c r="JR380" s="49"/>
    </row>
    <row r="381" spans="237:278">
      <c r="IC381" s="49"/>
      <c r="IE381" s="49"/>
      <c r="IF381" s="49"/>
      <c r="IH381" s="49"/>
      <c r="II381" s="49"/>
      <c r="IK381" s="49"/>
      <c r="IL381" s="49"/>
      <c r="IN381" s="49"/>
      <c r="IO381" s="49"/>
      <c r="IQ381" s="49"/>
      <c r="IR381" s="49"/>
      <c r="IT381" s="49"/>
      <c r="IU381" s="49"/>
      <c r="IW381" s="49"/>
      <c r="IX381" s="49"/>
      <c r="IZ381" s="49"/>
      <c r="JA381" s="49"/>
      <c r="JC381" s="49"/>
      <c r="JD381" s="49"/>
      <c r="JF381" s="49"/>
      <c r="JG381" s="49"/>
      <c r="JI381" s="49"/>
      <c r="JJ381" s="49"/>
      <c r="JL381" s="49"/>
      <c r="JM381" s="49"/>
      <c r="JO381" s="49"/>
      <c r="JP381" s="49"/>
      <c r="JR381" s="49"/>
    </row>
    <row r="382" spans="237:278">
      <c r="IC382" s="49"/>
      <c r="IE382" s="49"/>
      <c r="IF382" s="49"/>
      <c r="IH382" s="49"/>
      <c r="II382" s="49"/>
      <c r="IK382" s="49"/>
      <c r="IL382" s="49"/>
      <c r="IN382" s="49"/>
      <c r="IO382" s="49"/>
      <c r="IQ382" s="49"/>
      <c r="IR382" s="49"/>
      <c r="IT382" s="49"/>
      <c r="IU382" s="49"/>
      <c r="IW382" s="49"/>
      <c r="IX382" s="49"/>
      <c r="IZ382" s="49"/>
      <c r="JA382" s="49"/>
      <c r="JC382" s="49"/>
      <c r="JD382" s="49"/>
      <c r="JF382" s="49"/>
      <c r="JG382" s="49"/>
      <c r="JI382" s="49"/>
      <c r="JJ382" s="49"/>
      <c r="JL382" s="49"/>
      <c r="JM382" s="49"/>
      <c r="JO382" s="49"/>
      <c r="JP382" s="49"/>
      <c r="JR382" s="49"/>
    </row>
    <row r="383" spans="237:278">
      <c r="IC383" s="49"/>
      <c r="IE383" s="49"/>
      <c r="IF383" s="49"/>
      <c r="IH383" s="49"/>
      <c r="II383" s="49"/>
      <c r="IK383" s="49"/>
      <c r="IL383" s="49"/>
      <c r="IN383" s="49"/>
      <c r="IO383" s="49"/>
      <c r="IQ383" s="49"/>
      <c r="IR383" s="49"/>
      <c r="IT383" s="49"/>
      <c r="IU383" s="49"/>
      <c r="IW383" s="49"/>
      <c r="IX383" s="49"/>
      <c r="IZ383" s="49"/>
      <c r="JA383" s="49"/>
      <c r="JC383" s="49"/>
      <c r="JD383" s="49"/>
      <c r="JF383" s="49"/>
      <c r="JG383" s="49"/>
      <c r="JI383" s="49"/>
      <c r="JJ383" s="49"/>
      <c r="JL383" s="49"/>
      <c r="JM383" s="49"/>
      <c r="JO383" s="49"/>
      <c r="JP383" s="49"/>
      <c r="JR383" s="49"/>
    </row>
    <row r="384" spans="237:278">
      <c r="IC384" s="49"/>
      <c r="IE384" s="49"/>
      <c r="IF384" s="49"/>
      <c r="IH384" s="49"/>
      <c r="II384" s="49"/>
      <c r="IK384" s="49"/>
      <c r="IL384" s="49"/>
      <c r="IN384" s="49"/>
      <c r="IO384" s="49"/>
      <c r="IQ384" s="49"/>
      <c r="IR384" s="49"/>
      <c r="IT384" s="49"/>
      <c r="IU384" s="49"/>
      <c r="IW384" s="49"/>
      <c r="IX384" s="49"/>
      <c r="IZ384" s="49"/>
      <c r="JA384" s="49"/>
      <c r="JC384" s="49"/>
      <c r="JD384" s="49"/>
      <c r="JF384" s="49"/>
      <c r="JG384" s="49"/>
      <c r="JI384" s="49"/>
      <c r="JJ384" s="49"/>
      <c r="JL384" s="49"/>
      <c r="JM384" s="49"/>
      <c r="JO384" s="49"/>
      <c r="JP384" s="49"/>
      <c r="JR384" s="49"/>
    </row>
    <row r="385" spans="237:278">
      <c r="IC385" s="49"/>
      <c r="IE385" s="49"/>
      <c r="IF385" s="49"/>
      <c r="IH385" s="49"/>
      <c r="II385" s="49"/>
      <c r="IK385" s="49"/>
      <c r="IL385" s="49"/>
      <c r="IN385" s="49"/>
      <c r="IO385" s="49"/>
      <c r="IQ385" s="49"/>
      <c r="IR385" s="49"/>
      <c r="IT385" s="49"/>
      <c r="IU385" s="49"/>
      <c r="IW385" s="49"/>
      <c r="IX385" s="49"/>
      <c r="IZ385" s="49"/>
      <c r="JA385" s="49"/>
      <c r="JC385" s="49"/>
      <c r="JD385" s="49"/>
      <c r="JF385" s="49"/>
      <c r="JG385" s="49"/>
      <c r="JI385" s="49"/>
      <c r="JJ385" s="49"/>
      <c r="JL385" s="49"/>
      <c r="JM385" s="49"/>
      <c r="JO385" s="49"/>
      <c r="JP385" s="49"/>
      <c r="JR385" s="49"/>
    </row>
    <row r="386" spans="237:278">
      <c r="IC386" s="49"/>
      <c r="IE386" s="49"/>
      <c r="IF386" s="49"/>
      <c r="IH386" s="49"/>
      <c r="II386" s="49"/>
      <c r="IK386" s="49"/>
      <c r="IL386" s="49"/>
      <c r="IN386" s="49"/>
      <c r="IO386" s="49"/>
      <c r="IQ386" s="49"/>
      <c r="IR386" s="49"/>
      <c r="IT386" s="49"/>
      <c r="IU386" s="49"/>
      <c r="IW386" s="49"/>
      <c r="IX386" s="49"/>
      <c r="IZ386" s="49"/>
      <c r="JA386" s="49"/>
      <c r="JC386" s="49"/>
      <c r="JD386" s="49"/>
      <c r="JF386" s="49"/>
      <c r="JG386" s="49"/>
      <c r="JI386" s="49"/>
      <c r="JJ386" s="49"/>
      <c r="JL386" s="49"/>
      <c r="JM386" s="49"/>
      <c r="JO386" s="49"/>
      <c r="JP386" s="49"/>
      <c r="JR386" s="49"/>
    </row>
    <row r="387" spans="237:278">
      <c r="IC387" s="49"/>
      <c r="IE387" s="49"/>
      <c r="IF387" s="49"/>
      <c r="IH387" s="49"/>
      <c r="II387" s="49"/>
      <c r="IK387" s="49"/>
      <c r="IL387" s="49"/>
      <c r="IN387" s="49"/>
      <c r="IO387" s="49"/>
      <c r="IQ387" s="49"/>
      <c r="IR387" s="49"/>
      <c r="IT387" s="49"/>
      <c r="IU387" s="49"/>
      <c r="IW387" s="49"/>
      <c r="IX387" s="49"/>
      <c r="IZ387" s="49"/>
      <c r="JA387" s="49"/>
      <c r="JC387" s="49"/>
      <c r="JD387" s="49"/>
      <c r="JF387" s="49"/>
      <c r="JG387" s="49"/>
      <c r="JI387" s="49"/>
      <c r="JJ387" s="49"/>
      <c r="JL387" s="49"/>
      <c r="JM387" s="49"/>
      <c r="JO387" s="49"/>
      <c r="JP387" s="49"/>
      <c r="JR387" s="49"/>
    </row>
    <row r="388" spans="237:278">
      <c r="IC388" s="49"/>
      <c r="IE388" s="49"/>
      <c r="IF388" s="49"/>
      <c r="IH388" s="49"/>
      <c r="II388" s="49"/>
      <c r="IK388" s="49"/>
      <c r="IL388" s="49"/>
      <c r="IN388" s="49"/>
      <c r="IO388" s="49"/>
      <c r="IQ388" s="49"/>
      <c r="IR388" s="49"/>
      <c r="IT388" s="49"/>
      <c r="IU388" s="49"/>
      <c r="IW388" s="49"/>
      <c r="IX388" s="49"/>
      <c r="IZ388" s="49"/>
      <c r="JA388" s="49"/>
      <c r="JC388" s="49"/>
      <c r="JD388" s="49"/>
      <c r="JF388" s="49"/>
      <c r="JG388" s="49"/>
      <c r="JI388" s="49"/>
      <c r="JJ388" s="49"/>
      <c r="JL388" s="49"/>
      <c r="JM388" s="49"/>
      <c r="JO388" s="49"/>
      <c r="JP388" s="49"/>
      <c r="JR388" s="49"/>
    </row>
    <row r="389" spans="237:278">
      <c r="IC389" s="49"/>
      <c r="IE389" s="49"/>
      <c r="IF389" s="49"/>
      <c r="IH389" s="49"/>
      <c r="II389" s="49"/>
      <c r="IK389" s="49"/>
      <c r="IL389" s="49"/>
      <c r="IN389" s="49"/>
      <c r="IO389" s="49"/>
      <c r="IQ389" s="49"/>
      <c r="IR389" s="49"/>
      <c r="IT389" s="49"/>
      <c r="IU389" s="49"/>
      <c r="IW389" s="49"/>
      <c r="IX389" s="49"/>
      <c r="IZ389" s="49"/>
      <c r="JA389" s="49"/>
      <c r="JC389" s="49"/>
      <c r="JD389" s="49"/>
      <c r="JF389" s="49"/>
      <c r="JG389" s="49"/>
      <c r="JI389" s="49"/>
      <c r="JJ389" s="49"/>
      <c r="JL389" s="49"/>
      <c r="JM389" s="49"/>
      <c r="JO389" s="49"/>
      <c r="JP389" s="49"/>
      <c r="JR389" s="49"/>
    </row>
    <row r="390" spans="237:278">
      <c r="IC390" s="49"/>
      <c r="IE390" s="49"/>
      <c r="IF390" s="49"/>
      <c r="IH390" s="49"/>
      <c r="II390" s="49"/>
      <c r="IK390" s="49"/>
      <c r="IL390" s="49"/>
      <c r="IN390" s="49"/>
      <c r="IO390" s="49"/>
      <c r="IQ390" s="49"/>
      <c r="IR390" s="49"/>
      <c r="IT390" s="49"/>
      <c r="IU390" s="49"/>
      <c r="IW390" s="49"/>
      <c r="IX390" s="49"/>
      <c r="IZ390" s="49"/>
      <c r="JA390" s="49"/>
      <c r="JC390" s="49"/>
      <c r="JD390" s="49"/>
      <c r="JF390" s="49"/>
      <c r="JG390" s="49"/>
      <c r="JI390" s="49"/>
      <c r="JJ390" s="49"/>
      <c r="JL390" s="49"/>
      <c r="JM390" s="49"/>
      <c r="JO390" s="49"/>
      <c r="JP390" s="49"/>
      <c r="JR390" s="49"/>
    </row>
    <row r="391" spans="237:278">
      <c r="IC391" s="49"/>
      <c r="IE391" s="49"/>
      <c r="IF391" s="49"/>
      <c r="IH391" s="49"/>
      <c r="II391" s="49"/>
      <c r="IK391" s="49"/>
      <c r="IL391" s="49"/>
      <c r="IN391" s="49"/>
      <c r="IO391" s="49"/>
      <c r="IQ391" s="49"/>
      <c r="IR391" s="49"/>
      <c r="IT391" s="49"/>
      <c r="IU391" s="49"/>
      <c r="IW391" s="49"/>
      <c r="IX391" s="49"/>
      <c r="IZ391" s="49"/>
      <c r="JA391" s="49"/>
      <c r="JC391" s="49"/>
      <c r="JD391" s="49"/>
      <c r="JF391" s="49"/>
      <c r="JG391" s="49"/>
      <c r="JI391" s="49"/>
      <c r="JJ391" s="49"/>
      <c r="JL391" s="49"/>
      <c r="JM391" s="49"/>
      <c r="JO391" s="49"/>
      <c r="JP391" s="49"/>
      <c r="JR391" s="49"/>
    </row>
    <row r="392" spans="237:278">
      <c r="IC392" s="49"/>
      <c r="IE392" s="49"/>
      <c r="IF392" s="49"/>
      <c r="IH392" s="49"/>
      <c r="II392" s="49"/>
      <c r="IK392" s="49"/>
      <c r="IL392" s="49"/>
      <c r="IN392" s="49"/>
      <c r="IO392" s="49"/>
      <c r="IQ392" s="49"/>
      <c r="IR392" s="49"/>
      <c r="IT392" s="49"/>
      <c r="IU392" s="49"/>
      <c r="IW392" s="49"/>
      <c r="IX392" s="49"/>
      <c r="IZ392" s="49"/>
      <c r="JA392" s="49"/>
      <c r="JC392" s="49"/>
      <c r="JD392" s="49"/>
      <c r="JF392" s="49"/>
      <c r="JG392" s="49"/>
      <c r="JI392" s="49"/>
      <c r="JJ392" s="49"/>
      <c r="JL392" s="49"/>
      <c r="JM392" s="49"/>
      <c r="JO392" s="49"/>
      <c r="JP392" s="49"/>
      <c r="JR392" s="49"/>
    </row>
    <row r="393" spans="237:278">
      <c r="IC393" s="49"/>
      <c r="IE393" s="49"/>
      <c r="IF393" s="49"/>
      <c r="IH393" s="49"/>
      <c r="II393" s="49"/>
      <c r="IK393" s="49"/>
      <c r="IL393" s="49"/>
      <c r="IN393" s="49"/>
      <c r="IO393" s="49"/>
      <c r="IQ393" s="49"/>
      <c r="IR393" s="49"/>
      <c r="IT393" s="49"/>
      <c r="IU393" s="49"/>
      <c r="IW393" s="49"/>
      <c r="IX393" s="49"/>
      <c r="IZ393" s="49"/>
      <c r="JA393" s="49"/>
      <c r="JC393" s="49"/>
      <c r="JD393" s="49"/>
      <c r="JF393" s="49"/>
      <c r="JG393" s="49"/>
      <c r="JI393" s="49"/>
      <c r="JJ393" s="49"/>
      <c r="JL393" s="49"/>
      <c r="JM393" s="49"/>
      <c r="JO393" s="49"/>
      <c r="JP393" s="49"/>
      <c r="JR393" s="49"/>
    </row>
    <row r="394" spans="237:278">
      <c r="IC394" s="49"/>
      <c r="IE394" s="49"/>
      <c r="IF394" s="49"/>
      <c r="IH394" s="49"/>
      <c r="II394" s="49"/>
      <c r="IK394" s="49"/>
      <c r="IL394" s="49"/>
      <c r="IN394" s="49"/>
      <c r="IO394" s="49"/>
      <c r="IQ394" s="49"/>
      <c r="IR394" s="49"/>
      <c r="IT394" s="49"/>
      <c r="IU394" s="49"/>
      <c r="IW394" s="49"/>
      <c r="IX394" s="49"/>
      <c r="IZ394" s="49"/>
      <c r="JA394" s="49"/>
      <c r="JC394" s="49"/>
      <c r="JD394" s="49"/>
      <c r="JF394" s="49"/>
      <c r="JG394" s="49"/>
      <c r="JI394" s="49"/>
      <c r="JJ394" s="49"/>
      <c r="JL394" s="49"/>
      <c r="JM394" s="49"/>
      <c r="JO394" s="49"/>
      <c r="JP394" s="49"/>
      <c r="JR394" s="49"/>
    </row>
    <row r="395" spans="237:278">
      <c r="IC395" s="49"/>
      <c r="IE395" s="49"/>
      <c r="IF395" s="49"/>
      <c r="IH395" s="49"/>
      <c r="II395" s="49"/>
      <c r="IK395" s="49"/>
      <c r="IL395" s="49"/>
      <c r="IN395" s="49"/>
      <c r="IO395" s="49"/>
      <c r="IQ395" s="49"/>
      <c r="IR395" s="49"/>
      <c r="IT395" s="49"/>
      <c r="IU395" s="49"/>
      <c r="IW395" s="49"/>
      <c r="IX395" s="49"/>
      <c r="IZ395" s="49"/>
      <c r="JA395" s="49"/>
      <c r="JC395" s="49"/>
      <c r="JD395" s="49"/>
      <c r="JF395" s="49"/>
      <c r="JG395" s="49"/>
      <c r="JI395" s="49"/>
      <c r="JJ395" s="49"/>
      <c r="JL395" s="49"/>
      <c r="JM395" s="49"/>
      <c r="JO395" s="49"/>
      <c r="JP395" s="49"/>
      <c r="JR395" s="49"/>
    </row>
    <row r="396" spans="237:278">
      <c r="IC396" s="49"/>
      <c r="IE396" s="49"/>
      <c r="IF396" s="49"/>
      <c r="IH396" s="49"/>
      <c r="II396" s="49"/>
      <c r="IK396" s="49"/>
      <c r="IL396" s="49"/>
      <c r="IN396" s="49"/>
      <c r="IO396" s="49"/>
      <c r="IQ396" s="49"/>
      <c r="IR396" s="49"/>
      <c r="IT396" s="49"/>
      <c r="IU396" s="49"/>
      <c r="IW396" s="49"/>
      <c r="IX396" s="49"/>
      <c r="IZ396" s="49"/>
      <c r="JA396" s="49"/>
      <c r="JC396" s="49"/>
      <c r="JD396" s="49"/>
      <c r="JF396" s="49"/>
      <c r="JG396" s="49"/>
      <c r="JI396" s="49"/>
      <c r="JJ396" s="49"/>
      <c r="JL396" s="49"/>
      <c r="JM396" s="49"/>
      <c r="JO396" s="49"/>
      <c r="JP396" s="49"/>
      <c r="JR396" s="49"/>
    </row>
    <row r="397" spans="237:278">
      <c r="IC397" s="49"/>
      <c r="IE397" s="49"/>
      <c r="IF397" s="49"/>
      <c r="IH397" s="49"/>
      <c r="II397" s="49"/>
      <c r="IK397" s="49"/>
      <c r="IL397" s="49"/>
      <c r="IN397" s="49"/>
      <c r="IO397" s="49"/>
      <c r="IQ397" s="49"/>
      <c r="IR397" s="49"/>
      <c r="IT397" s="49"/>
      <c r="IU397" s="49"/>
      <c r="IW397" s="49"/>
      <c r="IX397" s="49"/>
      <c r="IZ397" s="49"/>
      <c r="JA397" s="49"/>
      <c r="JC397" s="49"/>
      <c r="JD397" s="49"/>
      <c r="JF397" s="49"/>
      <c r="JG397" s="49"/>
      <c r="JI397" s="49"/>
      <c r="JJ397" s="49"/>
      <c r="JL397" s="49"/>
      <c r="JM397" s="49"/>
      <c r="JO397" s="49"/>
      <c r="JP397" s="49"/>
      <c r="JR397" s="49"/>
    </row>
    <row r="398" spans="237:278">
      <c r="IC398" s="49"/>
      <c r="IE398" s="49"/>
      <c r="IF398" s="49"/>
      <c r="IH398" s="49"/>
      <c r="II398" s="49"/>
      <c r="IK398" s="49"/>
      <c r="IL398" s="49"/>
      <c r="IN398" s="49"/>
      <c r="IO398" s="49"/>
      <c r="IQ398" s="49"/>
      <c r="IR398" s="49"/>
      <c r="IT398" s="49"/>
      <c r="IU398" s="49"/>
      <c r="IW398" s="49"/>
      <c r="IX398" s="49"/>
      <c r="IZ398" s="49"/>
      <c r="JA398" s="49"/>
      <c r="JC398" s="49"/>
      <c r="JD398" s="49"/>
      <c r="JF398" s="49"/>
      <c r="JG398" s="49"/>
      <c r="JI398" s="49"/>
      <c r="JJ398" s="49"/>
      <c r="JL398" s="49"/>
      <c r="JM398" s="49"/>
      <c r="JO398" s="49"/>
      <c r="JP398" s="49"/>
      <c r="JR398" s="49"/>
    </row>
    <row r="399" spans="237:278">
      <c r="IC399" s="49"/>
      <c r="IE399" s="49"/>
      <c r="IF399" s="49"/>
      <c r="IH399" s="49"/>
      <c r="II399" s="49"/>
      <c r="IK399" s="49"/>
      <c r="IL399" s="49"/>
      <c r="IN399" s="49"/>
      <c r="IO399" s="49"/>
      <c r="IQ399" s="49"/>
      <c r="IR399" s="49"/>
      <c r="IT399" s="49"/>
      <c r="IU399" s="49"/>
      <c r="IW399" s="49"/>
      <c r="IX399" s="49"/>
      <c r="IZ399" s="49"/>
      <c r="JA399" s="49"/>
      <c r="JC399" s="49"/>
      <c r="JD399" s="49"/>
      <c r="JF399" s="49"/>
      <c r="JG399" s="49"/>
      <c r="JI399" s="49"/>
      <c r="JJ399" s="49"/>
      <c r="JL399" s="49"/>
      <c r="JM399" s="49"/>
      <c r="JO399" s="49"/>
      <c r="JP399" s="49"/>
      <c r="JR399" s="49"/>
    </row>
    <row r="400" spans="237:278">
      <c r="IC400" s="49"/>
      <c r="IE400" s="49"/>
      <c r="IF400" s="49"/>
      <c r="IH400" s="49"/>
      <c r="II400" s="49"/>
      <c r="IK400" s="49"/>
      <c r="IL400" s="49"/>
      <c r="IN400" s="49"/>
      <c r="IO400" s="49"/>
      <c r="IQ400" s="49"/>
      <c r="IR400" s="49"/>
      <c r="IT400" s="49"/>
      <c r="IU400" s="49"/>
      <c r="IW400" s="49"/>
      <c r="IX400" s="49"/>
      <c r="IZ400" s="49"/>
      <c r="JA400" s="49"/>
      <c r="JC400" s="49"/>
      <c r="JD400" s="49"/>
      <c r="JF400" s="49"/>
      <c r="JG400" s="49"/>
      <c r="JI400" s="49"/>
      <c r="JJ400" s="49"/>
      <c r="JL400" s="49"/>
      <c r="JM400" s="49"/>
      <c r="JO400" s="49"/>
      <c r="JP400" s="49"/>
      <c r="JR400" s="49"/>
    </row>
    <row r="401" spans="237:278">
      <c r="IC401" s="49"/>
      <c r="IE401" s="49"/>
      <c r="IF401" s="49"/>
      <c r="IH401" s="49"/>
      <c r="II401" s="49"/>
      <c r="IK401" s="49"/>
      <c r="IL401" s="49"/>
      <c r="IN401" s="49"/>
      <c r="IO401" s="49"/>
      <c r="IQ401" s="49"/>
      <c r="IR401" s="49"/>
      <c r="IT401" s="49"/>
      <c r="IU401" s="49"/>
      <c r="IW401" s="49"/>
      <c r="IX401" s="49"/>
      <c r="IZ401" s="49"/>
      <c r="JA401" s="49"/>
      <c r="JC401" s="49"/>
      <c r="JD401" s="49"/>
      <c r="JF401" s="49"/>
      <c r="JG401" s="49"/>
      <c r="JI401" s="49"/>
      <c r="JJ401" s="49"/>
      <c r="JL401" s="49"/>
      <c r="JM401" s="49"/>
      <c r="JO401" s="49"/>
      <c r="JP401" s="49"/>
      <c r="JR401" s="49"/>
    </row>
    <row r="402" spans="237:278">
      <c r="IC402" s="49"/>
      <c r="IE402" s="49"/>
      <c r="IF402" s="49"/>
      <c r="IH402" s="49"/>
      <c r="II402" s="49"/>
      <c r="IK402" s="49"/>
      <c r="IL402" s="49"/>
      <c r="IN402" s="49"/>
      <c r="IO402" s="49"/>
      <c r="IQ402" s="49"/>
      <c r="IR402" s="49"/>
      <c r="IT402" s="49"/>
      <c r="IU402" s="49"/>
      <c r="IW402" s="49"/>
      <c r="IX402" s="49"/>
      <c r="IZ402" s="49"/>
      <c r="JA402" s="49"/>
      <c r="JC402" s="49"/>
      <c r="JD402" s="49"/>
      <c r="JF402" s="49"/>
      <c r="JG402" s="49"/>
      <c r="JI402" s="49"/>
      <c r="JJ402" s="49"/>
      <c r="JL402" s="49"/>
      <c r="JM402" s="49"/>
      <c r="JO402" s="49"/>
      <c r="JP402" s="49"/>
      <c r="JR402" s="49"/>
    </row>
    <row r="403" spans="237:278">
      <c r="IC403" s="49"/>
      <c r="IE403" s="49"/>
      <c r="IF403" s="49"/>
      <c r="IH403" s="49"/>
      <c r="II403" s="49"/>
      <c r="IK403" s="49"/>
      <c r="IL403" s="49"/>
      <c r="IN403" s="49"/>
      <c r="IO403" s="49"/>
      <c r="IQ403" s="49"/>
      <c r="IR403" s="49"/>
      <c r="IT403" s="49"/>
      <c r="IU403" s="49"/>
      <c r="IW403" s="49"/>
      <c r="IX403" s="49"/>
      <c r="IZ403" s="49"/>
      <c r="JA403" s="49"/>
      <c r="JC403" s="49"/>
      <c r="JD403" s="49"/>
      <c r="JF403" s="49"/>
      <c r="JG403" s="49"/>
      <c r="JI403" s="49"/>
      <c r="JJ403" s="49"/>
      <c r="JL403" s="49"/>
      <c r="JM403" s="49"/>
      <c r="JO403" s="49"/>
      <c r="JP403" s="49"/>
      <c r="JR403" s="49"/>
    </row>
    <row r="404" spans="237:278">
      <c r="IC404" s="49"/>
      <c r="IE404" s="49"/>
      <c r="IF404" s="49"/>
      <c r="IH404" s="49"/>
      <c r="II404" s="49"/>
      <c r="IK404" s="49"/>
      <c r="IL404" s="49"/>
      <c r="IN404" s="49"/>
      <c r="IO404" s="49"/>
      <c r="IQ404" s="49"/>
      <c r="IR404" s="49"/>
      <c r="IT404" s="49"/>
      <c r="IU404" s="49"/>
      <c r="IW404" s="49"/>
      <c r="IX404" s="49"/>
      <c r="IZ404" s="49"/>
      <c r="JA404" s="49"/>
      <c r="JC404" s="49"/>
      <c r="JD404" s="49"/>
      <c r="JF404" s="49"/>
      <c r="JG404" s="49"/>
      <c r="JI404" s="49"/>
      <c r="JJ404" s="49"/>
      <c r="JL404" s="49"/>
      <c r="JM404" s="49"/>
      <c r="JO404" s="49"/>
      <c r="JP404" s="49"/>
      <c r="JR404" s="49"/>
    </row>
    <row r="405" spans="237:278">
      <c r="IC405" s="49"/>
      <c r="IE405" s="49"/>
      <c r="IF405" s="49"/>
      <c r="IH405" s="49"/>
      <c r="II405" s="49"/>
      <c r="IK405" s="49"/>
      <c r="IL405" s="49"/>
      <c r="IN405" s="49"/>
      <c r="IO405" s="49"/>
      <c r="IQ405" s="49"/>
      <c r="IR405" s="49"/>
      <c r="IT405" s="49"/>
      <c r="IU405" s="49"/>
      <c r="IW405" s="49"/>
      <c r="IX405" s="49"/>
      <c r="IZ405" s="49"/>
      <c r="JA405" s="49"/>
      <c r="JC405" s="49"/>
      <c r="JD405" s="49"/>
      <c r="JF405" s="49"/>
      <c r="JG405" s="49"/>
      <c r="JI405" s="49"/>
      <c r="JJ405" s="49"/>
      <c r="JL405" s="49"/>
      <c r="JM405" s="49"/>
      <c r="JO405" s="49"/>
      <c r="JP405" s="49"/>
      <c r="JR405" s="49"/>
    </row>
    <row r="406" spans="237:278">
      <c r="IC406" s="49"/>
      <c r="IE406" s="49"/>
      <c r="IF406" s="49"/>
      <c r="IH406" s="49"/>
      <c r="II406" s="49"/>
      <c r="IK406" s="49"/>
      <c r="IL406" s="49"/>
      <c r="IN406" s="49"/>
      <c r="IO406" s="49"/>
      <c r="IQ406" s="49"/>
      <c r="IR406" s="49"/>
      <c r="IT406" s="49"/>
      <c r="IU406" s="49"/>
      <c r="IW406" s="49"/>
      <c r="IX406" s="49"/>
      <c r="IZ406" s="49"/>
      <c r="JA406" s="49"/>
      <c r="JC406" s="49"/>
      <c r="JD406" s="49"/>
      <c r="JF406" s="49"/>
      <c r="JG406" s="49"/>
      <c r="JI406" s="49"/>
      <c r="JJ406" s="49"/>
      <c r="JL406" s="49"/>
      <c r="JM406" s="49"/>
      <c r="JO406" s="49"/>
      <c r="JP406" s="49"/>
      <c r="JR406" s="49"/>
    </row>
    <row r="407" spans="237:278">
      <c r="IC407" s="49"/>
      <c r="IE407" s="49"/>
      <c r="IF407" s="49"/>
      <c r="IH407" s="49"/>
      <c r="II407" s="49"/>
      <c r="IK407" s="49"/>
      <c r="IL407" s="49"/>
      <c r="IN407" s="49"/>
      <c r="IO407" s="49"/>
      <c r="IQ407" s="49"/>
      <c r="IR407" s="49"/>
      <c r="IT407" s="49"/>
      <c r="IU407" s="49"/>
      <c r="IW407" s="49"/>
      <c r="IX407" s="49"/>
      <c r="IZ407" s="49"/>
      <c r="JA407" s="49"/>
      <c r="JC407" s="49"/>
      <c r="JD407" s="49"/>
      <c r="JF407" s="49"/>
      <c r="JG407" s="49"/>
      <c r="JI407" s="49"/>
      <c r="JJ407" s="49"/>
      <c r="JL407" s="49"/>
      <c r="JM407" s="49"/>
      <c r="JO407" s="49"/>
      <c r="JP407" s="49"/>
      <c r="JR407" s="49"/>
    </row>
    <row r="408" spans="237:278">
      <c r="IC408" s="49"/>
      <c r="IE408" s="49"/>
      <c r="IF408" s="49"/>
      <c r="IH408" s="49"/>
      <c r="II408" s="49"/>
      <c r="IK408" s="49"/>
      <c r="IL408" s="49"/>
      <c r="IN408" s="49"/>
      <c r="IO408" s="49"/>
      <c r="IQ408" s="49"/>
      <c r="IR408" s="49"/>
      <c r="IT408" s="49"/>
      <c r="IU408" s="49"/>
      <c r="IW408" s="49"/>
      <c r="IX408" s="49"/>
      <c r="IZ408" s="49"/>
      <c r="JA408" s="49"/>
      <c r="JC408" s="49"/>
      <c r="JD408" s="49"/>
      <c r="JF408" s="49"/>
      <c r="JG408" s="49"/>
      <c r="JI408" s="49"/>
      <c r="JJ408" s="49"/>
      <c r="JL408" s="49"/>
      <c r="JM408" s="49"/>
      <c r="JO408" s="49"/>
      <c r="JP408" s="49"/>
      <c r="JR408" s="49"/>
    </row>
    <row r="409" spans="237:278">
      <c r="IC409" s="49"/>
      <c r="IE409" s="49"/>
      <c r="IF409" s="49"/>
      <c r="IH409" s="49"/>
      <c r="II409" s="49"/>
      <c r="IK409" s="49"/>
      <c r="IL409" s="49"/>
      <c r="IN409" s="49"/>
      <c r="IO409" s="49"/>
      <c r="IQ409" s="49"/>
      <c r="IR409" s="49"/>
      <c r="IT409" s="49"/>
      <c r="IU409" s="49"/>
      <c r="IW409" s="49"/>
      <c r="IX409" s="49"/>
      <c r="IZ409" s="49"/>
      <c r="JA409" s="49"/>
      <c r="JC409" s="49"/>
      <c r="JD409" s="49"/>
      <c r="JF409" s="49"/>
      <c r="JG409" s="49"/>
      <c r="JI409" s="49"/>
      <c r="JJ409" s="49"/>
      <c r="JL409" s="49"/>
      <c r="JM409" s="49"/>
      <c r="JO409" s="49"/>
      <c r="JP409" s="49"/>
      <c r="JR409" s="49"/>
    </row>
    <row r="410" spans="237:278">
      <c r="IC410" s="49"/>
      <c r="IE410" s="49"/>
      <c r="IF410" s="49"/>
      <c r="IH410" s="49"/>
      <c r="II410" s="49"/>
      <c r="IK410" s="49"/>
      <c r="IL410" s="49"/>
      <c r="IN410" s="49"/>
      <c r="IO410" s="49"/>
      <c r="IQ410" s="49"/>
      <c r="IR410" s="49"/>
      <c r="IT410" s="49"/>
      <c r="IU410" s="49"/>
      <c r="IW410" s="49"/>
      <c r="IX410" s="49"/>
      <c r="IZ410" s="49"/>
      <c r="JA410" s="49"/>
      <c r="JC410" s="49"/>
      <c r="JD410" s="49"/>
      <c r="JF410" s="49"/>
      <c r="JG410" s="49"/>
      <c r="JI410" s="49"/>
      <c r="JJ410" s="49"/>
      <c r="JL410" s="49"/>
      <c r="JM410" s="49"/>
      <c r="JO410" s="49"/>
      <c r="JP410" s="49"/>
      <c r="JR410" s="49"/>
    </row>
    <row r="411" spans="237:278">
      <c r="IC411" s="49"/>
      <c r="IE411" s="49"/>
      <c r="IF411" s="49"/>
      <c r="IH411" s="49"/>
      <c r="II411" s="49"/>
      <c r="IK411" s="49"/>
      <c r="IL411" s="49"/>
      <c r="IN411" s="49"/>
      <c r="IO411" s="49"/>
      <c r="IQ411" s="49"/>
      <c r="IR411" s="49"/>
      <c r="IT411" s="49"/>
      <c r="IU411" s="49"/>
      <c r="IW411" s="49"/>
      <c r="IX411" s="49"/>
      <c r="IZ411" s="49"/>
      <c r="JA411" s="49"/>
      <c r="JC411" s="49"/>
      <c r="JD411" s="49"/>
      <c r="JF411" s="49"/>
      <c r="JG411" s="49"/>
      <c r="JI411" s="49"/>
      <c r="JJ411" s="49"/>
      <c r="JL411" s="49"/>
      <c r="JM411" s="49"/>
      <c r="JO411" s="49"/>
      <c r="JP411" s="49"/>
      <c r="JR411" s="49"/>
    </row>
    <row r="412" spans="237:278">
      <c r="IC412" s="49"/>
      <c r="IE412" s="49"/>
      <c r="IF412" s="49"/>
      <c r="IH412" s="49"/>
      <c r="II412" s="49"/>
      <c r="IK412" s="49"/>
      <c r="IL412" s="49"/>
      <c r="IN412" s="49"/>
      <c r="IO412" s="49"/>
      <c r="IQ412" s="49"/>
      <c r="IR412" s="49"/>
      <c r="IT412" s="49"/>
      <c r="IU412" s="49"/>
      <c r="IW412" s="49"/>
      <c r="IX412" s="49"/>
      <c r="IZ412" s="49"/>
      <c r="JA412" s="49"/>
      <c r="JC412" s="49"/>
      <c r="JD412" s="49"/>
      <c r="JF412" s="49"/>
      <c r="JG412" s="49"/>
      <c r="JI412" s="49"/>
      <c r="JJ412" s="49"/>
      <c r="JL412" s="49"/>
      <c r="JM412" s="49"/>
      <c r="JO412" s="49"/>
      <c r="JP412" s="49"/>
      <c r="JR412" s="49"/>
    </row>
    <row r="413" spans="237:278">
      <c r="IC413" s="49"/>
      <c r="IE413" s="49"/>
      <c r="IF413" s="49"/>
      <c r="IH413" s="49"/>
      <c r="II413" s="49"/>
      <c r="IK413" s="49"/>
      <c r="IL413" s="49"/>
      <c r="IN413" s="49"/>
      <c r="IO413" s="49"/>
      <c r="IQ413" s="49"/>
      <c r="IR413" s="49"/>
      <c r="IT413" s="49"/>
      <c r="IU413" s="49"/>
      <c r="IW413" s="49"/>
      <c r="IX413" s="49"/>
      <c r="IZ413" s="49"/>
      <c r="JA413" s="49"/>
      <c r="JC413" s="49"/>
      <c r="JD413" s="49"/>
      <c r="JF413" s="49"/>
      <c r="JG413" s="49"/>
      <c r="JI413" s="49"/>
      <c r="JJ413" s="49"/>
      <c r="JL413" s="49"/>
      <c r="JM413" s="49"/>
      <c r="JO413" s="49"/>
      <c r="JP413" s="49"/>
      <c r="JR413" s="49"/>
    </row>
    <row r="414" spans="237:278">
      <c r="IC414" s="49"/>
      <c r="IE414" s="49"/>
      <c r="IF414" s="49"/>
      <c r="IH414" s="49"/>
      <c r="II414" s="49"/>
      <c r="IK414" s="49"/>
      <c r="IL414" s="49"/>
      <c r="IN414" s="49"/>
      <c r="IO414" s="49"/>
      <c r="IQ414" s="49"/>
      <c r="IR414" s="49"/>
      <c r="IT414" s="49"/>
      <c r="IU414" s="49"/>
      <c r="IW414" s="49"/>
      <c r="IX414" s="49"/>
      <c r="IZ414" s="49"/>
      <c r="JA414" s="49"/>
      <c r="JC414" s="49"/>
      <c r="JD414" s="49"/>
      <c r="JF414" s="49"/>
      <c r="JG414" s="49"/>
      <c r="JI414" s="49"/>
      <c r="JJ414" s="49"/>
      <c r="JL414" s="49"/>
      <c r="JM414" s="49"/>
      <c r="JO414" s="49"/>
      <c r="JP414" s="49"/>
      <c r="JR414" s="49"/>
    </row>
    <row r="415" spans="237:278">
      <c r="IC415" s="49"/>
      <c r="IE415" s="49"/>
      <c r="IF415" s="49"/>
      <c r="IH415" s="49"/>
      <c r="II415" s="49"/>
      <c r="IK415" s="49"/>
      <c r="IL415" s="49"/>
      <c r="IN415" s="49"/>
      <c r="IO415" s="49"/>
      <c r="IQ415" s="49"/>
      <c r="IR415" s="49"/>
      <c r="IT415" s="49"/>
      <c r="IU415" s="49"/>
      <c r="IW415" s="49"/>
      <c r="IX415" s="49"/>
      <c r="IZ415" s="49"/>
      <c r="JA415" s="49"/>
      <c r="JC415" s="49"/>
      <c r="JD415" s="49"/>
      <c r="JF415" s="49"/>
      <c r="JG415" s="49"/>
      <c r="JI415" s="49"/>
      <c r="JJ415" s="49"/>
      <c r="JL415" s="49"/>
      <c r="JM415" s="49"/>
      <c r="JO415" s="49"/>
      <c r="JP415" s="49"/>
      <c r="JR415" s="49"/>
    </row>
    <row r="416" spans="237:278">
      <c r="IC416" s="49"/>
      <c r="IE416" s="49"/>
      <c r="IF416" s="49"/>
      <c r="IH416" s="49"/>
      <c r="II416" s="49"/>
      <c r="IK416" s="49"/>
      <c r="IL416" s="49"/>
      <c r="IN416" s="49"/>
      <c r="IO416" s="49"/>
      <c r="IQ416" s="49"/>
      <c r="IR416" s="49"/>
      <c r="IT416" s="49"/>
      <c r="IU416" s="49"/>
      <c r="IW416" s="49"/>
      <c r="IX416" s="49"/>
      <c r="IZ416" s="49"/>
      <c r="JA416" s="49"/>
      <c r="JC416" s="49"/>
      <c r="JD416" s="49"/>
      <c r="JF416" s="49"/>
      <c r="JG416" s="49"/>
      <c r="JI416" s="49"/>
      <c r="JJ416" s="49"/>
      <c r="JL416" s="49"/>
      <c r="JM416" s="49"/>
      <c r="JO416" s="49"/>
      <c r="JP416" s="49"/>
      <c r="JR416" s="49"/>
    </row>
    <row r="417" spans="237:278">
      <c r="IC417" s="49"/>
      <c r="IE417" s="49"/>
      <c r="IF417" s="49"/>
      <c r="IH417" s="49"/>
      <c r="II417" s="49"/>
      <c r="IK417" s="49"/>
      <c r="IL417" s="49"/>
      <c r="IN417" s="49"/>
      <c r="IO417" s="49"/>
      <c r="IQ417" s="49"/>
      <c r="IR417" s="49"/>
      <c r="IT417" s="49"/>
      <c r="IU417" s="49"/>
      <c r="IW417" s="49"/>
      <c r="IX417" s="49"/>
      <c r="IZ417" s="49"/>
      <c r="JA417" s="49"/>
      <c r="JC417" s="49"/>
      <c r="JD417" s="49"/>
      <c r="JF417" s="49"/>
      <c r="JG417" s="49"/>
      <c r="JI417" s="49"/>
      <c r="JJ417" s="49"/>
      <c r="JL417" s="49"/>
      <c r="JM417" s="49"/>
      <c r="JO417" s="49"/>
      <c r="JP417" s="49"/>
      <c r="JR417" s="49"/>
    </row>
    <row r="418" spans="237:278">
      <c r="IC418" s="49"/>
      <c r="IE418" s="49"/>
      <c r="IF418" s="49"/>
      <c r="IH418" s="49"/>
      <c r="II418" s="49"/>
      <c r="IK418" s="49"/>
      <c r="IL418" s="49"/>
      <c r="IN418" s="49"/>
      <c r="IO418" s="49"/>
      <c r="IQ418" s="49"/>
      <c r="IR418" s="49"/>
      <c r="IT418" s="49"/>
      <c r="IU418" s="49"/>
      <c r="IW418" s="49"/>
      <c r="IX418" s="49"/>
      <c r="IZ418" s="49"/>
      <c r="JA418" s="49"/>
      <c r="JC418" s="49"/>
      <c r="JD418" s="49"/>
      <c r="JF418" s="49"/>
      <c r="JG418" s="49"/>
      <c r="JI418" s="49"/>
      <c r="JJ418" s="49"/>
      <c r="JL418" s="49"/>
      <c r="JM418" s="49"/>
      <c r="JO418" s="49"/>
      <c r="JP418" s="49"/>
      <c r="JR418" s="49"/>
    </row>
    <row r="419" spans="237:278">
      <c r="IC419" s="49"/>
      <c r="IE419" s="49"/>
      <c r="IF419" s="49"/>
      <c r="IH419" s="49"/>
      <c r="II419" s="49"/>
      <c r="IK419" s="49"/>
      <c r="IL419" s="49"/>
      <c r="IN419" s="49"/>
      <c r="IO419" s="49"/>
      <c r="IQ419" s="49"/>
      <c r="IR419" s="49"/>
      <c r="IT419" s="49"/>
      <c r="IU419" s="49"/>
      <c r="IW419" s="49"/>
      <c r="IX419" s="49"/>
      <c r="IZ419" s="49"/>
      <c r="JA419" s="49"/>
      <c r="JC419" s="49"/>
      <c r="JD419" s="49"/>
      <c r="JF419" s="49"/>
      <c r="JG419" s="49"/>
      <c r="JI419" s="49"/>
      <c r="JJ419" s="49"/>
      <c r="JL419" s="49"/>
      <c r="JM419" s="49"/>
      <c r="JO419" s="49"/>
      <c r="JP419" s="49"/>
      <c r="JR419" s="49"/>
    </row>
    <row r="420" spans="237:278">
      <c r="IC420" s="49"/>
      <c r="IE420" s="49"/>
      <c r="IF420" s="49"/>
      <c r="IH420" s="49"/>
      <c r="II420" s="49"/>
      <c r="IK420" s="49"/>
      <c r="IL420" s="49"/>
      <c r="IN420" s="49"/>
      <c r="IO420" s="49"/>
      <c r="IQ420" s="49"/>
      <c r="IR420" s="49"/>
      <c r="IT420" s="49"/>
      <c r="IU420" s="49"/>
      <c r="IW420" s="49"/>
      <c r="IX420" s="49"/>
      <c r="IZ420" s="49"/>
      <c r="JA420" s="49"/>
      <c r="JC420" s="49"/>
      <c r="JD420" s="49"/>
      <c r="JF420" s="49"/>
      <c r="JG420" s="49"/>
      <c r="JI420" s="49"/>
      <c r="JJ420" s="49"/>
      <c r="JL420" s="49"/>
      <c r="JM420" s="49"/>
      <c r="JO420" s="49"/>
      <c r="JP420" s="49"/>
      <c r="JR420" s="49"/>
    </row>
    <row r="421" spans="237:278">
      <c r="IC421" s="49"/>
      <c r="IE421" s="49"/>
      <c r="IF421" s="49"/>
      <c r="IH421" s="49"/>
      <c r="II421" s="49"/>
      <c r="IK421" s="49"/>
      <c r="IL421" s="49"/>
      <c r="IN421" s="49"/>
      <c r="IO421" s="49"/>
      <c r="IQ421" s="49"/>
      <c r="IR421" s="49"/>
      <c r="IT421" s="49"/>
      <c r="IU421" s="49"/>
      <c r="IW421" s="49"/>
      <c r="IX421" s="49"/>
      <c r="IZ421" s="49"/>
      <c r="JA421" s="49"/>
      <c r="JC421" s="49"/>
      <c r="JD421" s="49"/>
      <c r="JF421" s="49"/>
      <c r="JG421" s="49"/>
      <c r="JI421" s="49"/>
      <c r="JJ421" s="49"/>
      <c r="JL421" s="49"/>
      <c r="JM421" s="49"/>
      <c r="JO421" s="49"/>
      <c r="JP421" s="49"/>
      <c r="JR421" s="49"/>
    </row>
    <row r="422" spans="237:278">
      <c r="IC422" s="49"/>
      <c r="IE422" s="49"/>
      <c r="IF422" s="49"/>
      <c r="IH422" s="49"/>
      <c r="II422" s="49"/>
      <c r="IK422" s="49"/>
      <c r="IL422" s="49"/>
      <c r="IN422" s="49"/>
      <c r="IO422" s="49"/>
      <c r="IQ422" s="49"/>
      <c r="IR422" s="49"/>
      <c r="IT422" s="49"/>
      <c r="IU422" s="49"/>
      <c r="IW422" s="49"/>
      <c r="IX422" s="49"/>
      <c r="IZ422" s="49"/>
      <c r="JA422" s="49"/>
      <c r="JC422" s="49"/>
      <c r="JD422" s="49"/>
      <c r="JF422" s="49"/>
      <c r="JG422" s="49"/>
      <c r="JI422" s="49"/>
      <c r="JJ422" s="49"/>
      <c r="JL422" s="49"/>
      <c r="JM422" s="49"/>
      <c r="JO422" s="49"/>
      <c r="JP422" s="49"/>
      <c r="JR422" s="49"/>
    </row>
    <row r="423" spans="237:278">
      <c r="IC423" s="49"/>
      <c r="IE423" s="49"/>
      <c r="IF423" s="49"/>
      <c r="IH423" s="49"/>
      <c r="II423" s="49"/>
      <c r="IK423" s="49"/>
      <c r="IL423" s="49"/>
      <c r="IN423" s="49"/>
      <c r="IO423" s="49"/>
      <c r="IQ423" s="49"/>
      <c r="IR423" s="49"/>
      <c r="IT423" s="49"/>
      <c r="IU423" s="49"/>
      <c r="IW423" s="49"/>
      <c r="IX423" s="49"/>
      <c r="IZ423" s="49"/>
      <c r="JA423" s="49"/>
      <c r="JC423" s="49"/>
      <c r="JD423" s="49"/>
      <c r="JF423" s="49"/>
      <c r="JG423" s="49"/>
      <c r="JI423" s="49"/>
      <c r="JJ423" s="49"/>
      <c r="JL423" s="49"/>
      <c r="JM423" s="49"/>
      <c r="JO423" s="49"/>
      <c r="JP423" s="49"/>
      <c r="JR423" s="49"/>
    </row>
    <row r="424" spans="237:278">
      <c r="IC424" s="49"/>
      <c r="IE424" s="49"/>
      <c r="IF424" s="49"/>
      <c r="IH424" s="49"/>
      <c r="II424" s="49"/>
      <c r="IK424" s="49"/>
      <c r="IL424" s="49"/>
      <c r="IN424" s="49"/>
      <c r="IO424" s="49"/>
      <c r="IQ424" s="49"/>
      <c r="IR424" s="49"/>
      <c r="IT424" s="49"/>
      <c r="IU424" s="49"/>
      <c r="IW424" s="49"/>
      <c r="IX424" s="49"/>
      <c r="IZ424" s="49"/>
      <c r="JA424" s="49"/>
      <c r="JC424" s="49"/>
      <c r="JD424" s="49"/>
      <c r="JF424" s="49"/>
      <c r="JG424" s="49"/>
      <c r="JI424" s="49"/>
      <c r="JJ424" s="49"/>
      <c r="JL424" s="49"/>
      <c r="JM424" s="49"/>
      <c r="JO424" s="49"/>
      <c r="JP424" s="49"/>
      <c r="JR424" s="49"/>
    </row>
    <row r="425" spans="237:278">
      <c r="IC425" s="49"/>
      <c r="IE425" s="49"/>
      <c r="IF425" s="49"/>
      <c r="IH425" s="49"/>
      <c r="II425" s="49"/>
      <c r="IK425" s="49"/>
      <c r="IL425" s="49"/>
      <c r="IN425" s="49"/>
      <c r="IO425" s="49"/>
      <c r="IQ425" s="49"/>
      <c r="IR425" s="49"/>
      <c r="IT425" s="49"/>
      <c r="IU425" s="49"/>
      <c r="IW425" s="49"/>
      <c r="IX425" s="49"/>
      <c r="IZ425" s="49"/>
      <c r="JA425" s="49"/>
      <c r="JC425" s="49"/>
      <c r="JD425" s="49"/>
      <c r="JF425" s="49"/>
      <c r="JG425" s="49"/>
      <c r="JI425" s="49"/>
      <c r="JJ425" s="49"/>
      <c r="JL425" s="49"/>
      <c r="JM425" s="49"/>
      <c r="JO425" s="49"/>
      <c r="JP425" s="49"/>
      <c r="JR425" s="49"/>
    </row>
    <row r="426" spans="237:278">
      <c r="IC426" s="49"/>
      <c r="IE426" s="49"/>
      <c r="IF426" s="49"/>
      <c r="IH426" s="49"/>
      <c r="II426" s="49"/>
      <c r="IK426" s="49"/>
      <c r="IL426" s="49"/>
      <c r="IN426" s="49"/>
      <c r="IO426" s="49"/>
      <c r="IQ426" s="49"/>
      <c r="IR426" s="49"/>
      <c r="IT426" s="49"/>
      <c r="IU426" s="49"/>
      <c r="IW426" s="49"/>
      <c r="IX426" s="49"/>
      <c r="IZ426" s="49"/>
      <c r="JA426" s="49"/>
      <c r="JC426" s="49"/>
      <c r="JD426" s="49"/>
      <c r="JF426" s="49"/>
      <c r="JG426" s="49"/>
      <c r="JI426" s="49"/>
      <c r="JJ426" s="49"/>
      <c r="JL426" s="49"/>
      <c r="JM426" s="49"/>
      <c r="JO426" s="49"/>
      <c r="JP426" s="49"/>
      <c r="JR426" s="49"/>
    </row>
    <row r="427" spans="237:278">
      <c r="IC427" s="49"/>
      <c r="IE427" s="49"/>
      <c r="IF427" s="49"/>
      <c r="IH427" s="49"/>
      <c r="II427" s="49"/>
      <c r="IK427" s="49"/>
      <c r="IL427" s="49"/>
      <c r="IN427" s="49"/>
      <c r="IO427" s="49"/>
      <c r="IQ427" s="49"/>
      <c r="IR427" s="49"/>
      <c r="IT427" s="49"/>
      <c r="IU427" s="49"/>
      <c r="IW427" s="49"/>
      <c r="IX427" s="49"/>
      <c r="IZ427" s="49"/>
      <c r="JA427" s="49"/>
      <c r="JC427" s="49"/>
      <c r="JD427" s="49"/>
      <c r="JF427" s="49"/>
      <c r="JG427" s="49"/>
      <c r="JI427" s="49"/>
      <c r="JJ427" s="49"/>
      <c r="JL427" s="49"/>
      <c r="JM427" s="49"/>
      <c r="JO427" s="49"/>
      <c r="JP427" s="49"/>
      <c r="JR427" s="49"/>
    </row>
    <row r="428" spans="237:278">
      <c r="IC428" s="49"/>
      <c r="IE428" s="49"/>
      <c r="IF428" s="49"/>
      <c r="IH428" s="49"/>
      <c r="II428" s="49"/>
      <c r="IK428" s="49"/>
      <c r="IL428" s="49"/>
      <c r="IN428" s="49"/>
      <c r="IO428" s="49"/>
      <c r="IQ428" s="49"/>
      <c r="IR428" s="49"/>
      <c r="IT428" s="49"/>
      <c r="IU428" s="49"/>
      <c r="IW428" s="49"/>
      <c r="IX428" s="49"/>
      <c r="IZ428" s="49"/>
      <c r="JA428" s="49"/>
      <c r="JC428" s="49"/>
      <c r="JD428" s="49"/>
      <c r="JF428" s="49"/>
      <c r="JG428" s="49"/>
      <c r="JI428" s="49"/>
      <c r="JJ428" s="49"/>
      <c r="JL428" s="49"/>
      <c r="JM428" s="49"/>
      <c r="JO428" s="49"/>
      <c r="JP428" s="49"/>
      <c r="JR428" s="49"/>
    </row>
    <row r="429" spans="237:278">
      <c r="IC429" s="49"/>
      <c r="IE429" s="49"/>
      <c r="IF429" s="49"/>
      <c r="IH429" s="49"/>
      <c r="II429" s="49"/>
      <c r="IK429" s="49"/>
      <c r="IL429" s="49"/>
      <c r="IN429" s="49"/>
      <c r="IO429" s="49"/>
      <c r="IQ429" s="49"/>
      <c r="IR429" s="49"/>
      <c r="IT429" s="49"/>
      <c r="IU429" s="49"/>
      <c r="IW429" s="49"/>
      <c r="IX429" s="49"/>
      <c r="IZ429" s="49"/>
      <c r="JA429" s="49"/>
      <c r="JC429" s="49"/>
      <c r="JD429" s="49"/>
      <c r="JF429" s="49"/>
      <c r="JG429" s="49"/>
      <c r="JI429" s="49"/>
      <c r="JJ429" s="49"/>
      <c r="JL429" s="49"/>
      <c r="JM429" s="49"/>
      <c r="JO429" s="49"/>
      <c r="JP429" s="49"/>
      <c r="JR429" s="49"/>
    </row>
    <row r="430" spans="237:278">
      <c r="IC430" s="49"/>
      <c r="IE430" s="49"/>
      <c r="IF430" s="49"/>
      <c r="IH430" s="49"/>
      <c r="II430" s="49"/>
      <c r="IK430" s="49"/>
      <c r="IL430" s="49"/>
      <c r="IN430" s="49"/>
      <c r="IO430" s="49"/>
      <c r="IQ430" s="49"/>
      <c r="IR430" s="49"/>
      <c r="IT430" s="49"/>
      <c r="IU430" s="49"/>
      <c r="IW430" s="49"/>
      <c r="IX430" s="49"/>
      <c r="IZ430" s="49"/>
      <c r="JA430" s="49"/>
      <c r="JC430" s="49"/>
      <c r="JD430" s="49"/>
      <c r="JF430" s="49"/>
      <c r="JG430" s="49"/>
      <c r="JI430" s="49"/>
      <c r="JJ430" s="49"/>
      <c r="JL430" s="49"/>
      <c r="JM430" s="49"/>
      <c r="JO430" s="49"/>
      <c r="JP430" s="49"/>
      <c r="JR430" s="49"/>
    </row>
    <row r="431" spans="237:278">
      <c r="IC431" s="49"/>
      <c r="IE431" s="49"/>
      <c r="IF431" s="49"/>
      <c r="IH431" s="49"/>
      <c r="II431" s="49"/>
      <c r="IK431" s="49"/>
      <c r="IL431" s="49"/>
      <c r="IN431" s="49"/>
      <c r="IO431" s="49"/>
      <c r="IQ431" s="49"/>
      <c r="IR431" s="49"/>
      <c r="IT431" s="49"/>
      <c r="IU431" s="49"/>
      <c r="IW431" s="49"/>
      <c r="IX431" s="49"/>
      <c r="IZ431" s="49"/>
      <c r="JA431" s="49"/>
      <c r="JC431" s="49"/>
      <c r="JD431" s="49"/>
      <c r="JF431" s="49"/>
      <c r="JG431" s="49"/>
      <c r="JI431" s="49"/>
      <c r="JJ431" s="49"/>
      <c r="JL431" s="49"/>
      <c r="JM431" s="49"/>
      <c r="JO431" s="49"/>
      <c r="JP431" s="49"/>
      <c r="JR431" s="49"/>
    </row>
    <row r="432" spans="237:278">
      <c r="IC432" s="49"/>
      <c r="IE432" s="49"/>
      <c r="IF432" s="49"/>
      <c r="IH432" s="49"/>
      <c r="II432" s="49"/>
      <c r="IK432" s="49"/>
      <c r="IL432" s="49"/>
      <c r="IN432" s="49"/>
      <c r="IO432" s="49"/>
      <c r="IQ432" s="49"/>
      <c r="IR432" s="49"/>
      <c r="IT432" s="49"/>
      <c r="IU432" s="49"/>
      <c r="IW432" s="49"/>
      <c r="IX432" s="49"/>
      <c r="IZ432" s="49"/>
      <c r="JA432" s="49"/>
      <c r="JC432" s="49"/>
      <c r="JD432" s="49"/>
      <c r="JF432" s="49"/>
      <c r="JG432" s="49"/>
      <c r="JI432" s="49"/>
      <c r="JJ432" s="49"/>
      <c r="JL432" s="49"/>
      <c r="JM432" s="49"/>
      <c r="JO432" s="49"/>
      <c r="JP432" s="49"/>
      <c r="JR432" s="49"/>
    </row>
    <row r="433" spans="237:278">
      <c r="IC433" s="49"/>
      <c r="IE433" s="49"/>
      <c r="IF433" s="49"/>
      <c r="IH433" s="49"/>
      <c r="II433" s="49"/>
      <c r="IK433" s="49"/>
      <c r="IL433" s="49"/>
      <c r="IN433" s="49"/>
      <c r="IO433" s="49"/>
      <c r="IQ433" s="49"/>
      <c r="IR433" s="49"/>
      <c r="IT433" s="49"/>
      <c r="IU433" s="49"/>
      <c r="IW433" s="49"/>
      <c r="IX433" s="49"/>
      <c r="IZ433" s="49"/>
      <c r="JA433" s="49"/>
      <c r="JC433" s="49"/>
      <c r="JD433" s="49"/>
      <c r="JF433" s="49"/>
      <c r="JG433" s="49"/>
      <c r="JI433" s="49"/>
      <c r="JJ433" s="49"/>
      <c r="JL433" s="49"/>
      <c r="JM433" s="49"/>
      <c r="JO433" s="49"/>
      <c r="JP433" s="49"/>
      <c r="JR433" s="49"/>
    </row>
    <row r="434" spans="237:278">
      <c r="IC434" s="49"/>
      <c r="IE434" s="49"/>
      <c r="IF434" s="49"/>
      <c r="IH434" s="49"/>
      <c r="II434" s="49"/>
      <c r="IK434" s="49"/>
      <c r="IL434" s="49"/>
      <c r="IN434" s="49"/>
      <c r="IO434" s="49"/>
      <c r="IQ434" s="49"/>
      <c r="IR434" s="49"/>
      <c r="IT434" s="49"/>
      <c r="IU434" s="49"/>
      <c r="IW434" s="49"/>
      <c r="IX434" s="49"/>
      <c r="IZ434" s="49"/>
      <c r="JA434" s="49"/>
      <c r="JC434" s="49"/>
      <c r="JD434" s="49"/>
      <c r="JF434" s="49"/>
      <c r="JG434" s="49"/>
      <c r="JI434" s="49"/>
      <c r="JJ434" s="49"/>
      <c r="JL434" s="49"/>
      <c r="JM434" s="49"/>
      <c r="JO434" s="49"/>
      <c r="JP434" s="49"/>
      <c r="JR434" s="49"/>
    </row>
    <row r="435" spans="237:278">
      <c r="IC435" s="49"/>
      <c r="IE435" s="49"/>
      <c r="IF435" s="49"/>
      <c r="IH435" s="49"/>
      <c r="II435" s="49"/>
      <c r="IK435" s="49"/>
      <c r="IL435" s="49"/>
      <c r="IN435" s="49"/>
      <c r="IO435" s="49"/>
      <c r="IQ435" s="49"/>
      <c r="IR435" s="49"/>
      <c r="IT435" s="49"/>
      <c r="IU435" s="49"/>
      <c r="IW435" s="49"/>
      <c r="IX435" s="49"/>
      <c r="IZ435" s="49"/>
      <c r="JA435" s="49"/>
      <c r="JC435" s="49"/>
      <c r="JD435" s="49"/>
      <c r="JF435" s="49"/>
      <c r="JG435" s="49"/>
      <c r="JI435" s="49"/>
      <c r="JJ435" s="49"/>
      <c r="JL435" s="49"/>
      <c r="JM435" s="49"/>
      <c r="JO435" s="49"/>
      <c r="JP435" s="49"/>
      <c r="JR435" s="49"/>
    </row>
    <row r="436" spans="237:278">
      <c r="IC436" s="49"/>
      <c r="IE436" s="49"/>
      <c r="IF436" s="49"/>
      <c r="IH436" s="49"/>
      <c r="II436" s="49"/>
      <c r="IK436" s="49"/>
      <c r="IL436" s="49"/>
      <c r="IN436" s="49"/>
      <c r="IO436" s="49"/>
      <c r="IQ436" s="49"/>
      <c r="IR436" s="49"/>
      <c r="IT436" s="49"/>
      <c r="IU436" s="49"/>
      <c r="IW436" s="49"/>
      <c r="IX436" s="49"/>
      <c r="IZ436" s="49"/>
      <c r="JA436" s="49"/>
      <c r="JC436" s="49"/>
      <c r="JD436" s="49"/>
      <c r="JF436" s="49"/>
      <c r="JG436" s="49"/>
      <c r="JI436" s="49"/>
      <c r="JJ436" s="49"/>
      <c r="JL436" s="49"/>
      <c r="JM436" s="49"/>
      <c r="JO436" s="49"/>
      <c r="JP436" s="49"/>
      <c r="JR436" s="49"/>
    </row>
    <row r="437" spans="237:278">
      <c r="IC437" s="49"/>
      <c r="IE437" s="49"/>
      <c r="IF437" s="49"/>
      <c r="IH437" s="49"/>
      <c r="II437" s="49"/>
      <c r="IK437" s="49"/>
      <c r="IL437" s="49"/>
      <c r="IN437" s="49"/>
      <c r="IO437" s="49"/>
      <c r="IQ437" s="49"/>
      <c r="IR437" s="49"/>
      <c r="IT437" s="49"/>
      <c r="IU437" s="49"/>
      <c r="IW437" s="49"/>
      <c r="IX437" s="49"/>
      <c r="IZ437" s="49"/>
      <c r="JA437" s="49"/>
      <c r="JC437" s="49"/>
      <c r="JD437" s="49"/>
      <c r="JF437" s="49"/>
      <c r="JG437" s="49"/>
      <c r="JI437" s="49"/>
      <c r="JJ437" s="49"/>
      <c r="JL437" s="49"/>
      <c r="JM437" s="49"/>
      <c r="JO437" s="49"/>
      <c r="JP437" s="49"/>
      <c r="JR437" s="49"/>
    </row>
    <row r="438" spans="237:278">
      <c r="IC438" s="49"/>
      <c r="IE438" s="49"/>
      <c r="IF438" s="49"/>
      <c r="IH438" s="49"/>
      <c r="II438" s="49"/>
      <c r="IK438" s="49"/>
      <c r="IL438" s="49"/>
      <c r="IN438" s="49"/>
      <c r="IO438" s="49"/>
      <c r="IQ438" s="49"/>
      <c r="IR438" s="49"/>
      <c r="IT438" s="49"/>
      <c r="IU438" s="49"/>
      <c r="IW438" s="49"/>
      <c r="IX438" s="49"/>
      <c r="IZ438" s="49"/>
      <c r="JA438" s="49"/>
      <c r="JC438" s="49"/>
      <c r="JD438" s="49"/>
      <c r="JF438" s="49"/>
      <c r="JG438" s="49"/>
      <c r="JI438" s="49"/>
      <c r="JJ438" s="49"/>
      <c r="JL438" s="49"/>
      <c r="JM438" s="49"/>
      <c r="JO438" s="49"/>
      <c r="JP438" s="49"/>
      <c r="JR438" s="49"/>
    </row>
    <row r="439" spans="237:278">
      <c r="IC439" s="49"/>
      <c r="IE439" s="49"/>
      <c r="IF439" s="49"/>
      <c r="IH439" s="49"/>
      <c r="II439" s="49"/>
      <c r="IK439" s="49"/>
      <c r="IL439" s="49"/>
      <c r="IN439" s="49"/>
      <c r="IO439" s="49"/>
      <c r="IQ439" s="49"/>
      <c r="IR439" s="49"/>
      <c r="IT439" s="49"/>
      <c r="IU439" s="49"/>
      <c r="IW439" s="49"/>
      <c r="IX439" s="49"/>
      <c r="IZ439" s="49"/>
      <c r="JA439" s="49"/>
      <c r="JC439" s="49"/>
      <c r="JD439" s="49"/>
      <c r="JF439" s="49"/>
      <c r="JG439" s="49"/>
      <c r="JI439" s="49"/>
      <c r="JJ439" s="49"/>
      <c r="JL439" s="49"/>
      <c r="JM439" s="49"/>
      <c r="JO439" s="49"/>
      <c r="JP439" s="49"/>
      <c r="JR439" s="49"/>
    </row>
    <row r="440" spans="237:278">
      <c r="IC440" s="49"/>
      <c r="IE440" s="49"/>
      <c r="IF440" s="49"/>
      <c r="IH440" s="49"/>
      <c r="II440" s="49"/>
      <c r="IK440" s="49"/>
      <c r="IL440" s="49"/>
      <c r="IN440" s="49"/>
      <c r="IO440" s="49"/>
      <c r="IQ440" s="49"/>
      <c r="IR440" s="49"/>
      <c r="IT440" s="49"/>
      <c r="IU440" s="49"/>
      <c r="IW440" s="49"/>
      <c r="IX440" s="49"/>
      <c r="IZ440" s="49"/>
      <c r="JA440" s="49"/>
      <c r="JC440" s="49"/>
      <c r="JD440" s="49"/>
      <c r="JF440" s="49"/>
      <c r="JG440" s="49"/>
      <c r="JI440" s="49"/>
      <c r="JJ440" s="49"/>
      <c r="JL440" s="49"/>
      <c r="JM440" s="49"/>
      <c r="JO440" s="49"/>
      <c r="JP440" s="49"/>
      <c r="JR440" s="49"/>
    </row>
    <row r="441" spans="237:278">
      <c r="IC441" s="49"/>
      <c r="IE441" s="49"/>
      <c r="IF441" s="49"/>
      <c r="IH441" s="49"/>
      <c r="II441" s="49"/>
      <c r="IK441" s="49"/>
      <c r="IL441" s="49"/>
      <c r="IN441" s="49"/>
      <c r="IO441" s="49"/>
      <c r="IQ441" s="49"/>
      <c r="IR441" s="49"/>
      <c r="IT441" s="49"/>
      <c r="IU441" s="49"/>
      <c r="IW441" s="49"/>
      <c r="IX441" s="49"/>
      <c r="IZ441" s="49"/>
      <c r="JA441" s="49"/>
      <c r="JC441" s="49"/>
      <c r="JD441" s="49"/>
      <c r="JF441" s="49"/>
      <c r="JG441" s="49"/>
      <c r="JI441" s="49"/>
      <c r="JJ441" s="49"/>
      <c r="JL441" s="49"/>
      <c r="JM441" s="49"/>
      <c r="JO441" s="49"/>
      <c r="JP441" s="49"/>
      <c r="JR441" s="49"/>
    </row>
    <row r="442" spans="237:278">
      <c r="IC442" s="49"/>
      <c r="IE442" s="49"/>
      <c r="IF442" s="49"/>
      <c r="IH442" s="49"/>
      <c r="II442" s="49"/>
      <c r="IK442" s="49"/>
      <c r="IL442" s="49"/>
      <c r="IN442" s="49"/>
      <c r="IO442" s="49"/>
      <c r="IQ442" s="49"/>
      <c r="IR442" s="49"/>
      <c r="IT442" s="49"/>
      <c r="IU442" s="49"/>
      <c r="IW442" s="49"/>
      <c r="IX442" s="49"/>
      <c r="IZ442" s="49"/>
      <c r="JA442" s="49"/>
      <c r="JC442" s="49"/>
      <c r="JD442" s="49"/>
      <c r="JF442" s="49"/>
      <c r="JG442" s="49"/>
      <c r="JI442" s="49"/>
      <c r="JJ442" s="49"/>
      <c r="JL442" s="49"/>
      <c r="JM442" s="49"/>
      <c r="JO442" s="49"/>
      <c r="JP442" s="49"/>
      <c r="JR442" s="49"/>
    </row>
    <row r="443" spans="237:278">
      <c r="IC443" s="49"/>
      <c r="IE443" s="49"/>
      <c r="IF443" s="49"/>
      <c r="IH443" s="49"/>
      <c r="II443" s="49"/>
      <c r="IK443" s="49"/>
      <c r="IL443" s="49"/>
      <c r="IN443" s="49"/>
      <c r="IO443" s="49"/>
      <c r="IQ443" s="49"/>
      <c r="IR443" s="49"/>
      <c r="IT443" s="49"/>
      <c r="IU443" s="49"/>
      <c r="IW443" s="49"/>
      <c r="IX443" s="49"/>
      <c r="IZ443" s="49"/>
      <c r="JA443" s="49"/>
      <c r="JC443" s="49"/>
      <c r="JD443" s="49"/>
      <c r="JF443" s="49"/>
      <c r="JG443" s="49"/>
      <c r="JI443" s="49"/>
      <c r="JJ443" s="49"/>
      <c r="JL443" s="49"/>
      <c r="JM443" s="49"/>
      <c r="JO443" s="49"/>
      <c r="JP443" s="49"/>
      <c r="JR443" s="49"/>
    </row>
    <row r="444" spans="237:278">
      <c r="IC444" s="49"/>
      <c r="IE444" s="49"/>
      <c r="IF444" s="49"/>
      <c r="IH444" s="49"/>
      <c r="II444" s="49"/>
      <c r="IK444" s="49"/>
      <c r="IL444" s="49"/>
      <c r="IN444" s="49"/>
      <c r="IO444" s="49"/>
      <c r="IQ444" s="49"/>
      <c r="IR444" s="49"/>
      <c r="IT444" s="49"/>
      <c r="IU444" s="49"/>
      <c r="IW444" s="49"/>
      <c r="IX444" s="49"/>
      <c r="IZ444" s="49"/>
      <c r="JA444" s="49"/>
      <c r="JC444" s="49"/>
      <c r="JD444" s="49"/>
      <c r="JF444" s="49"/>
      <c r="JG444" s="49"/>
      <c r="JI444" s="49"/>
      <c r="JJ444" s="49"/>
      <c r="JL444" s="49"/>
      <c r="JM444" s="49"/>
      <c r="JO444" s="49"/>
      <c r="JP444" s="49"/>
      <c r="JR444" s="49"/>
    </row>
    <row r="445" spans="237:278">
      <c r="IC445" s="49"/>
      <c r="IE445" s="49"/>
      <c r="IF445" s="49"/>
      <c r="IH445" s="49"/>
      <c r="II445" s="49"/>
      <c r="IK445" s="49"/>
      <c r="IL445" s="49"/>
      <c r="IN445" s="49"/>
      <c r="IO445" s="49"/>
      <c r="IQ445" s="49"/>
      <c r="IR445" s="49"/>
      <c r="IT445" s="49"/>
      <c r="IU445" s="49"/>
      <c r="IW445" s="49"/>
      <c r="IX445" s="49"/>
      <c r="IZ445" s="49"/>
      <c r="JA445" s="49"/>
      <c r="JC445" s="49"/>
      <c r="JD445" s="49"/>
      <c r="JF445" s="49"/>
      <c r="JG445" s="49"/>
      <c r="JI445" s="49"/>
      <c r="JJ445" s="49"/>
      <c r="JL445" s="49"/>
      <c r="JM445" s="49"/>
      <c r="JO445" s="49"/>
      <c r="JP445" s="49"/>
      <c r="JR445" s="49"/>
    </row>
    <row r="446" spans="237:278">
      <c r="IC446" s="49"/>
      <c r="IE446" s="49"/>
      <c r="IF446" s="49"/>
      <c r="IH446" s="49"/>
      <c r="II446" s="49"/>
      <c r="IK446" s="49"/>
      <c r="IL446" s="49"/>
      <c r="IN446" s="49"/>
      <c r="IO446" s="49"/>
      <c r="IQ446" s="49"/>
      <c r="IR446" s="49"/>
      <c r="IT446" s="49"/>
      <c r="IU446" s="49"/>
      <c r="IW446" s="49"/>
      <c r="IX446" s="49"/>
      <c r="IZ446" s="49"/>
      <c r="JA446" s="49"/>
      <c r="JC446" s="49"/>
      <c r="JD446" s="49"/>
      <c r="JF446" s="49"/>
      <c r="JG446" s="49"/>
      <c r="JI446" s="49"/>
      <c r="JJ446" s="49"/>
      <c r="JL446" s="49"/>
      <c r="JM446" s="49"/>
      <c r="JO446" s="49"/>
      <c r="JP446" s="49"/>
      <c r="JR446" s="49"/>
    </row>
    <row r="447" spans="237:278">
      <c r="IC447" s="49"/>
      <c r="IE447" s="49"/>
      <c r="IF447" s="49"/>
      <c r="IH447" s="49"/>
      <c r="II447" s="49"/>
      <c r="IK447" s="49"/>
      <c r="IL447" s="49"/>
      <c r="IN447" s="49"/>
      <c r="IO447" s="49"/>
      <c r="IQ447" s="49"/>
      <c r="IR447" s="49"/>
      <c r="IT447" s="49"/>
      <c r="IU447" s="49"/>
      <c r="IW447" s="49"/>
      <c r="IX447" s="49"/>
      <c r="IZ447" s="49"/>
      <c r="JA447" s="49"/>
      <c r="JC447" s="49"/>
      <c r="JD447" s="49"/>
      <c r="JF447" s="49"/>
      <c r="JG447" s="49"/>
      <c r="JI447" s="49"/>
      <c r="JJ447" s="49"/>
      <c r="JL447" s="49"/>
      <c r="JM447" s="49"/>
      <c r="JO447" s="49"/>
      <c r="JP447" s="49"/>
      <c r="JR447" s="49"/>
    </row>
    <row r="448" spans="237:278">
      <c r="IC448" s="49"/>
      <c r="IE448" s="49"/>
      <c r="IF448" s="49"/>
      <c r="IH448" s="49"/>
      <c r="II448" s="49"/>
      <c r="IK448" s="49"/>
      <c r="IL448" s="49"/>
      <c r="IN448" s="49"/>
      <c r="IO448" s="49"/>
      <c r="IQ448" s="49"/>
      <c r="IR448" s="49"/>
      <c r="IT448" s="49"/>
      <c r="IU448" s="49"/>
      <c r="IW448" s="49"/>
      <c r="IX448" s="49"/>
      <c r="IZ448" s="49"/>
      <c r="JA448" s="49"/>
      <c r="JC448" s="49"/>
      <c r="JD448" s="49"/>
      <c r="JF448" s="49"/>
      <c r="JG448" s="49"/>
      <c r="JI448" s="49"/>
      <c r="JJ448" s="49"/>
      <c r="JL448" s="49"/>
      <c r="JM448" s="49"/>
      <c r="JO448" s="49"/>
      <c r="JP448" s="49"/>
      <c r="JR448" s="49"/>
    </row>
    <row r="449" spans="237:278">
      <c r="IC449" s="49"/>
      <c r="IE449" s="49"/>
      <c r="IF449" s="49"/>
      <c r="IH449" s="49"/>
      <c r="II449" s="49"/>
      <c r="IK449" s="49"/>
      <c r="IL449" s="49"/>
      <c r="IN449" s="49"/>
      <c r="IO449" s="49"/>
      <c r="IQ449" s="49"/>
      <c r="IR449" s="49"/>
      <c r="IT449" s="49"/>
      <c r="IU449" s="49"/>
      <c r="IW449" s="49"/>
      <c r="IX449" s="49"/>
      <c r="IZ449" s="49"/>
      <c r="JA449" s="49"/>
      <c r="JC449" s="49"/>
      <c r="JD449" s="49"/>
      <c r="JF449" s="49"/>
      <c r="JG449" s="49"/>
      <c r="JI449" s="49"/>
      <c r="JJ449" s="49"/>
      <c r="JL449" s="49"/>
      <c r="JM449" s="49"/>
      <c r="JO449" s="49"/>
      <c r="JP449" s="49"/>
      <c r="JR449" s="49"/>
    </row>
    <row r="450" spans="237:278">
      <c r="IC450" s="49"/>
      <c r="IE450" s="49"/>
      <c r="IF450" s="49"/>
      <c r="IH450" s="49"/>
      <c r="II450" s="49"/>
      <c r="IK450" s="49"/>
      <c r="IL450" s="49"/>
      <c r="IN450" s="49"/>
      <c r="IO450" s="49"/>
      <c r="IQ450" s="49"/>
      <c r="IR450" s="49"/>
      <c r="IT450" s="49"/>
      <c r="IU450" s="49"/>
      <c r="IW450" s="49"/>
      <c r="IX450" s="49"/>
      <c r="IZ450" s="49"/>
      <c r="JA450" s="49"/>
      <c r="JC450" s="49"/>
      <c r="JD450" s="49"/>
      <c r="JF450" s="49"/>
      <c r="JG450" s="49"/>
      <c r="JI450" s="49"/>
      <c r="JJ450" s="49"/>
      <c r="JL450" s="49"/>
      <c r="JM450" s="49"/>
      <c r="JO450" s="49"/>
      <c r="JP450" s="49"/>
      <c r="JR450" s="49"/>
    </row>
    <row r="451" spans="237:278">
      <c r="IC451" s="49"/>
      <c r="IE451" s="49"/>
      <c r="IF451" s="49"/>
      <c r="IH451" s="49"/>
      <c r="II451" s="49"/>
      <c r="IK451" s="49"/>
      <c r="IL451" s="49"/>
      <c r="IN451" s="49"/>
      <c r="IO451" s="49"/>
      <c r="IQ451" s="49"/>
      <c r="IR451" s="49"/>
      <c r="IT451" s="49"/>
      <c r="IU451" s="49"/>
      <c r="IW451" s="49"/>
      <c r="IX451" s="49"/>
      <c r="IZ451" s="49"/>
      <c r="JA451" s="49"/>
      <c r="JC451" s="49"/>
      <c r="JD451" s="49"/>
      <c r="JF451" s="49"/>
      <c r="JG451" s="49"/>
      <c r="JI451" s="49"/>
      <c r="JJ451" s="49"/>
      <c r="JL451" s="49"/>
      <c r="JM451" s="49"/>
      <c r="JO451" s="49"/>
      <c r="JP451" s="49"/>
      <c r="JR451" s="49"/>
    </row>
    <row r="452" spans="237:278">
      <c r="IC452" s="49"/>
      <c r="IE452" s="49"/>
      <c r="IF452" s="49"/>
      <c r="IH452" s="49"/>
      <c r="II452" s="49"/>
      <c r="IK452" s="49"/>
      <c r="IL452" s="49"/>
      <c r="IN452" s="49"/>
      <c r="IO452" s="49"/>
      <c r="IQ452" s="49"/>
      <c r="IR452" s="49"/>
      <c r="IT452" s="49"/>
      <c r="IU452" s="49"/>
      <c r="IW452" s="49"/>
      <c r="IX452" s="49"/>
      <c r="IZ452" s="49"/>
      <c r="JA452" s="49"/>
      <c r="JC452" s="49"/>
      <c r="JD452" s="49"/>
      <c r="JF452" s="49"/>
      <c r="JG452" s="49"/>
      <c r="JI452" s="49"/>
      <c r="JJ452" s="49"/>
      <c r="JL452" s="49"/>
      <c r="JM452" s="49"/>
      <c r="JO452" s="49"/>
      <c r="JP452" s="49"/>
      <c r="JR452" s="49"/>
    </row>
    <row r="453" spans="237:278">
      <c r="IC453" s="49"/>
      <c r="IE453" s="49"/>
      <c r="IF453" s="49"/>
      <c r="IH453" s="49"/>
      <c r="II453" s="49"/>
      <c r="IK453" s="49"/>
      <c r="IL453" s="49"/>
      <c r="IN453" s="49"/>
      <c r="IO453" s="49"/>
      <c r="IQ453" s="49"/>
      <c r="IR453" s="49"/>
      <c r="IT453" s="49"/>
      <c r="IU453" s="49"/>
      <c r="IW453" s="49"/>
      <c r="IX453" s="49"/>
      <c r="IZ453" s="49"/>
      <c r="JA453" s="49"/>
      <c r="JC453" s="49"/>
      <c r="JD453" s="49"/>
      <c r="JF453" s="49"/>
      <c r="JG453" s="49"/>
      <c r="JI453" s="49"/>
      <c r="JJ453" s="49"/>
      <c r="JL453" s="49"/>
      <c r="JM453" s="49"/>
      <c r="JO453" s="49"/>
      <c r="JP453" s="49"/>
      <c r="JR453" s="49"/>
    </row>
    <row r="454" spans="237:278">
      <c r="IC454" s="49"/>
      <c r="IE454" s="49"/>
      <c r="IF454" s="49"/>
      <c r="IH454" s="49"/>
      <c r="II454" s="49"/>
      <c r="IK454" s="49"/>
      <c r="IL454" s="49"/>
      <c r="IN454" s="49"/>
      <c r="IO454" s="49"/>
      <c r="IQ454" s="49"/>
      <c r="IR454" s="49"/>
      <c r="IT454" s="49"/>
      <c r="IU454" s="49"/>
      <c r="IW454" s="49"/>
      <c r="IX454" s="49"/>
      <c r="IZ454" s="49"/>
      <c r="JA454" s="49"/>
      <c r="JC454" s="49"/>
      <c r="JD454" s="49"/>
      <c r="JF454" s="49"/>
      <c r="JG454" s="49"/>
      <c r="JI454" s="49"/>
      <c r="JJ454" s="49"/>
      <c r="JL454" s="49"/>
      <c r="JM454" s="49"/>
      <c r="JO454" s="49"/>
      <c r="JP454" s="49"/>
      <c r="JR454" s="49"/>
    </row>
    <row r="455" spans="237:278">
      <c r="IC455" s="49"/>
      <c r="IE455" s="49"/>
      <c r="IF455" s="49"/>
      <c r="IH455" s="49"/>
      <c r="II455" s="49"/>
      <c r="IK455" s="49"/>
      <c r="IL455" s="49"/>
      <c r="IN455" s="49"/>
      <c r="IO455" s="49"/>
      <c r="IQ455" s="49"/>
      <c r="IR455" s="49"/>
      <c r="IT455" s="49"/>
      <c r="IU455" s="49"/>
      <c r="IW455" s="49"/>
      <c r="IX455" s="49"/>
      <c r="IZ455" s="49"/>
      <c r="JA455" s="49"/>
      <c r="JC455" s="49"/>
      <c r="JD455" s="49"/>
      <c r="JF455" s="49"/>
      <c r="JG455" s="49"/>
      <c r="JI455" s="49"/>
      <c r="JJ455" s="49"/>
      <c r="JL455" s="49"/>
      <c r="JM455" s="49"/>
      <c r="JO455" s="49"/>
      <c r="JP455" s="49"/>
      <c r="JR455" s="49"/>
    </row>
    <row r="456" spans="237:278">
      <c r="IC456" s="49"/>
      <c r="IE456" s="49"/>
      <c r="IF456" s="49"/>
      <c r="IH456" s="49"/>
      <c r="II456" s="49"/>
      <c r="IK456" s="49"/>
      <c r="IL456" s="49"/>
      <c r="IN456" s="49"/>
      <c r="IO456" s="49"/>
      <c r="IQ456" s="49"/>
      <c r="IR456" s="49"/>
      <c r="IT456" s="49"/>
      <c r="IU456" s="49"/>
      <c r="IW456" s="49"/>
      <c r="IX456" s="49"/>
      <c r="IZ456" s="49"/>
      <c r="JA456" s="49"/>
      <c r="JC456" s="49"/>
      <c r="JD456" s="49"/>
      <c r="JF456" s="49"/>
      <c r="JG456" s="49"/>
      <c r="JI456" s="49"/>
      <c r="JJ456" s="49"/>
      <c r="JL456" s="49"/>
      <c r="JM456" s="49"/>
      <c r="JO456" s="49"/>
      <c r="JP456" s="49"/>
      <c r="JR456" s="49"/>
    </row>
    <row r="457" spans="237:278">
      <c r="IC457" s="49"/>
      <c r="IE457" s="49"/>
      <c r="IF457" s="49"/>
      <c r="IH457" s="49"/>
      <c r="II457" s="49"/>
      <c r="IK457" s="49"/>
      <c r="IL457" s="49"/>
      <c r="IN457" s="49"/>
      <c r="IO457" s="49"/>
      <c r="IQ457" s="49"/>
      <c r="IR457" s="49"/>
      <c r="IT457" s="49"/>
      <c r="IU457" s="49"/>
      <c r="IW457" s="49"/>
      <c r="IX457" s="49"/>
      <c r="IZ457" s="49"/>
      <c r="JA457" s="49"/>
      <c r="JC457" s="49"/>
      <c r="JD457" s="49"/>
      <c r="JF457" s="49"/>
      <c r="JG457" s="49"/>
      <c r="JI457" s="49"/>
      <c r="JJ457" s="49"/>
      <c r="JL457" s="49"/>
      <c r="JM457" s="49"/>
      <c r="JO457" s="49"/>
      <c r="JP457" s="49"/>
      <c r="JR457" s="49"/>
    </row>
    <row r="458" spans="237:278">
      <c r="IC458" s="49"/>
      <c r="IE458" s="49"/>
      <c r="IF458" s="49"/>
      <c r="IH458" s="49"/>
      <c r="II458" s="49"/>
      <c r="IK458" s="49"/>
      <c r="IL458" s="49"/>
      <c r="IN458" s="49"/>
      <c r="IO458" s="49"/>
      <c r="IQ458" s="49"/>
      <c r="IR458" s="49"/>
      <c r="IT458" s="49"/>
      <c r="IU458" s="49"/>
      <c r="IW458" s="49"/>
      <c r="IX458" s="49"/>
      <c r="IZ458" s="49"/>
      <c r="JA458" s="49"/>
      <c r="JC458" s="49"/>
      <c r="JD458" s="49"/>
      <c r="JF458" s="49"/>
      <c r="JG458" s="49"/>
      <c r="JI458" s="49"/>
      <c r="JJ458" s="49"/>
      <c r="JL458" s="49"/>
      <c r="JM458" s="49"/>
      <c r="JO458" s="49"/>
      <c r="JP458" s="49"/>
      <c r="JR458" s="49"/>
    </row>
    <row r="459" spans="237:278">
      <c r="IC459" s="49"/>
      <c r="IE459" s="49"/>
      <c r="IF459" s="49"/>
      <c r="IH459" s="49"/>
      <c r="II459" s="49"/>
      <c r="IK459" s="49"/>
      <c r="IL459" s="49"/>
      <c r="IN459" s="49"/>
      <c r="IO459" s="49"/>
      <c r="IQ459" s="49"/>
      <c r="IR459" s="49"/>
      <c r="IT459" s="49"/>
      <c r="IU459" s="49"/>
      <c r="IW459" s="49"/>
      <c r="IX459" s="49"/>
      <c r="IZ459" s="49"/>
      <c r="JA459" s="49"/>
      <c r="JC459" s="49"/>
      <c r="JD459" s="49"/>
      <c r="JF459" s="49"/>
      <c r="JG459" s="49"/>
      <c r="JI459" s="49"/>
      <c r="JJ459" s="49"/>
      <c r="JL459" s="49"/>
      <c r="JM459" s="49"/>
      <c r="JO459" s="49"/>
      <c r="JP459" s="49"/>
      <c r="JR459" s="49"/>
    </row>
    <row r="460" spans="237:278">
      <c r="IC460" s="49"/>
      <c r="IE460" s="49"/>
      <c r="IF460" s="49"/>
      <c r="IH460" s="49"/>
      <c r="II460" s="49"/>
      <c r="IK460" s="49"/>
      <c r="IL460" s="49"/>
      <c r="IN460" s="49"/>
      <c r="IO460" s="49"/>
      <c r="IQ460" s="49"/>
      <c r="IR460" s="49"/>
      <c r="IT460" s="49"/>
      <c r="IU460" s="49"/>
      <c r="IW460" s="49"/>
      <c r="IX460" s="49"/>
      <c r="IZ460" s="49"/>
      <c r="JA460" s="49"/>
      <c r="JC460" s="49"/>
      <c r="JD460" s="49"/>
      <c r="JF460" s="49"/>
      <c r="JG460" s="49"/>
      <c r="JI460" s="49"/>
      <c r="JJ460" s="49"/>
      <c r="JL460" s="49"/>
      <c r="JM460" s="49"/>
      <c r="JO460" s="49"/>
      <c r="JP460" s="49"/>
      <c r="JR460" s="49"/>
    </row>
    <row r="461" spans="237:278">
      <c r="IC461" s="49"/>
      <c r="IE461" s="49"/>
      <c r="IF461" s="49"/>
      <c r="IH461" s="49"/>
      <c r="II461" s="49"/>
      <c r="IK461" s="49"/>
      <c r="IL461" s="49"/>
      <c r="IN461" s="49"/>
      <c r="IO461" s="49"/>
      <c r="IQ461" s="49"/>
      <c r="IR461" s="49"/>
      <c r="IT461" s="49"/>
      <c r="IU461" s="49"/>
      <c r="IW461" s="49"/>
      <c r="IX461" s="49"/>
      <c r="IZ461" s="49"/>
      <c r="JA461" s="49"/>
      <c r="JC461" s="49"/>
      <c r="JD461" s="49"/>
      <c r="JF461" s="49"/>
      <c r="JG461" s="49"/>
      <c r="JI461" s="49"/>
      <c r="JJ461" s="49"/>
      <c r="JL461" s="49"/>
      <c r="JM461" s="49"/>
      <c r="JO461" s="49"/>
      <c r="JP461" s="49"/>
      <c r="JR461" s="49"/>
    </row>
    <row r="462" spans="237:278">
      <c r="IC462" s="49"/>
      <c r="IE462" s="49"/>
      <c r="IF462" s="49"/>
      <c r="IH462" s="49"/>
      <c r="II462" s="49"/>
      <c r="IK462" s="49"/>
      <c r="IL462" s="49"/>
      <c r="IN462" s="49"/>
      <c r="IO462" s="49"/>
      <c r="IQ462" s="49"/>
      <c r="IR462" s="49"/>
      <c r="IT462" s="49"/>
      <c r="IU462" s="49"/>
      <c r="IW462" s="49"/>
      <c r="IX462" s="49"/>
      <c r="IZ462" s="49"/>
      <c r="JA462" s="49"/>
      <c r="JC462" s="49"/>
      <c r="JD462" s="49"/>
      <c r="JF462" s="49"/>
      <c r="JG462" s="49"/>
      <c r="JI462" s="49"/>
      <c r="JJ462" s="49"/>
      <c r="JL462" s="49"/>
      <c r="JM462" s="49"/>
      <c r="JO462" s="49"/>
      <c r="JP462" s="49"/>
      <c r="JR462" s="49"/>
    </row>
    <row r="463" spans="237:278">
      <c r="IC463" s="49"/>
      <c r="IE463" s="49"/>
      <c r="IF463" s="49"/>
      <c r="IH463" s="49"/>
      <c r="II463" s="49"/>
      <c r="IK463" s="49"/>
      <c r="IL463" s="49"/>
      <c r="IN463" s="49"/>
      <c r="IO463" s="49"/>
      <c r="IQ463" s="49"/>
      <c r="IR463" s="49"/>
      <c r="IT463" s="49"/>
      <c r="IU463" s="49"/>
      <c r="IW463" s="49"/>
      <c r="IX463" s="49"/>
      <c r="IZ463" s="49"/>
      <c r="JA463" s="49"/>
      <c r="JC463" s="49"/>
      <c r="JD463" s="49"/>
      <c r="JF463" s="49"/>
      <c r="JG463" s="49"/>
      <c r="JI463" s="49"/>
      <c r="JJ463" s="49"/>
      <c r="JL463" s="49"/>
      <c r="JM463" s="49"/>
      <c r="JO463" s="49"/>
      <c r="JP463" s="49"/>
      <c r="JR463" s="49"/>
    </row>
    <row r="464" spans="237:278">
      <c r="IC464" s="49"/>
      <c r="IE464" s="49"/>
      <c r="IF464" s="49"/>
      <c r="IH464" s="49"/>
      <c r="II464" s="49"/>
      <c r="IK464" s="49"/>
      <c r="IL464" s="49"/>
      <c r="IN464" s="49"/>
      <c r="IO464" s="49"/>
      <c r="IQ464" s="49"/>
      <c r="IR464" s="49"/>
      <c r="IT464" s="49"/>
      <c r="IU464" s="49"/>
      <c r="IW464" s="49"/>
      <c r="IX464" s="49"/>
      <c r="IZ464" s="49"/>
      <c r="JA464" s="49"/>
      <c r="JC464" s="49"/>
      <c r="JD464" s="49"/>
      <c r="JF464" s="49"/>
      <c r="JG464" s="49"/>
      <c r="JI464" s="49"/>
      <c r="JJ464" s="49"/>
      <c r="JL464" s="49"/>
      <c r="JM464" s="49"/>
      <c r="JO464" s="49"/>
      <c r="JP464" s="49"/>
      <c r="JR464" s="49"/>
    </row>
    <row r="465" spans="237:278">
      <c r="IC465" s="49"/>
      <c r="IE465" s="49"/>
      <c r="IF465" s="49"/>
      <c r="IH465" s="49"/>
      <c r="II465" s="49"/>
      <c r="IK465" s="49"/>
      <c r="IL465" s="49"/>
      <c r="IN465" s="49"/>
      <c r="IO465" s="49"/>
      <c r="IQ465" s="49"/>
      <c r="IR465" s="49"/>
      <c r="IT465" s="49"/>
      <c r="IU465" s="49"/>
      <c r="IW465" s="49"/>
      <c r="IX465" s="49"/>
      <c r="IZ465" s="49"/>
      <c r="JA465" s="49"/>
      <c r="JC465" s="49"/>
      <c r="JD465" s="49"/>
      <c r="JF465" s="49"/>
      <c r="JG465" s="49"/>
      <c r="JI465" s="49"/>
      <c r="JJ465" s="49"/>
      <c r="JL465" s="49"/>
      <c r="JM465" s="49"/>
      <c r="JO465" s="49"/>
      <c r="JP465" s="49"/>
      <c r="JR465" s="49"/>
    </row>
    <row r="466" spans="237:278">
      <c r="IC466" s="49"/>
      <c r="IE466" s="49"/>
      <c r="IF466" s="49"/>
      <c r="IH466" s="49"/>
      <c r="II466" s="49"/>
      <c r="IK466" s="49"/>
      <c r="IL466" s="49"/>
      <c r="IN466" s="49"/>
      <c r="IO466" s="49"/>
      <c r="IQ466" s="49"/>
      <c r="IR466" s="49"/>
      <c r="IT466" s="49"/>
      <c r="IU466" s="49"/>
      <c r="IW466" s="49"/>
      <c r="IX466" s="49"/>
      <c r="IZ466" s="49"/>
      <c r="JA466" s="49"/>
      <c r="JC466" s="49"/>
      <c r="JD466" s="49"/>
      <c r="JF466" s="49"/>
      <c r="JG466" s="49"/>
      <c r="JI466" s="49"/>
      <c r="JJ466" s="49"/>
      <c r="JL466" s="49"/>
      <c r="JM466" s="49"/>
      <c r="JO466" s="49"/>
      <c r="JP466" s="49"/>
      <c r="JR466" s="49"/>
    </row>
    <row r="467" spans="237:278">
      <c r="IC467" s="49"/>
      <c r="IE467" s="49"/>
      <c r="IF467" s="49"/>
      <c r="IH467" s="49"/>
      <c r="II467" s="49"/>
      <c r="IK467" s="49"/>
      <c r="IL467" s="49"/>
      <c r="IN467" s="49"/>
      <c r="IO467" s="49"/>
      <c r="IQ467" s="49"/>
      <c r="IR467" s="49"/>
      <c r="IT467" s="49"/>
      <c r="IU467" s="49"/>
      <c r="IW467" s="49"/>
      <c r="IX467" s="49"/>
      <c r="IZ467" s="49"/>
      <c r="JA467" s="49"/>
      <c r="JC467" s="49"/>
      <c r="JD467" s="49"/>
      <c r="JF467" s="49"/>
      <c r="JG467" s="49"/>
      <c r="JI467" s="49"/>
      <c r="JJ467" s="49"/>
      <c r="JL467" s="49"/>
      <c r="JM467" s="49"/>
      <c r="JO467" s="49"/>
      <c r="JP467" s="49"/>
      <c r="JR467" s="49"/>
    </row>
    <row r="468" spans="237:278">
      <c r="IC468" s="49"/>
      <c r="IE468" s="49"/>
      <c r="IF468" s="49"/>
      <c r="IH468" s="49"/>
      <c r="II468" s="49"/>
      <c r="IK468" s="49"/>
      <c r="IL468" s="49"/>
      <c r="IN468" s="49"/>
      <c r="IO468" s="49"/>
      <c r="IQ468" s="49"/>
      <c r="IR468" s="49"/>
      <c r="IT468" s="49"/>
      <c r="IU468" s="49"/>
      <c r="IW468" s="49"/>
      <c r="IX468" s="49"/>
      <c r="IZ468" s="49"/>
      <c r="JA468" s="49"/>
      <c r="JC468" s="49"/>
      <c r="JD468" s="49"/>
      <c r="JF468" s="49"/>
      <c r="JG468" s="49"/>
      <c r="JI468" s="49"/>
      <c r="JJ468" s="49"/>
      <c r="JL468" s="49"/>
      <c r="JM468" s="49"/>
      <c r="JO468" s="49"/>
      <c r="JP468" s="49"/>
      <c r="JR468" s="49"/>
    </row>
    <row r="469" spans="237:278">
      <c r="IC469" s="49"/>
      <c r="IE469" s="49"/>
      <c r="IF469" s="49"/>
      <c r="IH469" s="49"/>
      <c r="II469" s="49"/>
      <c r="IK469" s="49"/>
      <c r="IL469" s="49"/>
      <c r="IN469" s="49"/>
      <c r="IO469" s="49"/>
      <c r="IQ469" s="49"/>
      <c r="IR469" s="49"/>
      <c r="IT469" s="49"/>
      <c r="IU469" s="49"/>
      <c r="IW469" s="49"/>
      <c r="IX469" s="49"/>
      <c r="IZ469" s="49"/>
      <c r="JA469" s="49"/>
      <c r="JC469" s="49"/>
      <c r="JD469" s="49"/>
      <c r="JF469" s="49"/>
      <c r="JG469" s="49"/>
      <c r="JI469" s="49"/>
      <c r="JJ469" s="49"/>
      <c r="JL469" s="49"/>
      <c r="JM469" s="49"/>
      <c r="JO469" s="49"/>
      <c r="JP469" s="49"/>
      <c r="JR469" s="49"/>
    </row>
    <row r="470" spans="237:278">
      <c r="IC470" s="49"/>
      <c r="IE470" s="49"/>
      <c r="IF470" s="49"/>
      <c r="IH470" s="49"/>
      <c r="II470" s="49"/>
      <c r="IK470" s="49"/>
      <c r="IL470" s="49"/>
      <c r="IN470" s="49"/>
      <c r="IO470" s="49"/>
      <c r="IQ470" s="49"/>
      <c r="IR470" s="49"/>
      <c r="IT470" s="49"/>
      <c r="IU470" s="49"/>
      <c r="IW470" s="49"/>
      <c r="IX470" s="49"/>
      <c r="IZ470" s="49"/>
      <c r="JA470" s="49"/>
      <c r="JC470" s="49"/>
      <c r="JD470" s="49"/>
      <c r="JF470" s="49"/>
      <c r="JG470" s="49"/>
      <c r="JI470" s="49"/>
      <c r="JJ470" s="49"/>
      <c r="JL470" s="49"/>
      <c r="JM470" s="49"/>
      <c r="JO470" s="49"/>
      <c r="JP470" s="49"/>
      <c r="JR470" s="49"/>
    </row>
    <row r="471" spans="237:278">
      <c r="IC471" s="49"/>
      <c r="IE471" s="49"/>
      <c r="IF471" s="49"/>
      <c r="IH471" s="49"/>
      <c r="II471" s="49"/>
      <c r="IK471" s="49"/>
      <c r="IL471" s="49"/>
      <c r="IN471" s="49"/>
      <c r="IO471" s="49"/>
      <c r="IQ471" s="49"/>
      <c r="IR471" s="49"/>
      <c r="IT471" s="49"/>
      <c r="IU471" s="49"/>
      <c r="IW471" s="49"/>
      <c r="IX471" s="49"/>
      <c r="IZ471" s="49"/>
      <c r="JA471" s="49"/>
      <c r="JC471" s="49"/>
      <c r="JD471" s="49"/>
      <c r="JF471" s="49"/>
      <c r="JG471" s="49"/>
      <c r="JI471" s="49"/>
      <c r="JJ471" s="49"/>
      <c r="JL471" s="49"/>
      <c r="JM471" s="49"/>
      <c r="JO471" s="49"/>
      <c r="JP471" s="49"/>
      <c r="JR471" s="49"/>
    </row>
    <row r="472" spans="237:278">
      <c r="IC472" s="49"/>
      <c r="IE472" s="49"/>
      <c r="IF472" s="49"/>
      <c r="IH472" s="49"/>
      <c r="II472" s="49"/>
      <c r="IK472" s="49"/>
      <c r="IL472" s="49"/>
      <c r="IN472" s="49"/>
      <c r="IO472" s="49"/>
      <c r="IQ472" s="49"/>
      <c r="IR472" s="49"/>
      <c r="IT472" s="49"/>
      <c r="IU472" s="49"/>
      <c r="IW472" s="49"/>
      <c r="IX472" s="49"/>
      <c r="IZ472" s="49"/>
      <c r="JA472" s="49"/>
      <c r="JC472" s="49"/>
      <c r="JD472" s="49"/>
      <c r="JF472" s="49"/>
      <c r="JG472" s="49"/>
      <c r="JI472" s="49"/>
      <c r="JJ472" s="49"/>
      <c r="JL472" s="49"/>
      <c r="JM472" s="49"/>
      <c r="JO472" s="49"/>
      <c r="JP472" s="49"/>
      <c r="JR472" s="49"/>
    </row>
    <row r="473" spans="237:278">
      <c r="IC473" s="49"/>
      <c r="IE473" s="49"/>
      <c r="IF473" s="49"/>
      <c r="IH473" s="49"/>
      <c r="II473" s="49"/>
      <c r="IK473" s="49"/>
      <c r="IL473" s="49"/>
      <c r="IN473" s="49"/>
      <c r="IO473" s="49"/>
      <c r="IQ473" s="49"/>
      <c r="IR473" s="49"/>
      <c r="IT473" s="49"/>
      <c r="IU473" s="49"/>
      <c r="IW473" s="49"/>
      <c r="IX473" s="49"/>
      <c r="IZ473" s="49"/>
      <c r="JA473" s="49"/>
      <c r="JC473" s="49"/>
      <c r="JD473" s="49"/>
      <c r="JF473" s="49"/>
      <c r="JG473" s="49"/>
      <c r="JI473" s="49"/>
      <c r="JJ473" s="49"/>
      <c r="JL473" s="49"/>
      <c r="JM473" s="49"/>
      <c r="JO473" s="49"/>
      <c r="JP473" s="49"/>
      <c r="JR473" s="49"/>
    </row>
    <row r="474" spans="237:278">
      <c r="IC474" s="49"/>
      <c r="IE474" s="49"/>
      <c r="IF474" s="49"/>
      <c r="IH474" s="49"/>
      <c r="II474" s="49"/>
      <c r="IK474" s="49"/>
      <c r="IL474" s="49"/>
      <c r="IN474" s="49"/>
      <c r="IO474" s="49"/>
      <c r="IQ474" s="49"/>
      <c r="IR474" s="49"/>
      <c r="IT474" s="49"/>
      <c r="IU474" s="49"/>
      <c r="IW474" s="49"/>
      <c r="IX474" s="49"/>
      <c r="IZ474" s="49"/>
      <c r="JA474" s="49"/>
      <c r="JC474" s="49"/>
      <c r="JD474" s="49"/>
      <c r="JF474" s="49"/>
      <c r="JG474" s="49"/>
      <c r="JI474" s="49"/>
      <c r="JJ474" s="49"/>
      <c r="JL474" s="49"/>
      <c r="JM474" s="49"/>
      <c r="JO474" s="49"/>
      <c r="JP474" s="49"/>
      <c r="JR474" s="49"/>
    </row>
    <row r="475" spans="237:278">
      <c r="IC475" s="49"/>
      <c r="IE475" s="49"/>
      <c r="IF475" s="49"/>
      <c r="IH475" s="49"/>
      <c r="II475" s="49"/>
      <c r="IK475" s="49"/>
      <c r="IL475" s="49"/>
      <c r="IN475" s="49"/>
      <c r="IO475" s="49"/>
      <c r="IQ475" s="49"/>
      <c r="IR475" s="49"/>
      <c r="IT475" s="49"/>
      <c r="IU475" s="49"/>
      <c r="IW475" s="49"/>
      <c r="IX475" s="49"/>
      <c r="IZ475" s="49"/>
      <c r="JA475" s="49"/>
      <c r="JC475" s="49"/>
      <c r="JD475" s="49"/>
      <c r="JF475" s="49"/>
      <c r="JG475" s="49"/>
      <c r="JI475" s="49"/>
      <c r="JJ475" s="49"/>
      <c r="JL475" s="49"/>
      <c r="JM475" s="49"/>
      <c r="JO475" s="49"/>
      <c r="JP475" s="49"/>
      <c r="JR475" s="49"/>
    </row>
    <row r="476" spans="237:278">
      <c r="IC476" s="49"/>
      <c r="IE476" s="49"/>
      <c r="IF476" s="49"/>
      <c r="IH476" s="49"/>
      <c r="II476" s="49"/>
      <c r="IK476" s="49"/>
      <c r="IL476" s="49"/>
      <c r="IN476" s="49"/>
      <c r="IO476" s="49"/>
      <c r="IQ476" s="49"/>
      <c r="IR476" s="49"/>
      <c r="IT476" s="49"/>
      <c r="IU476" s="49"/>
      <c r="IW476" s="49"/>
      <c r="IX476" s="49"/>
      <c r="IZ476" s="49"/>
      <c r="JA476" s="49"/>
      <c r="JC476" s="49"/>
      <c r="JD476" s="49"/>
      <c r="JF476" s="49"/>
      <c r="JG476" s="49"/>
      <c r="JI476" s="49"/>
      <c r="JJ476" s="49"/>
      <c r="JL476" s="49"/>
      <c r="JM476" s="49"/>
      <c r="JO476" s="49"/>
      <c r="JP476" s="49"/>
      <c r="JR476" s="49"/>
    </row>
    <row r="477" spans="237:278">
      <c r="IC477" s="49"/>
      <c r="IE477" s="49"/>
      <c r="IF477" s="49"/>
      <c r="IH477" s="49"/>
      <c r="II477" s="49"/>
      <c r="IK477" s="49"/>
      <c r="IL477" s="49"/>
      <c r="IN477" s="49"/>
      <c r="IO477" s="49"/>
      <c r="IQ477" s="49"/>
      <c r="IR477" s="49"/>
      <c r="IT477" s="49"/>
      <c r="IU477" s="49"/>
      <c r="IW477" s="49"/>
      <c r="IX477" s="49"/>
      <c r="IZ477" s="49"/>
      <c r="JA477" s="49"/>
      <c r="JC477" s="49"/>
      <c r="JD477" s="49"/>
      <c r="JF477" s="49"/>
      <c r="JG477" s="49"/>
      <c r="JI477" s="49"/>
      <c r="JJ477" s="49"/>
      <c r="JL477" s="49"/>
      <c r="JM477" s="49"/>
      <c r="JO477" s="49"/>
      <c r="JP477" s="49"/>
      <c r="JR477" s="49"/>
    </row>
    <row r="478" spans="237:278">
      <c r="IC478" s="49"/>
      <c r="IE478" s="49"/>
      <c r="IF478" s="49"/>
      <c r="IH478" s="49"/>
      <c r="II478" s="49"/>
      <c r="IK478" s="49"/>
      <c r="IL478" s="49"/>
      <c r="IN478" s="49"/>
      <c r="IO478" s="49"/>
      <c r="IQ478" s="49"/>
      <c r="IR478" s="49"/>
      <c r="IT478" s="49"/>
      <c r="IU478" s="49"/>
      <c r="IW478" s="49"/>
      <c r="IX478" s="49"/>
      <c r="IZ478" s="49"/>
      <c r="JA478" s="49"/>
      <c r="JC478" s="49"/>
      <c r="JD478" s="49"/>
      <c r="JF478" s="49"/>
      <c r="JG478" s="49"/>
      <c r="JI478" s="49"/>
      <c r="JJ478" s="49"/>
      <c r="JL478" s="49"/>
      <c r="JM478" s="49"/>
      <c r="JO478" s="49"/>
      <c r="JP478" s="49"/>
      <c r="JR478" s="49"/>
    </row>
    <row r="479" spans="237:278">
      <c r="IC479" s="49"/>
      <c r="IE479" s="49"/>
      <c r="IF479" s="49"/>
      <c r="IH479" s="49"/>
      <c r="II479" s="49"/>
      <c r="IK479" s="49"/>
      <c r="IL479" s="49"/>
      <c r="IN479" s="49"/>
      <c r="IO479" s="49"/>
      <c r="IQ479" s="49"/>
      <c r="IR479" s="49"/>
      <c r="IT479" s="49"/>
      <c r="IU479" s="49"/>
      <c r="IW479" s="49"/>
      <c r="IX479" s="49"/>
      <c r="IZ479" s="49"/>
      <c r="JA479" s="49"/>
      <c r="JC479" s="49"/>
      <c r="JD479" s="49"/>
      <c r="JF479" s="49"/>
      <c r="JG479" s="49"/>
      <c r="JI479" s="49"/>
      <c r="JJ479" s="49"/>
      <c r="JL479" s="49"/>
      <c r="JM479" s="49"/>
      <c r="JO479" s="49"/>
      <c r="JP479" s="49"/>
      <c r="JR479" s="49"/>
    </row>
    <row r="480" spans="237:278">
      <c r="IC480" s="49"/>
      <c r="IE480" s="49"/>
      <c r="IF480" s="49"/>
      <c r="IH480" s="49"/>
      <c r="II480" s="49"/>
      <c r="IK480" s="49"/>
      <c r="IL480" s="49"/>
      <c r="IN480" s="49"/>
      <c r="IO480" s="49"/>
      <c r="IQ480" s="49"/>
      <c r="IR480" s="49"/>
      <c r="IT480" s="49"/>
      <c r="IU480" s="49"/>
      <c r="IW480" s="49"/>
      <c r="IX480" s="49"/>
      <c r="IZ480" s="49"/>
      <c r="JA480" s="49"/>
      <c r="JC480" s="49"/>
      <c r="JD480" s="49"/>
      <c r="JF480" s="49"/>
      <c r="JG480" s="49"/>
      <c r="JI480" s="49"/>
      <c r="JJ480" s="49"/>
      <c r="JL480" s="49"/>
      <c r="JM480" s="49"/>
      <c r="JO480" s="49"/>
      <c r="JP480" s="49"/>
      <c r="JR480" s="49"/>
    </row>
    <row r="481" spans="237:278">
      <c r="IC481" s="49"/>
      <c r="IE481" s="49"/>
      <c r="IF481" s="49"/>
      <c r="IH481" s="49"/>
      <c r="II481" s="49"/>
      <c r="IK481" s="49"/>
      <c r="IL481" s="49"/>
      <c r="IN481" s="49"/>
      <c r="IO481" s="49"/>
      <c r="IQ481" s="49"/>
      <c r="IR481" s="49"/>
      <c r="IT481" s="49"/>
      <c r="IU481" s="49"/>
      <c r="IW481" s="49"/>
      <c r="IX481" s="49"/>
      <c r="IZ481" s="49"/>
      <c r="JA481" s="49"/>
      <c r="JC481" s="49"/>
      <c r="JD481" s="49"/>
      <c r="JF481" s="49"/>
      <c r="JG481" s="49"/>
      <c r="JI481" s="49"/>
      <c r="JJ481" s="49"/>
      <c r="JL481" s="49"/>
      <c r="JM481" s="49"/>
      <c r="JO481" s="49"/>
      <c r="JP481" s="49"/>
      <c r="JR481" s="49"/>
    </row>
    <row r="482" spans="237:278">
      <c r="IC482" s="49"/>
      <c r="IE482" s="49"/>
      <c r="IF482" s="49"/>
      <c r="IH482" s="49"/>
      <c r="II482" s="49"/>
      <c r="IK482" s="49"/>
      <c r="IL482" s="49"/>
      <c r="IN482" s="49"/>
      <c r="IO482" s="49"/>
      <c r="IQ482" s="49"/>
      <c r="IR482" s="49"/>
      <c r="IT482" s="49"/>
      <c r="IU482" s="49"/>
      <c r="IW482" s="49"/>
      <c r="IX482" s="49"/>
      <c r="IZ482" s="49"/>
      <c r="JA482" s="49"/>
      <c r="JC482" s="49"/>
      <c r="JD482" s="49"/>
      <c r="JF482" s="49"/>
      <c r="JG482" s="49"/>
      <c r="JI482" s="49"/>
      <c r="JJ482" s="49"/>
      <c r="JL482" s="49"/>
      <c r="JM482" s="49"/>
      <c r="JO482" s="49"/>
      <c r="JP482" s="49"/>
      <c r="JR482" s="49"/>
    </row>
    <row r="483" spans="237:278">
      <c r="IC483" s="49"/>
      <c r="IE483" s="49"/>
      <c r="IF483" s="49"/>
      <c r="IH483" s="49"/>
      <c r="II483" s="49"/>
      <c r="IK483" s="49"/>
      <c r="IL483" s="49"/>
      <c r="IN483" s="49"/>
      <c r="IO483" s="49"/>
      <c r="IQ483" s="49"/>
      <c r="IR483" s="49"/>
      <c r="IT483" s="49"/>
      <c r="IU483" s="49"/>
      <c r="IW483" s="49"/>
      <c r="IX483" s="49"/>
      <c r="IZ483" s="49"/>
      <c r="JA483" s="49"/>
      <c r="JC483" s="49"/>
      <c r="JD483" s="49"/>
      <c r="JF483" s="49"/>
      <c r="JG483" s="49"/>
      <c r="JI483" s="49"/>
      <c r="JJ483" s="49"/>
      <c r="JL483" s="49"/>
      <c r="JM483" s="49"/>
      <c r="JO483" s="49"/>
      <c r="JP483" s="49"/>
      <c r="JR483" s="49"/>
    </row>
    <row r="484" spans="237:278">
      <c r="IC484" s="49"/>
      <c r="IE484" s="49"/>
      <c r="IF484" s="49"/>
      <c r="IH484" s="49"/>
      <c r="II484" s="49"/>
      <c r="IK484" s="49"/>
      <c r="IL484" s="49"/>
      <c r="IN484" s="49"/>
      <c r="IO484" s="49"/>
      <c r="IQ484" s="49"/>
      <c r="IR484" s="49"/>
      <c r="IT484" s="49"/>
      <c r="IU484" s="49"/>
      <c r="IW484" s="49"/>
      <c r="IX484" s="49"/>
      <c r="IZ484" s="49"/>
      <c r="JA484" s="49"/>
      <c r="JC484" s="49"/>
      <c r="JD484" s="49"/>
      <c r="JF484" s="49"/>
      <c r="JG484" s="49"/>
      <c r="JI484" s="49"/>
      <c r="JJ484" s="49"/>
      <c r="JL484" s="49"/>
      <c r="JM484" s="49"/>
      <c r="JO484" s="49"/>
      <c r="JP484" s="49"/>
      <c r="JR484" s="49"/>
    </row>
    <row r="485" spans="237:278">
      <c r="IC485" s="49"/>
      <c r="IE485" s="49"/>
      <c r="IF485" s="49"/>
      <c r="IH485" s="49"/>
      <c r="II485" s="49"/>
      <c r="IK485" s="49"/>
      <c r="IL485" s="49"/>
      <c r="IN485" s="49"/>
      <c r="IO485" s="49"/>
      <c r="IQ485" s="49"/>
      <c r="IR485" s="49"/>
      <c r="IT485" s="49"/>
      <c r="IU485" s="49"/>
      <c r="IW485" s="49"/>
      <c r="IX485" s="49"/>
      <c r="IZ485" s="49"/>
      <c r="JA485" s="49"/>
      <c r="JC485" s="49"/>
      <c r="JD485" s="49"/>
      <c r="JF485" s="49"/>
      <c r="JG485" s="49"/>
      <c r="JI485" s="49"/>
      <c r="JJ485" s="49"/>
      <c r="JL485" s="49"/>
      <c r="JM485" s="49"/>
      <c r="JO485" s="49"/>
      <c r="JP485" s="49"/>
      <c r="JR485" s="49"/>
    </row>
    <row r="486" spans="237:278">
      <c r="IC486" s="49"/>
      <c r="IE486" s="49"/>
      <c r="IF486" s="49"/>
      <c r="IH486" s="49"/>
      <c r="II486" s="49"/>
      <c r="IK486" s="49"/>
      <c r="IL486" s="49"/>
      <c r="IN486" s="49"/>
      <c r="IO486" s="49"/>
      <c r="IQ486" s="49"/>
      <c r="IR486" s="49"/>
      <c r="IT486" s="49"/>
      <c r="IU486" s="49"/>
      <c r="IW486" s="49"/>
      <c r="IX486" s="49"/>
      <c r="IZ486" s="49"/>
      <c r="JA486" s="49"/>
      <c r="JC486" s="49"/>
      <c r="JD486" s="49"/>
      <c r="JF486" s="49"/>
      <c r="JG486" s="49"/>
      <c r="JI486" s="49"/>
      <c r="JJ486" s="49"/>
      <c r="JL486" s="49"/>
      <c r="JM486" s="49"/>
      <c r="JO486" s="49"/>
      <c r="JP486" s="49"/>
      <c r="JR486" s="49"/>
    </row>
    <row r="487" spans="237:278">
      <c r="IC487" s="49"/>
      <c r="IE487" s="49"/>
      <c r="IF487" s="49"/>
      <c r="IH487" s="49"/>
      <c r="II487" s="49"/>
      <c r="IK487" s="49"/>
      <c r="IL487" s="49"/>
      <c r="IN487" s="49"/>
      <c r="IO487" s="49"/>
      <c r="IQ487" s="49"/>
      <c r="IR487" s="49"/>
      <c r="IT487" s="49"/>
      <c r="IU487" s="49"/>
      <c r="IW487" s="49"/>
      <c r="IX487" s="49"/>
      <c r="IZ487" s="49"/>
      <c r="JA487" s="49"/>
      <c r="JC487" s="49"/>
      <c r="JD487" s="49"/>
      <c r="JF487" s="49"/>
      <c r="JG487" s="49"/>
      <c r="JI487" s="49"/>
      <c r="JJ487" s="49"/>
      <c r="JL487" s="49"/>
      <c r="JM487" s="49"/>
      <c r="JO487" s="49"/>
      <c r="JP487" s="49"/>
      <c r="JR487" s="49"/>
    </row>
    <row r="488" spans="237:278">
      <c r="IC488" s="49"/>
      <c r="IE488" s="49"/>
      <c r="IF488" s="49"/>
      <c r="IH488" s="49"/>
      <c r="II488" s="49"/>
      <c r="IK488" s="49"/>
      <c r="IL488" s="49"/>
      <c r="IN488" s="49"/>
      <c r="IO488" s="49"/>
      <c r="IQ488" s="49"/>
      <c r="IR488" s="49"/>
      <c r="IT488" s="49"/>
      <c r="IU488" s="49"/>
      <c r="IW488" s="49"/>
      <c r="IX488" s="49"/>
      <c r="IZ488" s="49"/>
      <c r="JA488" s="49"/>
      <c r="JC488" s="49"/>
      <c r="JD488" s="49"/>
      <c r="JF488" s="49"/>
      <c r="JG488" s="49"/>
      <c r="JI488" s="49"/>
      <c r="JJ488" s="49"/>
      <c r="JL488" s="49"/>
      <c r="JM488" s="49"/>
      <c r="JO488" s="49"/>
      <c r="JP488" s="49"/>
      <c r="JR488" s="49"/>
    </row>
    <row r="489" spans="237:278">
      <c r="IC489" s="49"/>
      <c r="IE489" s="49"/>
      <c r="IF489" s="49"/>
      <c r="IH489" s="49"/>
      <c r="II489" s="49"/>
      <c r="IK489" s="49"/>
      <c r="IL489" s="49"/>
      <c r="IN489" s="49"/>
      <c r="IO489" s="49"/>
      <c r="IQ489" s="49"/>
      <c r="IR489" s="49"/>
      <c r="IT489" s="49"/>
      <c r="IU489" s="49"/>
      <c r="IW489" s="49"/>
      <c r="IX489" s="49"/>
      <c r="IZ489" s="49"/>
      <c r="JA489" s="49"/>
      <c r="JC489" s="49"/>
      <c r="JD489" s="49"/>
      <c r="JF489" s="49"/>
      <c r="JG489" s="49"/>
      <c r="JI489" s="49"/>
      <c r="JJ489" s="49"/>
      <c r="JL489" s="49"/>
      <c r="JM489" s="49"/>
      <c r="JO489" s="49"/>
      <c r="JP489" s="49"/>
      <c r="JR489" s="49"/>
    </row>
    <row r="490" spans="237:278">
      <c r="IC490" s="49"/>
      <c r="IE490" s="49"/>
      <c r="IF490" s="49"/>
      <c r="IH490" s="49"/>
      <c r="II490" s="49"/>
      <c r="IK490" s="49"/>
      <c r="IL490" s="49"/>
      <c r="IN490" s="49"/>
      <c r="IO490" s="49"/>
      <c r="IQ490" s="49"/>
      <c r="IR490" s="49"/>
      <c r="IT490" s="49"/>
      <c r="IU490" s="49"/>
      <c r="IW490" s="49"/>
      <c r="IX490" s="49"/>
      <c r="IZ490" s="49"/>
      <c r="JA490" s="49"/>
      <c r="JC490" s="49"/>
      <c r="JD490" s="49"/>
      <c r="JF490" s="49"/>
      <c r="JG490" s="49"/>
      <c r="JI490" s="49"/>
      <c r="JJ490" s="49"/>
      <c r="JL490" s="49"/>
      <c r="JM490" s="49"/>
      <c r="JO490" s="49"/>
      <c r="JP490" s="49"/>
      <c r="JR490" s="49"/>
    </row>
    <row r="491" spans="237:278">
      <c r="IC491" s="49"/>
      <c r="IE491" s="49"/>
      <c r="IF491" s="49"/>
      <c r="IH491" s="49"/>
      <c r="II491" s="49"/>
      <c r="IK491" s="49"/>
      <c r="IL491" s="49"/>
      <c r="IN491" s="49"/>
      <c r="IO491" s="49"/>
      <c r="IQ491" s="49"/>
      <c r="IR491" s="49"/>
      <c r="IT491" s="49"/>
      <c r="IU491" s="49"/>
      <c r="IW491" s="49"/>
      <c r="IX491" s="49"/>
      <c r="IZ491" s="49"/>
      <c r="JA491" s="49"/>
      <c r="JC491" s="49"/>
      <c r="JD491" s="49"/>
      <c r="JF491" s="49"/>
      <c r="JG491" s="49"/>
      <c r="JI491" s="49"/>
      <c r="JJ491" s="49"/>
      <c r="JL491" s="49"/>
      <c r="JM491" s="49"/>
      <c r="JO491" s="49"/>
      <c r="JP491" s="49"/>
      <c r="JR491" s="49"/>
    </row>
    <row r="492" spans="237:278">
      <c r="IC492" s="49"/>
      <c r="IE492" s="49"/>
      <c r="IF492" s="49"/>
      <c r="IH492" s="49"/>
      <c r="II492" s="49"/>
      <c r="IK492" s="49"/>
      <c r="IL492" s="49"/>
      <c r="IN492" s="49"/>
      <c r="IO492" s="49"/>
      <c r="IQ492" s="49"/>
      <c r="IR492" s="49"/>
      <c r="IT492" s="49"/>
      <c r="IU492" s="49"/>
      <c r="IW492" s="49"/>
      <c r="IX492" s="49"/>
      <c r="IZ492" s="49"/>
      <c r="JA492" s="49"/>
      <c r="JC492" s="49"/>
      <c r="JD492" s="49"/>
      <c r="JF492" s="49"/>
      <c r="JG492" s="49"/>
      <c r="JI492" s="49"/>
      <c r="JJ492" s="49"/>
      <c r="JL492" s="49"/>
      <c r="JM492" s="49"/>
      <c r="JO492" s="49"/>
      <c r="JP492" s="49"/>
      <c r="JR492" s="49"/>
    </row>
    <row r="493" spans="237:278">
      <c r="IC493" s="49"/>
      <c r="IE493" s="49"/>
      <c r="IF493" s="49"/>
      <c r="IH493" s="49"/>
      <c r="II493" s="49"/>
      <c r="IK493" s="49"/>
      <c r="IL493" s="49"/>
      <c r="IN493" s="49"/>
      <c r="IO493" s="49"/>
      <c r="IQ493" s="49"/>
      <c r="IR493" s="49"/>
      <c r="IT493" s="49"/>
      <c r="IU493" s="49"/>
      <c r="IW493" s="49"/>
      <c r="IX493" s="49"/>
      <c r="IZ493" s="49"/>
      <c r="JA493" s="49"/>
      <c r="JC493" s="49"/>
      <c r="JD493" s="49"/>
      <c r="JF493" s="49"/>
      <c r="JG493" s="49"/>
      <c r="JI493" s="49"/>
      <c r="JJ493" s="49"/>
      <c r="JL493" s="49"/>
      <c r="JM493" s="49"/>
      <c r="JO493" s="49"/>
      <c r="JP493" s="49"/>
      <c r="JR493" s="49"/>
    </row>
    <row r="494" spans="237:278">
      <c r="IC494" s="49"/>
      <c r="IE494" s="49"/>
      <c r="IF494" s="49"/>
      <c r="IH494" s="49"/>
      <c r="II494" s="49"/>
      <c r="IK494" s="49"/>
      <c r="IL494" s="49"/>
      <c r="IN494" s="49"/>
      <c r="IO494" s="49"/>
      <c r="IQ494" s="49"/>
      <c r="IR494" s="49"/>
      <c r="IT494" s="49"/>
      <c r="IU494" s="49"/>
      <c r="IW494" s="49"/>
      <c r="IX494" s="49"/>
      <c r="IZ494" s="49"/>
      <c r="JA494" s="49"/>
      <c r="JC494" s="49"/>
      <c r="JD494" s="49"/>
      <c r="JF494" s="49"/>
      <c r="JG494" s="49"/>
      <c r="JI494" s="49"/>
      <c r="JJ494" s="49"/>
      <c r="JL494" s="49"/>
      <c r="JM494" s="49"/>
      <c r="JO494" s="49"/>
      <c r="JP494" s="49"/>
      <c r="JR494" s="49"/>
    </row>
    <row r="495" spans="237:278">
      <c r="IC495" s="49"/>
      <c r="IE495" s="49"/>
      <c r="IF495" s="49"/>
      <c r="IH495" s="49"/>
      <c r="II495" s="49"/>
      <c r="IK495" s="49"/>
      <c r="IL495" s="49"/>
      <c r="IN495" s="49"/>
      <c r="IO495" s="49"/>
      <c r="IQ495" s="49"/>
      <c r="IR495" s="49"/>
      <c r="IT495" s="49"/>
      <c r="IU495" s="49"/>
      <c r="IW495" s="49"/>
      <c r="IX495" s="49"/>
      <c r="IZ495" s="49"/>
      <c r="JA495" s="49"/>
      <c r="JC495" s="49"/>
      <c r="JD495" s="49"/>
      <c r="JF495" s="49"/>
      <c r="JG495" s="49"/>
      <c r="JI495" s="49"/>
      <c r="JJ495" s="49"/>
      <c r="JL495" s="49"/>
      <c r="JM495" s="49"/>
      <c r="JO495" s="49"/>
      <c r="JP495" s="49"/>
      <c r="JR495" s="49"/>
    </row>
    <row r="496" spans="237:278">
      <c r="IC496" s="49"/>
      <c r="IE496" s="49"/>
      <c r="IF496" s="49"/>
      <c r="IH496" s="49"/>
      <c r="II496" s="49"/>
      <c r="IK496" s="49"/>
      <c r="IL496" s="49"/>
      <c r="IN496" s="49"/>
      <c r="IO496" s="49"/>
      <c r="IQ496" s="49"/>
      <c r="IR496" s="49"/>
      <c r="IT496" s="49"/>
      <c r="IU496" s="49"/>
      <c r="IW496" s="49"/>
      <c r="IX496" s="49"/>
      <c r="IZ496" s="49"/>
      <c r="JA496" s="49"/>
      <c r="JC496" s="49"/>
      <c r="JD496" s="49"/>
      <c r="JF496" s="49"/>
      <c r="JG496" s="49"/>
      <c r="JI496" s="49"/>
      <c r="JJ496" s="49"/>
      <c r="JL496" s="49"/>
      <c r="JM496" s="49"/>
      <c r="JO496" s="49"/>
      <c r="JP496" s="49"/>
      <c r="JR496" s="49"/>
    </row>
    <row r="497" spans="237:278">
      <c r="IC497" s="49"/>
      <c r="IE497" s="49"/>
      <c r="IF497" s="49"/>
      <c r="IH497" s="49"/>
      <c r="II497" s="49"/>
      <c r="IK497" s="49"/>
      <c r="IL497" s="49"/>
      <c r="IN497" s="49"/>
      <c r="IO497" s="49"/>
      <c r="IQ497" s="49"/>
      <c r="IR497" s="49"/>
      <c r="IT497" s="49"/>
      <c r="IU497" s="49"/>
      <c r="IW497" s="49"/>
      <c r="IX497" s="49"/>
      <c r="IZ497" s="49"/>
      <c r="JA497" s="49"/>
      <c r="JC497" s="49"/>
      <c r="JD497" s="49"/>
      <c r="JF497" s="49"/>
      <c r="JG497" s="49"/>
      <c r="JI497" s="49"/>
      <c r="JJ497" s="49"/>
      <c r="JL497" s="49"/>
      <c r="JM497" s="49"/>
      <c r="JO497" s="49"/>
      <c r="JP497" s="49"/>
      <c r="JR497" s="49"/>
    </row>
    <row r="498" spans="237:278">
      <c r="IC498" s="49"/>
      <c r="IE498" s="49"/>
      <c r="IF498" s="49"/>
      <c r="IH498" s="49"/>
      <c r="II498" s="49"/>
      <c r="IK498" s="49"/>
      <c r="IL498" s="49"/>
      <c r="IN498" s="49"/>
      <c r="IO498" s="49"/>
      <c r="IQ498" s="49"/>
      <c r="IR498" s="49"/>
      <c r="IT498" s="49"/>
      <c r="IU498" s="49"/>
      <c r="IW498" s="49"/>
      <c r="IX498" s="49"/>
      <c r="IZ498" s="49"/>
      <c r="JA498" s="49"/>
      <c r="JC498" s="49"/>
      <c r="JD498" s="49"/>
      <c r="JF498" s="49"/>
      <c r="JG498" s="49"/>
      <c r="JI498" s="49"/>
      <c r="JJ498" s="49"/>
      <c r="JL498" s="49"/>
      <c r="JM498" s="49"/>
      <c r="JO498" s="49"/>
      <c r="JP498" s="49"/>
      <c r="JR498" s="49"/>
    </row>
    <row r="499" spans="237:278">
      <c r="IC499" s="49"/>
      <c r="IE499" s="49"/>
      <c r="IF499" s="49"/>
      <c r="IH499" s="49"/>
      <c r="II499" s="49"/>
      <c r="IK499" s="49"/>
      <c r="IL499" s="49"/>
      <c r="IN499" s="49"/>
      <c r="IO499" s="49"/>
      <c r="IQ499" s="49"/>
      <c r="IR499" s="49"/>
      <c r="IT499" s="49"/>
      <c r="IU499" s="49"/>
      <c r="IW499" s="49"/>
      <c r="IX499" s="49"/>
      <c r="IZ499" s="49"/>
      <c r="JA499" s="49"/>
      <c r="JC499" s="49"/>
      <c r="JD499" s="49"/>
      <c r="JF499" s="49"/>
      <c r="JG499" s="49"/>
      <c r="JI499" s="49"/>
      <c r="JJ499" s="49"/>
      <c r="JL499" s="49"/>
      <c r="JM499" s="49"/>
      <c r="JO499" s="49"/>
      <c r="JP499" s="49"/>
      <c r="JR499" s="49"/>
    </row>
    <row r="500" spans="237:278">
      <c r="IC500" s="49"/>
      <c r="IE500" s="49"/>
      <c r="IF500" s="49"/>
      <c r="IH500" s="49"/>
      <c r="II500" s="49"/>
      <c r="IK500" s="49"/>
      <c r="IL500" s="49"/>
      <c r="IN500" s="49"/>
      <c r="IO500" s="49"/>
      <c r="IQ500" s="49"/>
      <c r="IR500" s="49"/>
      <c r="IT500" s="49"/>
      <c r="IU500" s="49"/>
      <c r="IW500" s="49"/>
      <c r="IX500" s="49"/>
      <c r="IZ500" s="49"/>
      <c r="JA500" s="49"/>
      <c r="JC500" s="49"/>
      <c r="JD500" s="49"/>
      <c r="JF500" s="49"/>
      <c r="JG500" s="49"/>
      <c r="JI500" s="49"/>
      <c r="JJ500" s="49"/>
      <c r="JL500" s="49"/>
      <c r="JM500" s="49"/>
      <c r="JO500" s="49"/>
      <c r="JP500" s="49"/>
      <c r="JR500" s="49"/>
    </row>
    <row r="501" spans="237:278">
      <c r="IC501" s="49"/>
      <c r="IE501" s="49"/>
      <c r="IF501" s="49"/>
      <c r="IH501" s="49"/>
      <c r="II501" s="49"/>
      <c r="IK501" s="49"/>
      <c r="IL501" s="49"/>
      <c r="IN501" s="49"/>
      <c r="IO501" s="49"/>
      <c r="IQ501" s="49"/>
      <c r="IR501" s="49"/>
      <c r="IT501" s="49"/>
      <c r="IU501" s="49"/>
      <c r="IW501" s="49"/>
      <c r="IX501" s="49"/>
      <c r="IZ501" s="49"/>
      <c r="JA501" s="49"/>
      <c r="JC501" s="49"/>
      <c r="JD501" s="49"/>
      <c r="JF501" s="49"/>
      <c r="JG501" s="49"/>
      <c r="JI501" s="49"/>
      <c r="JJ501" s="49"/>
      <c r="JL501" s="49"/>
      <c r="JM501" s="49"/>
      <c r="JO501" s="49"/>
      <c r="JP501" s="49"/>
      <c r="JR501" s="49"/>
    </row>
    <row r="502" spans="237:278">
      <c r="IC502" s="49"/>
      <c r="IE502" s="49"/>
      <c r="IF502" s="49"/>
      <c r="IH502" s="49"/>
      <c r="II502" s="49"/>
      <c r="IK502" s="49"/>
      <c r="IL502" s="49"/>
      <c r="IN502" s="49"/>
      <c r="IO502" s="49"/>
      <c r="IQ502" s="49"/>
      <c r="IR502" s="49"/>
      <c r="IT502" s="49"/>
      <c r="IU502" s="49"/>
      <c r="IW502" s="49"/>
      <c r="IX502" s="49"/>
      <c r="IZ502" s="49"/>
      <c r="JA502" s="49"/>
      <c r="JC502" s="49"/>
      <c r="JD502" s="49"/>
      <c r="JF502" s="49"/>
      <c r="JG502" s="49"/>
      <c r="JI502" s="49"/>
      <c r="JJ502" s="49"/>
      <c r="JL502" s="49"/>
      <c r="JM502" s="49"/>
      <c r="JO502" s="49"/>
      <c r="JP502" s="49"/>
      <c r="JR502" s="49"/>
    </row>
    <row r="503" spans="237:278">
      <c r="IC503" s="49"/>
      <c r="IE503" s="49"/>
      <c r="IF503" s="49"/>
      <c r="IH503" s="49"/>
      <c r="II503" s="49"/>
      <c r="IK503" s="49"/>
      <c r="IL503" s="49"/>
      <c r="IN503" s="49"/>
      <c r="IO503" s="49"/>
      <c r="IQ503" s="49"/>
      <c r="IR503" s="49"/>
      <c r="IT503" s="49"/>
      <c r="IU503" s="49"/>
      <c r="IW503" s="49"/>
      <c r="IX503" s="49"/>
      <c r="IZ503" s="49"/>
      <c r="JA503" s="49"/>
      <c r="JC503" s="49"/>
      <c r="JD503" s="49"/>
      <c r="JF503" s="49"/>
      <c r="JG503" s="49"/>
      <c r="JI503" s="49"/>
      <c r="JJ503" s="49"/>
      <c r="JL503" s="49"/>
      <c r="JM503" s="49"/>
      <c r="JO503" s="49"/>
      <c r="JP503" s="49"/>
      <c r="JR503" s="49"/>
    </row>
    <row r="504" spans="237:278">
      <c r="IC504" s="49"/>
      <c r="IE504" s="49"/>
      <c r="IF504" s="49"/>
      <c r="IH504" s="49"/>
      <c r="II504" s="49"/>
      <c r="IK504" s="49"/>
      <c r="IL504" s="49"/>
      <c r="IN504" s="49"/>
      <c r="IO504" s="49"/>
      <c r="IQ504" s="49"/>
      <c r="IR504" s="49"/>
      <c r="IT504" s="49"/>
      <c r="IU504" s="49"/>
      <c r="IW504" s="49"/>
      <c r="IX504" s="49"/>
      <c r="IZ504" s="49"/>
      <c r="JA504" s="49"/>
      <c r="JC504" s="49"/>
      <c r="JD504" s="49"/>
      <c r="JF504" s="49"/>
      <c r="JG504" s="49"/>
      <c r="JI504" s="49"/>
      <c r="JJ504" s="49"/>
      <c r="JL504" s="49"/>
      <c r="JM504" s="49"/>
      <c r="JO504" s="49"/>
      <c r="JP504" s="49"/>
      <c r="JR504" s="49"/>
    </row>
    <row r="505" spans="237:278">
      <c r="IC505" s="49"/>
      <c r="IE505" s="49"/>
      <c r="IF505" s="49"/>
      <c r="IH505" s="49"/>
      <c r="II505" s="49"/>
      <c r="IK505" s="49"/>
      <c r="IL505" s="49"/>
      <c r="IN505" s="49"/>
      <c r="IO505" s="49"/>
      <c r="IQ505" s="49"/>
      <c r="IR505" s="49"/>
      <c r="IT505" s="49"/>
      <c r="IU505" s="49"/>
      <c r="IW505" s="49"/>
      <c r="IX505" s="49"/>
      <c r="IZ505" s="49"/>
      <c r="JA505" s="49"/>
      <c r="JC505" s="49"/>
      <c r="JD505" s="49"/>
      <c r="JF505" s="49"/>
      <c r="JG505" s="49"/>
      <c r="JI505" s="49"/>
      <c r="JJ505" s="49"/>
      <c r="JL505" s="49"/>
      <c r="JM505" s="49"/>
      <c r="JO505" s="49"/>
      <c r="JP505" s="49"/>
      <c r="JR505" s="49"/>
    </row>
    <row r="506" spans="237:278">
      <c r="IC506" s="49"/>
      <c r="IE506" s="49"/>
      <c r="IF506" s="49"/>
      <c r="IH506" s="49"/>
      <c r="II506" s="49"/>
      <c r="IK506" s="49"/>
      <c r="IL506" s="49"/>
      <c r="IN506" s="49"/>
      <c r="IO506" s="49"/>
      <c r="IQ506" s="49"/>
      <c r="IR506" s="49"/>
      <c r="IT506" s="49"/>
      <c r="IU506" s="49"/>
      <c r="IW506" s="49"/>
      <c r="IX506" s="49"/>
      <c r="IZ506" s="49"/>
      <c r="JA506" s="49"/>
      <c r="JC506" s="49"/>
      <c r="JD506" s="49"/>
      <c r="JF506" s="49"/>
      <c r="JG506" s="49"/>
      <c r="JI506" s="49"/>
      <c r="JJ506" s="49"/>
      <c r="JL506" s="49"/>
      <c r="JM506" s="49"/>
      <c r="JO506" s="49"/>
      <c r="JP506" s="49"/>
      <c r="JR506" s="49"/>
    </row>
    <row r="507" spans="237:278">
      <c r="IC507" s="49"/>
      <c r="IE507" s="49"/>
      <c r="IF507" s="49"/>
      <c r="IH507" s="49"/>
      <c r="II507" s="49"/>
      <c r="IK507" s="49"/>
      <c r="IL507" s="49"/>
      <c r="IN507" s="49"/>
      <c r="IO507" s="49"/>
      <c r="IQ507" s="49"/>
      <c r="IR507" s="49"/>
      <c r="IT507" s="49"/>
      <c r="IU507" s="49"/>
      <c r="IW507" s="49"/>
      <c r="IX507" s="49"/>
      <c r="IZ507" s="49"/>
      <c r="JA507" s="49"/>
      <c r="JC507" s="49"/>
      <c r="JD507" s="49"/>
      <c r="JF507" s="49"/>
      <c r="JG507" s="49"/>
      <c r="JI507" s="49"/>
      <c r="JJ507" s="49"/>
      <c r="JL507" s="49"/>
      <c r="JM507" s="49"/>
      <c r="JO507" s="49"/>
      <c r="JP507" s="49"/>
      <c r="JR507" s="49"/>
    </row>
    <row r="508" spans="237:278">
      <c r="IC508" s="49"/>
      <c r="IE508" s="49"/>
      <c r="IF508" s="49"/>
      <c r="IH508" s="49"/>
      <c r="II508" s="49"/>
      <c r="IK508" s="49"/>
      <c r="IL508" s="49"/>
      <c r="IN508" s="49"/>
      <c r="IO508" s="49"/>
      <c r="IQ508" s="49"/>
      <c r="IR508" s="49"/>
      <c r="IT508" s="49"/>
      <c r="IU508" s="49"/>
      <c r="IW508" s="49"/>
      <c r="IX508" s="49"/>
      <c r="IZ508" s="49"/>
      <c r="JA508" s="49"/>
      <c r="JC508" s="49"/>
      <c r="JD508" s="49"/>
      <c r="JF508" s="49"/>
      <c r="JG508" s="49"/>
      <c r="JI508" s="49"/>
      <c r="JJ508" s="49"/>
      <c r="JL508" s="49"/>
      <c r="JM508" s="49"/>
      <c r="JO508" s="49"/>
      <c r="JP508" s="49"/>
      <c r="JR508" s="49"/>
    </row>
    <row r="509" spans="237:278">
      <c r="IC509" s="49"/>
      <c r="IE509" s="49"/>
      <c r="IF509" s="49"/>
      <c r="IH509" s="49"/>
      <c r="II509" s="49"/>
      <c r="IK509" s="49"/>
      <c r="IL509" s="49"/>
      <c r="IN509" s="49"/>
      <c r="IO509" s="49"/>
      <c r="IQ509" s="49"/>
      <c r="IR509" s="49"/>
      <c r="IT509" s="49"/>
      <c r="IU509" s="49"/>
      <c r="IW509" s="49"/>
      <c r="IX509" s="49"/>
      <c r="IZ509" s="49"/>
      <c r="JA509" s="49"/>
      <c r="JC509" s="49"/>
      <c r="JD509" s="49"/>
      <c r="JF509" s="49"/>
      <c r="JG509" s="49"/>
      <c r="JI509" s="49"/>
      <c r="JJ509" s="49"/>
      <c r="JL509" s="49"/>
      <c r="JM509" s="49"/>
      <c r="JO509" s="49"/>
      <c r="JP509" s="49"/>
      <c r="JR509" s="49"/>
    </row>
    <row r="510" spans="237:278">
      <c r="IC510" s="49"/>
      <c r="IE510" s="49"/>
      <c r="IF510" s="49"/>
      <c r="IH510" s="49"/>
      <c r="II510" s="49"/>
      <c r="IK510" s="49"/>
      <c r="IL510" s="49"/>
      <c r="IN510" s="49"/>
      <c r="IO510" s="49"/>
      <c r="IQ510" s="49"/>
      <c r="IR510" s="49"/>
      <c r="IT510" s="49"/>
      <c r="IU510" s="49"/>
      <c r="IW510" s="49"/>
      <c r="IX510" s="49"/>
      <c r="IZ510" s="49"/>
      <c r="JA510" s="49"/>
      <c r="JC510" s="49"/>
      <c r="JD510" s="49"/>
      <c r="JF510" s="49"/>
      <c r="JG510" s="49"/>
      <c r="JI510" s="49"/>
      <c r="JJ510" s="49"/>
      <c r="JL510" s="49"/>
      <c r="JM510" s="49"/>
      <c r="JO510" s="49"/>
      <c r="JP510" s="49"/>
      <c r="JR510" s="49"/>
    </row>
    <row r="511" spans="237:278">
      <c r="IC511" s="49"/>
      <c r="IE511" s="49"/>
      <c r="IF511" s="49"/>
      <c r="IH511" s="49"/>
      <c r="II511" s="49"/>
      <c r="IK511" s="49"/>
      <c r="IL511" s="49"/>
      <c r="IN511" s="49"/>
      <c r="IO511" s="49"/>
      <c r="IQ511" s="49"/>
      <c r="IR511" s="49"/>
      <c r="IT511" s="49"/>
      <c r="IU511" s="49"/>
      <c r="IW511" s="49"/>
      <c r="IX511" s="49"/>
      <c r="IZ511" s="49"/>
      <c r="JA511" s="49"/>
      <c r="JC511" s="49"/>
      <c r="JD511" s="49"/>
      <c r="JF511" s="49"/>
      <c r="JG511" s="49"/>
      <c r="JI511" s="49"/>
      <c r="JJ511" s="49"/>
      <c r="JL511" s="49"/>
      <c r="JM511" s="49"/>
      <c r="JO511" s="49"/>
      <c r="JP511" s="49"/>
      <c r="JR511" s="49"/>
    </row>
    <row r="512" spans="237:278">
      <c r="IC512" s="49"/>
      <c r="IE512" s="49"/>
      <c r="IF512" s="49"/>
      <c r="IH512" s="49"/>
      <c r="II512" s="49"/>
      <c r="IK512" s="49"/>
      <c r="IL512" s="49"/>
      <c r="IN512" s="49"/>
      <c r="IO512" s="49"/>
      <c r="IQ512" s="49"/>
      <c r="IR512" s="49"/>
      <c r="IT512" s="49"/>
      <c r="IU512" s="49"/>
      <c r="IW512" s="49"/>
      <c r="IX512" s="49"/>
      <c r="IZ512" s="49"/>
      <c r="JA512" s="49"/>
      <c r="JC512" s="49"/>
      <c r="JD512" s="49"/>
      <c r="JF512" s="49"/>
      <c r="JG512" s="49"/>
      <c r="JI512" s="49"/>
      <c r="JJ512" s="49"/>
      <c r="JL512" s="49"/>
      <c r="JM512" s="49"/>
      <c r="JO512" s="49"/>
      <c r="JP512" s="49"/>
      <c r="JR512" s="49"/>
    </row>
    <row r="513" spans="237:278">
      <c r="IC513" s="49"/>
      <c r="IE513" s="49"/>
      <c r="IF513" s="49"/>
      <c r="IH513" s="49"/>
      <c r="II513" s="49"/>
      <c r="IK513" s="49"/>
      <c r="IL513" s="49"/>
      <c r="IN513" s="49"/>
      <c r="IO513" s="49"/>
      <c r="IQ513" s="49"/>
      <c r="IR513" s="49"/>
      <c r="IT513" s="49"/>
      <c r="IU513" s="49"/>
      <c r="IW513" s="49"/>
      <c r="IX513" s="49"/>
      <c r="IZ513" s="49"/>
      <c r="JA513" s="49"/>
      <c r="JC513" s="49"/>
      <c r="JD513" s="49"/>
      <c r="JF513" s="49"/>
      <c r="JG513" s="49"/>
      <c r="JI513" s="49"/>
      <c r="JJ513" s="49"/>
      <c r="JL513" s="49"/>
      <c r="JM513" s="49"/>
      <c r="JO513" s="49"/>
      <c r="JP513" s="49"/>
      <c r="JR513" s="49"/>
    </row>
    <row r="514" spans="237:278">
      <c r="IC514" s="49"/>
      <c r="IE514" s="49"/>
      <c r="IF514" s="49"/>
      <c r="IH514" s="49"/>
      <c r="II514" s="49"/>
      <c r="IK514" s="49"/>
      <c r="IL514" s="49"/>
      <c r="IN514" s="49"/>
      <c r="IO514" s="49"/>
      <c r="IQ514" s="49"/>
      <c r="IR514" s="49"/>
      <c r="IT514" s="49"/>
      <c r="IU514" s="49"/>
      <c r="IW514" s="49"/>
      <c r="IX514" s="49"/>
      <c r="IZ514" s="49"/>
      <c r="JA514" s="49"/>
      <c r="JC514" s="49"/>
      <c r="JD514" s="49"/>
      <c r="JF514" s="49"/>
      <c r="JG514" s="49"/>
      <c r="JI514" s="49"/>
      <c r="JJ514" s="49"/>
      <c r="JL514" s="49"/>
      <c r="JM514" s="49"/>
      <c r="JO514" s="49"/>
      <c r="JP514" s="49"/>
      <c r="JR514" s="49"/>
    </row>
    <row r="515" spans="237:278">
      <c r="IC515" s="49"/>
      <c r="IE515" s="49"/>
      <c r="IF515" s="49"/>
      <c r="IH515" s="49"/>
      <c r="II515" s="49"/>
      <c r="IK515" s="49"/>
      <c r="IL515" s="49"/>
      <c r="IN515" s="49"/>
      <c r="IO515" s="49"/>
      <c r="IQ515" s="49"/>
      <c r="IR515" s="49"/>
      <c r="IT515" s="49"/>
      <c r="IU515" s="49"/>
      <c r="IW515" s="49"/>
      <c r="IX515" s="49"/>
      <c r="IZ515" s="49"/>
      <c r="JA515" s="49"/>
      <c r="JC515" s="49"/>
      <c r="JD515" s="49"/>
      <c r="JF515" s="49"/>
      <c r="JG515" s="49"/>
      <c r="JI515" s="49"/>
      <c r="JJ515" s="49"/>
      <c r="JL515" s="49"/>
      <c r="JM515" s="49"/>
      <c r="JO515" s="49"/>
      <c r="JP515" s="49"/>
      <c r="JR515" s="49"/>
    </row>
    <row r="516" spans="237:278">
      <c r="IC516" s="49"/>
      <c r="IE516" s="49"/>
      <c r="IF516" s="49"/>
      <c r="IH516" s="49"/>
      <c r="II516" s="49"/>
      <c r="IK516" s="49"/>
      <c r="IL516" s="49"/>
      <c r="IN516" s="49"/>
      <c r="IO516" s="49"/>
      <c r="IQ516" s="49"/>
      <c r="IR516" s="49"/>
      <c r="IT516" s="49"/>
      <c r="IU516" s="49"/>
      <c r="IW516" s="49"/>
      <c r="IX516" s="49"/>
      <c r="IZ516" s="49"/>
      <c r="JA516" s="49"/>
      <c r="JC516" s="49"/>
      <c r="JD516" s="49"/>
      <c r="JF516" s="49"/>
      <c r="JG516" s="49"/>
      <c r="JI516" s="49"/>
      <c r="JJ516" s="49"/>
      <c r="JL516" s="49"/>
      <c r="JM516" s="49"/>
      <c r="JO516" s="49"/>
      <c r="JP516" s="49"/>
      <c r="JR516" s="49"/>
    </row>
    <row r="517" spans="237:278">
      <c r="IC517" s="49"/>
      <c r="IE517" s="49"/>
      <c r="IF517" s="49"/>
      <c r="IH517" s="49"/>
      <c r="II517" s="49"/>
      <c r="IK517" s="49"/>
      <c r="IL517" s="49"/>
      <c r="IN517" s="49"/>
      <c r="IO517" s="49"/>
      <c r="IQ517" s="49"/>
      <c r="IR517" s="49"/>
      <c r="IT517" s="49"/>
      <c r="IU517" s="49"/>
      <c r="IW517" s="49"/>
      <c r="IX517" s="49"/>
      <c r="IZ517" s="49"/>
      <c r="JA517" s="49"/>
      <c r="JC517" s="49"/>
      <c r="JD517" s="49"/>
      <c r="JF517" s="49"/>
      <c r="JG517" s="49"/>
      <c r="JI517" s="49"/>
      <c r="JJ517" s="49"/>
      <c r="JL517" s="49"/>
      <c r="JM517" s="49"/>
      <c r="JO517" s="49"/>
      <c r="JP517" s="49"/>
      <c r="JR517" s="49"/>
    </row>
    <row r="518" spans="237:278">
      <c r="IC518" s="49"/>
      <c r="IE518" s="49"/>
      <c r="IF518" s="49"/>
      <c r="IH518" s="49"/>
      <c r="II518" s="49"/>
      <c r="IK518" s="49"/>
      <c r="IL518" s="49"/>
      <c r="IN518" s="49"/>
      <c r="IO518" s="49"/>
      <c r="IQ518" s="49"/>
      <c r="IR518" s="49"/>
      <c r="IT518" s="49"/>
      <c r="IU518" s="49"/>
      <c r="IW518" s="49"/>
      <c r="IX518" s="49"/>
      <c r="IZ518" s="49"/>
      <c r="JA518" s="49"/>
      <c r="JC518" s="49"/>
      <c r="JD518" s="49"/>
      <c r="JF518" s="49"/>
      <c r="JG518" s="49"/>
      <c r="JI518" s="49"/>
      <c r="JJ518" s="49"/>
      <c r="JL518" s="49"/>
      <c r="JM518" s="49"/>
      <c r="JO518" s="49"/>
      <c r="JP518" s="49"/>
      <c r="JR518" s="49"/>
    </row>
    <row r="519" spans="237:278">
      <c r="IC519" s="49"/>
      <c r="IE519" s="49"/>
      <c r="IF519" s="49"/>
      <c r="IH519" s="49"/>
      <c r="II519" s="49"/>
      <c r="IK519" s="49"/>
      <c r="IL519" s="49"/>
      <c r="IN519" s="49"/>
      <c r="IO519" s="49"/>
      <c r="IQ519" s="49"/>
      <c r="IR519" s="49"/>
      <c r="IT519" s="49"/>
      <c r="IU519" s="49"/>
      <c r="IW519" s="49"/>
      <c r="IX519" s="49"/>
      <c r="IZ519" s="49"/>
      <c r="JA519" s="49"/>
      <c r="JC519" s="49"/>
      <c r="JD519" s="49"/>
      <c r="JF519" s="49"/>
      <c r="JG519" s="49"/>
      <c r="JI519" s="49"/>
      <c r="JJ519" s="49"/>
      <c r="JL519" s="49"/>
      <c r="JM519" s="49"/>
      <c r="JO519" s="49"/>
      <c r="JP519" s="49"/>
      <c r="JR519" s="49"/>
    </row>
    <row r="520" spans="237:278">
      <c r="IC520" s="49"/>
      <c r="IE520" s="49"/>
      <c r="IF520" s="49"/>
      <c r="IH520" s="49"/>
      <c r="II520" s="49"/>
      <c r="IK520" s="49"/>
      <c r="IL520" s="49"/>
      <c r="IN520" s="49"/>
      <c r="IO520" s="49"/>
      <c r="IQ520" s="49"/>
      <c r="IR520" s="49"/>
      <c r="IT520" s="49"/>
      <c r="IU520" s="49"/>
      <c r="IW520" s="49"/>
      <c r="IX520" s="49"/>
      <c r="IZ520" s="49"/>
      <c r="JA520" s="49"/>
      <c r="JC520" s="49"/>
      <c r="JD520" s="49"/>
      <c r="JF520" s="49"/>
      <c r="JG520" s="49"/>
      <c r="JI520" s="49"/>
      <c r="JJ520" s="49"/>
      <c r="JL520" s="49"/>
      <c r="JM520" s="49"/>
      <c r="JO520" s="49"/>
      <c r="JP520" s="49"/>
      <c r="JR520" s="49"/>
    </row>
    <row r="521" spans="237:278">
      <c r="IC521" s="49"/>
      <c r="IE521" s="49"/>
      <c r="IF521" s="49"/>
      <c r="IH521" s="49"/>
      <c r="II521" s="49"/>
      <c r="IK521" s="49"/>
      <c r="IL521" s="49"/>
      <c r="IN521" s="49"/>
      <c r="IO521" s="49"/>
      <c r="IQ521" s="49"/>
      <c r="IR521" s="49"/>
      <c r="IT521" s="49"/>
      <c r="IU521" s="49"/>
      <c r="IW521" s="49"/>
      <c r="IX521" s="49"/>
      <c r="IZ521" s="49"/>
      <c r="JA521" s="49"/>
      <c r="JC521" s="49"/>
      <c r="JD521" s="49"/>
      <c r="JF521" s="49"/>
      <c r="JG521" s="49"/>
      <c r="JI521" s="49"/>
      <c r="JJ521" s="49"/>
      <c r="JL521" s="49"/>
      <c r="JM521" s="49"/>
      <c r="JO521" s="49"/>
      <c r="JP521" s="49"/>
      <c r="JR521" s="49"/>
    </row>
    <row r="522" spans="237:278">
      <c r="IC522" s="49"/>
      <c r="IE522" s="49"/>
      <c r="IF522" s="49"/>
      <c r="IH522" s="49"/>
      <c r="II522" s="49"/>
      <c r="IK522" s="49"/>
      <c r="IL522" s="49"/>
      <c r="IN522" s="49"/>
      <c r="IO522" s="49"/>
      <c r="IQ522" s="49"/>
      <c r="IR522" s="49"/>
      <c r="IT522" s="49"/>
      <c r="IU522" s="49"/>
      <c r="IW522" s="49"/>
      <c r="IX522" s="49"/>
      <c r="IZ522" s="49"/>
      <c r="JA522" s="49"/>
      <c r="JC522" s="49"/>
      <c r="JD522" s="49"/>
      <c r="JF522" s="49"/>
      <c r="JG522" s="49"/>
      <c r="JI522" s="49"/>
      <c r="JJ522" s="49"/>
      <c r="JL522" s="49"/>
      <c r="JM522" s="49"/>
      <c r="JO522" s="49"/>
      <c r="JP522" s="49"/>
      <c r="JR522" s="49"/>
    </row>
    <row r="523" spans="237:278">
      <c r="IC523" s="49"/>
      <c r="IE523" s="49"/>
      <c r="IF523" s="49"/>
      <c r="IH523" s="49"/>
      <c r="II523" s="49"/>
      <c r="IK523" s="49"/>
      <c r="IL523" s="49"/>
      <c r="IN523" s="49"/>
      <c r="IO523" s="49"/>
      <c r="IQ523" s="49"/>
      <c r="IR523" s="49"/>
      <c r="IT523" s="49"/>
      <c r="IU523" s="49"/>
      <c r="IW523" s="49"/>
      <c r="IX523" s="49"/>
      <c r="IZ523" s="49"/>
      <c r="JA523" s="49"/>
      <c r="JC523" s="49"/>
      <c r="JD523" s="49"/>
      <c r="JF523" s="49"/>
      <c r="JG523" s="49"/>
      <c r="JI523" s="49"/>
      <c r="JJ523" s="49"/>
      <c r="JL523" s="49"/>
      <c r="JM523" s="49"/>
      <c r="JO523" s="49"/>
      <c r="JP523" s="49"/>
      <c r="JR523" s="49"/>
    </row>
    <row r="524" spans="237:278">
      <c r="IC524" s="49"/>
      <c r="IE524" s="49"/>
      <c r="IF524" s="49"/>
      <c r="IH524" s="49"/>
      <c r="II524" s="49"/>
      <c r="IK524" s="49"/>
      <c r="IL524" s="49"/>
      <c r="IN524" s="49"/>
      <c r="IO524" s="49"/>
      <c r="IQ524" s="49"/>
      <c r="IR524" s="49"/>
      <c r="IT524" s="49"/>
      <c r="IU524" s="49"/>
      <c r="IW524" s="49"/>
      <c r="IX524" s="49"/>
      <c r="IZ524" s="49"/>
      <c r="JA524" s="49"/>
      <c r="JC524" s="49"/>
      <c r="JD524" s="49"/>
      <c r="JF524" s="49"/>
      <c r="JG524" s="49"/>
      <c r="JI524" s="49"/>
      <c r="JJ524" s="49"/>
      <c r="JL524" s="49"/>
      <c r="JM524" s="49"/>
      <c r="JO524" s="49"/>
      <c r="JP524" s="49"/>
      <c r="JR524" s="49"/>
    </row>
    <row r="525" spans="237:278">
      <c r="IC525" s="49"/>
      <c r="IE525" s="49"/>
      <c r="IF525" s="49"/>
      <c r="IH525" s="49"/>
      <c r="II525" s="49"/>
      <c r="IK525" s="49"/>
      <c r="IL525" s="49"/>
      <c r="IN525" s="49"/>
      <c r="IO525" s="49"/>
      <c r="IQ525" s="49"/>
      <c r="IR525" s="49"/>
      <c r="IT525" s="49"/>
      <c r="IU525" s="49"/>
      <c r="IW525" s="49"/>
      <c r="IX525" s="49"/>
      <c r="IZ525" s="49"/>
      <c r="JA525" s="49"/>
      <c r="JC525" s="49"/>
      <c r="JD525" s="49"/>
      <c r="JF525" s="49"/>
      <c r="JG525" s="49"/>
      <c r="JI525" s="49"/>
      <c r="JJ525" s="49"/>
      <c r="JL525" s="49"/>
      <c r="JM525" s="49"/>
      <c r="JO525" s="49"/>
      <c r="JP525" s="49"/>
      <c r="JR525" s="49"/>
    </row>
    <row r="526" spans="237:278">
      <c r="IC526" s="49"/>
      <c r="IE526" s="49"/>
      <c r="IF526" s="49"/>
      <c r="IH526" s="49"/>
      <c r="II526" s="49"/>
      <c r="IK526" s="49"/>
      <c r="IL526" s="49"/>
      <c r="IN526" s="49"/>
      <c r="IO526" s="49"/>
      <c r="IQ526" s="49"/>
      <c r="IR526" s="49"/>
      <c r="IT526" s="49"/>
      <c r="IU526" s="49"/>
      <c r="IW526" s="49"/>
      <c r="IX526" s="49"/>
      <c r="IZ526" s="49"/>
      <c r="JA526" s="49"/>
      <c r="JC526" s="49"/>
      <c r="JD526" s="49"/>
      <c r="JF526" s="49"/>
      <c r="JG526" s="49"/>
      <c r="JI526" s="49"/>
      <c r="JJ526" s="49"/>
      <c r="JL526" s="49"/>
      <c r="JM526" s="49"/>
      <c r="JO526" s="49"/>
      <c r="JP526" s="49"/>
      <c r="JR526" s="49"/>
    </row>
    <row r="527" spans="237:278">
      <c r="IC527" s="49"/>
      <c r="IE527" s="49"/>
      <c r="IF527" s="49"/>
      <c r="IH527" s="49"/>
      <c r="II527" s="49"/>
      <c r="IK527" s="49"/>
      <c r="IL527" s="49"/>
      <c r="IN527" s="49"/>
      <c r="IO527" s="49"/>
      <c r="IQ527" s="49"/>
      <c r="IR527" s="49"/>
      <c r="IT527" s="49"/>
      <c r="IU527" s="49"/>
      <c r="IW527" s="49"/>
      <c r="IX527" s="49"/>
      <c r="IZ527" s="49"/>
      <c r="JA527" s="49"/>
      <c r="JC527" s="49"/>
      <c r="JD527" s="49"/>
      <c r="JF527" s="49"/>
      <c r="JG527" s="49"/>
      <c r="JI527" s="49"/>
      <c r="JJ527" s="49"/>
      <c r="JL527" s="49"/>
      <c r="JM527" s="49"/>
      <c r="JO527" s="49"/>
      <c r="JP527" s="49"/>
      <c r="JR527" s="49"/>
    </row>
    <row r="528" spans="237:278">
      <c r="IC528" s="49"/>
      <c r="IE528" s="49"/>
      <c r="IF528" s="49"/>
      <c r="IH528" s="49"/>
      <c r="II528" s="49"/>
      <c r="IK528" s="49"/>
      <c r="IL528" s="49"/>
      <c r="IN528" s="49"/>
      <c r="IO528" s="49"/>
      <c r="IQ528" s="49"/>
      <c r="IR528" s="49"/>
      <c r="IT528" s="49"/>
      <c r="IU528" s="49"/>
      <c r="IW528" s="49"/>
      <c r="IX528" s="49"/>
      <c r="IZ528" s="49"/>
      <c r="JA528" s="49"/>
      <c r="JC528" s="49"/>
      <c r="JD528" s="49"/>
      <c r="JF528" s="49"/>
      <c r="JG528" s="49"/>
      <c r="JI528" s="49"/>
      <c r="JJ528" s="49"/>
      <c r="JL528" s="49"/>
      <c r="JM528" s="49"/>
      <c r="JO528" s="49"/>
      <c r="JP528" s="49"/>
      <c r="JR528" s="49"/>
    </row>
    <row r="529" spans="237:278">
      <c r="IC529" s="49"/>
      <c r="IE529" s="49"/>
      <c r="IF529" s="49"/>
      <c r="IH529" s="49"/>
      <c r="II529" s="49"/>
      <c r="IK529" s="49"/>
      <c r="IL529" s="49"/>
      <c r="IN529" s="49"/>
      <c r="IO529" s="49"/>
      <c r="IQ529" s="49"/>
      <c r="IR529" s="49"/>
      <c r="IT529" s="49"/>
      <c r="IU529" s="49"/>
      <c r="IW529" s="49"/>
      <c r="IX529" s="49"/>
      <c r="IZ529" s="49"/>
      <c r="JA529" s="49"/>
      <c r="JC529" s="49"/>
      <c r="JD529" s="49"/>
      <c r="JF529" s="49"/>
      <c r="JG529" s="49"/>
      <c r="JI529" s="49"/>
      <c r="JJ529" s="49"/>
      <c r="JL529" s="49"/>
      <c r="JM529" s="49"/>
      <c r="JO529" s="49"/>
      <c r="JP529" s="49"/>
      <c r="JR529" s="49"/>
    </row>
    <row r="530" spans="237:278">
      <c r="IC530" s="49"/>
      <c r="IE530" s="49"/>
      <c r="IF530" s="49"/>
      <c r="IH530" s="49"/>
      <c r="II530" s="49"/>
      <c r="IK530" s="49"/>
      <c r="IL530" s="49"/>
      <c r="IN530" s="49"/>
      <c r="IO530" s="49"/>
      <c r="IQ530" s="49"/>
      <c r="IR530" s="49"/>
      <c r="IT530" s="49"/>
      <c r="IU530" s="49"/>
      <c r="IW530" s="49"/>
      <c r="IX530" s="49"/>
      <c r="IZ530" s="49"/>
      <c r="JA530" s="49"/>
      <c r="JC530" s="49"/>
      <c r="JD530" s="49"/>
      <c r="JF530" s="49"/>
      <c r="JG530" s="49"/>
      <c r="JI530" s="49"/>
      <c r="JJ530" s="49"/>
      <c r="JL530" s="49"/>
      <c r="JM530" s="49"/>
      <c r="JO530" s="49"/>
      <c r="JP530" s="49"/>
      <c r="JR530" s="49"/>
    </row>
    <row r="531" spans="237:278">
      <c r="IC531" s="49"/>
      <c r="IE531" s="49"/>
      <c r="IF531" s="49"/>
      <c r="IH531" s="49"/>
      <c r="II531" s="49"/>
      <c r="IK531" s="49"/>
      <c r="IL531" s="49"/>
      <c r="IN531" s="49"/>
      <c r="IO531" s="49"/>
      <c r="IQ531" s="49"/>
      <c r="IR531" s="49"/>
      <c r="IT531" s="49"/>
      <c r="IU531" s="49"/>
      <c r="IW531" s="49"/>
      <c r="IX531" s="49"/>
      <c r="IZ531" s="49"/>
      <c r="JA531" s="49"/>
      <c r="JC531" s="49"/>
      <c r="JD531" s="49"/>
      <c r="JF531" s="49"/>
      <c r="JG531" s="49"/>
      <c r="JI531" s="49"/>
      <c r="JJ531" s="49"/>
      <c r="JL531" s="49"/>
      <c r="JM531" s="49"/>
      <c r="JO531" s="49"/>
      <c r="JP531" s="49"/>
      <c r="JR531" s="49"/>
    </row>
    <row r="532" spans="237:278">
      <c r="IC532" s="49"/>
      <c r="IE532" s="49"/>
      <c r="IF532" s="49"/>
      <c r="IH532" s="49"/>
      <c r="II532" s="49"/>
      <c r="IK532" s="49"/>
      <c r="IL532" s="49"/>
      <c r="IN532" s="49"/>
      <c r="IO532" s="49"/>
      <c r="IQ532" s="49"/>
      <c r="IR532" s="49"/>
      <c r="IT532" s="49"/>
      <c r="IU532" s="49"/>
      <c r="IW532" s="49"/>
      <c r="IX532" s="49"/>
      <c r="IZ532" s="49"/>
      <c r="JA532" s="49"/>
      <c r="JC532" s="49"/>
      <c r="JD532" s="49"/>
      <c r="JF532" s="49"/>
      <c r="JG532" s="49"/>
      <c r="JI532" s="49"/>
      <c r="JJ532" s="49"/>
      <c r="JL532" s="49"/>
      <c r="JM532" s="49"/>
      <c r="JO532" s="49"/>
      <c r="JP532" s="49"/>
      <c r="JR532" s="49"/>
    </row>
    <row r="533" spans="237:278">
      <c r="IC533" s="49"/>
      <c r="IE533" s="49"/>
      <c r="IF533" s="49"/>
      <c r="IH533" s="49"/>
      <c r="II533" s="49"/>
      <c r="IK533" s="49"/>
      <c r="IL533" s="49"/>
      <c r="IN533" s="49"/>
      <c r="IO533" s="49"/>
      <c r="IQ533" s="49"/>
      <c r="IR533" s="49"/>
      <c r="IT533" s="49"/>
      <c r="IU533" s="49"/>
      <c r="IW533" s="49"/>
      <c r="IX533" s="49"/>
      <c r="IZ533" s="49"/>
      <c r="JA533" s="49"/>
      <c r="JC533" s="49"/>
      <c r="JD533" s="49"/>
      <c r="JF533" s="49"/>
      <c r="JG533" s="49"/>
      <c r="JI533" s="49"/>
      <c r="JJ533" s="49"/>
      <c r="JL533" s="49"/>
      <c r="JM533" s="49"/>
      <c r="JO533" s="49"/>
      <c r="JP533" s="49"/>
      <c r="JR533" s="49"/>
    </row>
    <row r="534" spans="237:278">
      <c r="IC534" s="49"/>
      <c r="IE534" s="49"/>
      <c r="IF534" s="49"/>
      <c r="IH534" s="49"/>
      <c r="II534" s="49"/>
      <c r="IK534" s="49"/>
      <c r="IL534" s="49"/>
      <c r="IN534" s="49"/>
      <c r="IO534" s="49"/>
      <c r="IQ534" s="49"/>
      <c r="IR534" s="49"/>
      <c r="IT534" s="49"/>
      <c r="IU534" s="49"/>
      <c r="IW534" s="49"/>
      <c r="IX534" s="49"/>
      <c r="IZ534" s="49"/>
      <c r="JA534" s="49"/>
      <c r="JC534" s="49"/>
      <c r="JD534" s="49"/>
      <c r="JF534" s="49"/>
      <c r="JG534" s="49"/>
      <c r="JI534" s="49"/>
      <c r="JJ534" s="49"/>
      <c r="JL534" s="49"/>
      <c r="JM534" s="49"/>
      <c r="JO534" s="49"/>
      <c r="JP534" s="49"/>
      <c r="JR534" s="49"/>
    </row>
    <row r="535" spans="237:278">
      <c r="IC535" s="49"/>
      <c r="IE535" s="49"/>
      <c r="IF535" s="49"/>
      <c r="IH535" s="49"/>
      <c r="II535" s="49"/>
      <c r="IK535" s="49"/>
      <c r="IL535" s="49"/>
      <c r="IN535" s="49"/>
      <c r="IO535" s="49"/>
      <c r="IQ535" s="49"/>
      <c r="IR535" s="49"/>
      <c r="IT535" s="49"/>
      <c r="IU535" s="49"/>
      <c r="IW535" s="49"/>
      <c r="IX535" s="49"/>
      <c r="IZ535" s="49"/>
      <c r="JA535" s="49"/>
      <c r="JC535" s="49"/>
      <c r="JD535" s="49"/>
      <c r="JF535" s="49"/>
      <c r="JG535" s="49"/>
      <c r="JI535" s="49"/>
      <c r="JJ535" s="49"/>
      <c r="JL535" s="49"/>
      <c r="JM535" s="49"/>
      <c r="JO535" s="49"/>
      <c r="JP535" s="49"/>
      <c r="JR535" s="49"/>
    </row>
    <row r="536" spans="237:278">
      <c r="IC536" s="49"/>
      <c r="IE536" s="49"/>
      <c r="IF536" s="49"/>
      <c r="IH536" s="49"/>
      <c r="II536" s="49"/>
      <c r="IK536" s="49"/>
      <c r="IL536" s="49"/>
      <c r="IN536" s="49"/>
      <c r="IO536" s="49"/>
      <c r="IQ536" s="49"/>
      <c r="IR536" s="49"/>
      <c r="IT536" s="49"/>
      <c r="IU536" s="49"/>
      <c r="IW536" s="49"/>
      <c r="IX536" s="49"/>
      <c r="IZ536" s="49"/>
      <c r="JA536" s="49"/>
      <c r="JC536" s="49"/>
      <c r="JD536" s="49"/>
      <c r="JF536" s="49"/>
      <c r="JG536" s="49"/>
      <c r="JI536" s="49"/>
      <c r="JJ536" s="49"/>
      <c r="JL536" s="49"/>
      <c r="JM536" s="49"/>
      <c r="JO536" s="49"/>
      <c r="JP536" s="49"/>
      <c r="JR536" s="49"/>
    </row>
    <row r="537" spans="237:278">
      <c r="IC537" s="49"/>
      <c r="IE537" s="49"/>
      <c r="IF537" s="49"/>
      <c r="IH537" s="49"/>
      <c r="II537" s="49"/>
      <c r="IK537" s="49"/>
      <c r="IL537" s="49"/>
      <c r="IN537" s="49"/>
      <c r="IO537" s="49"/>
      <c r="IQ537" s="49"/>
      <c r="IR537" s="49"/>
      <c r="IT537" s="49"/>
      <c r="IU537" s="49"/>
      <c r="IW537" s="49"/>
      <c r="IX537" s="49"/>
      <c r="IZ537" s="49"/>
      <c r="JA537" s="49"/>
      <c r="JC537" s="49"/>
      <c r="JD537" s="49"/>
      <c r="JF537" s="49"/>
      <c r="JG537" s="49"/>
      <c r="JI537" s="49"/>
      <c r="JJ537" s="49"/>
      <c r="JL537" s="49"/>
      <c r="JM537" s="49"/>
      <c r="JO537" s="49"/>
      <c r="JP537" s="49"/>
      <c r="JR537" s="49"/>
    </row>
    <row r="538" spans="237:278">
      <c r="IC538" s="49"/>
      <c r="IE538" s="49"/>
      <c r="IF538" s="49"/>
      <c r="IH538" s="49"/>
      <c r="II538" s="49"/>
      <c r="IK538" s="49"/>
      <c r="IL538" s="49"/>
      <c r="IN538" s="49"/>
      <c r="IO538" s="49"/>
      <c r="IQ538" s="49"/>
      <c r="IR538" s="49"/>
      <c r="IT538" s="49"/>
      <c r="IU538" s="49"/>
      <c r="IW538" s="49"/>
      <c r="IX538" s="49"/>
      <c r="IZ538" s="49"/>
      <c r="JA538" s="49"/>
      <c r="JC538" s="49"/>
      <c r="JD538" s="49"/>
      <c r="JF538" s="49"/>
      <c r="JG538" s="49"/>
      <c r="JI538" s="49"/>
      <c r="JJ538" s="49"/>
      <c r="JL538" s="49"/>
      <c r="JM538" s="49"/>
      <c r="JO538" s="49"/>
      <c r="JP538" s="49"/>
      <c r="JR538" s="49"/>
    </row>
    <row r="539" spans="237:278">
      <c r="IC539" s="49"/>
      <c r="IE539" s="49"/>
      <c r="IF539" s="49"/>
      <c r="IH539" s="49"/>
      <c r="II539" s="49"/>
      <c r="IK539" s="49"/>
      <c r="IL539" s="49"/>
      <c r="IN539" s="49"/>
      <c r="IO539" s="49"/>
      <c r="IQ539" s="49"/>
      <c r="IR539" s="49"/>
      <c r="IT539" s="49"/>
      <c r="IU539" s="49"/>
      <c r="IW539" s="49"/>
      <c r="IX539" s="49"/>
      <c r="IZ539" s="49"/>
      <c r="JA539" s="49"/>
      <c r="JC539" s="49"/>
      <c r="JD539" s="49"/>
      <c r="JF539" s="49"/>
      <c r="JG539" s="49"/>
      <c r="JI539" s="49"/>
      <c r="JJ539" s="49"/>
      <c r="JL539" s="49"/>
      <c r="JM539" s="49"/>
      <c r="JO539" s="49"/>
      <c r="JP539" s="49"/>
      <c r="JR539" s="49"/>
    </row>
    <row r="540" spans="237:278">
      <c r="IC540" s="49"/>
      <c r="IE540" s="49"/>
      <c r="IF540" s="49"/>
      <c r="IH540" s="49"/>
      <c r="II540" s="49"/>
      <c r="IK540" s="49"/>
      <c r="IL540" s="49"/>
      <c r="IN540" s="49"/>
      <c r="IO540" s="49"/>
      <c r="IQ540" s="49"/>
      <c r="IR540" s="49"/>
      <c r="IT540" s="49"/>
      <c r="IU540" s="49"/>
      <c r="IW540" s="49"/>
      <c r="IX540" s="49"/>
      <c r="IZ540" s="49"/>
      <c r="JA540" s="49"/>
      <c r="JC540" s="49"/>
      <c r="JD540" s="49"/>
      <c r="JF540" s="49"/>
      <c r="JG540" s="49"/>
      <c r="JI540" s="49"/>
      <c r="JJ540" s="49"/>
      <c r="JL540" s="49"/>
      <c r="JM540" s="49"/>
      <c r="JO540" s="49"/>
      <c r="JP540" s="49"/>
      <c r="JR540" s="49"/>
    </row>
    <row r="541" spans="237:278">
      <c r="IC541" s="49"/>
      <c r="IE541" s="49"/>
      <c r="IF541" s="49"/>
      <c r="IH541" s="49"/>
      <c r="II541" s="49"/>
      <c r="IK541" s="49"/>
      <c r="IL541" s="49"/>
      <c r="IN541" s="49"/>
      <c r="IO541" s="49"/>
      <c r="IQ541" s="49"/>
      <c r="IR541" s="49"/>
      <c r="IT541" s="49"/>
      <c r="IU541" s="49"/>
      <c r="IW541" s="49"/>
      <c r="IX541" s="49"/>
      <c r="IZ541" s="49"/>
      <c r="JA541" s="49"/>
      <c r="JC541" s="49"/>
      <c r="JD541" s="49"/>
      <c r="JF541" s="49"/>
      <c r="JG541" s="49"/>
      <c r="JI541" s="49"/>
      <c r="JJ541" s="49"/>
      <c r="JL541" s="49"/>
      <c r="JM541" s="49"/>
      <c r="JO541" s="49"/>
      <c r="JP541" s="49"/>
      <c r="JR541" s="49"/>
    </row>
    <row r="542" spans="237:278">
      <c r="IC542" s="49"/>
      <c r="IE542" s="49"/>
      <c r="IF542" s="49"/>
      <c r="IH542" s="49"/>
      <c r="II542" s="49"/>
      <c r="IK542" s="49"/>
      <c r="IL542" s="49"/>
      <c r="IN542" s="49"/>
      <c r="IO542" s="49"/>
      <c r="IQ542" s="49"/>
      <c r="IR542" s="49"/>
      <c r="IT542" s="49"/>
      <c r="IU542" s="49"/>
      <c r="IW542" s="49"/>
      <c r="IX542" s="49"/>
      <c r="IZ542" s="49"/>
      <c r="JA542" s="49"/>
      <c r="JC542" s="49"/>
      <c r="JD542" s="49"/>
      <c r="JF542" s="49"/>
      <c r="JG542" s="49"/>
      <c r="JI542" s="49"/>
      <c r="JJ542" s="49"/>
      <c r="JL542" s="49"/>
      <c r="JM542" s="49"/>
      <c r="JO542" s="49"/>
      <c r="JP542" s="49"/>
      <c r="JR542" s="49"/>
    </row>
    <row r="543" spans="237:278">
      <c r="IC543" s="49"/>
      <c r="IE543" s="49"/>
      <c r="IF543" s="49"/>
      <c r="IH543" s="49"/>
      <c r="II543" s="49"/>
      <c r="IK543" s="49"/>
      <c r="IL543" s="49"/>
      <c r="IN543" s="49"/>
      <c r="IO543" s="49"/>
      <c r="IQ543" s="49"/>
      <c r="IR543" s="49"/>
      <c r="IT543" s="49"/>
      <c r="IU543" s="49"/>
      <c r="IW543" s="49"/>
      <c r="IX543" s="49"/>
      <c r="IZ543" s="49"/>
      <c r="JA543" s="49"/>
      <c r="JC543" s="49"/>
      <c r="JD543" s="49"/>
      <c r="JF543" s="49"/>
      <c r="JG543" s="49"/>
      <c r="JI543" s="49"/>
      <c r="JJ543" s="49"/>
      <c r="JL543" s="49"/>
      <c r="JM543" s="49"/>
      <c r="JO543" s="49"/>
      <c r="JP543" s="49"/>
      <c r="JR543" s="49"/>
    </row>
    <row r="544" spans="237:278">
      <c r="IC544" s="49"/>
      <c r="IE544" s="49"/>
      <c r="IF544" s="49"/>
      <c r="IH544" s="49"/>
      <c r="II544" s="49"/>
      <c r="IK544" s="49"/>
      <c r="IL544" s="49"/>
      <c r="IN544" s="49"/>
      <c r="IO544" s="49"/>
      <c r="IQ544" s="49"/>
      <c r="IR544" s="49"/>
      <c r="IT544" s="49"/>
      <c r="IU544" s="49"/>
      <c r="IW544" s="49"/>
      <c r="IX544" s="49"/>
      <c r="IZ544" s="49"/>
      <c r="JA544" s="49"/>
      <c r="JC544" s="49"/>
      <c r="JD544" s="49"/>
      <c r="JF544" s="49"/>
      <c r="JG544" s="49"/>
      <c r="JI544" s="49"/>
      <c r="JJ544" s="49"/>
      <c r="JL544" s="49"/>
      <c r="JM544" s="49"/>
      <c r="JO544" s="49"/>
      <c r="JP544" s="49"/>
      <c r="JR544" s="49"/>
    </row>
    <row r="545" spans="237:278">
      <c r="IC545" s="49"/>
      <c r="IE545" s="49"/>
      <c r="IF545" s="49"/>
      <c r="IH545" s="49"/>
      <c r="II545" s="49"/>
      <c r="IK545" s="49"/>
      <c r="IL545" s="49"/>
      <c r="IN545" s="49"/>
      <c r="IO545" s="49"/>
      <c r="IQ545" s="49"/>
      <c r="IR545" s="49"/>
      <c r="IT545" s="49"/>
      <c r="IU545" s="49"/>
      <c r="IW545" s="49"/>
      <c r="IX545" s="49"/>
      <c r="IZ545" s="49"/>
      <c r="JA545" s="49"/>
      <c r="JC545" s="49"/>
      <c r="JD545" s="49"/>
      <c r="JF545" s="49"/>
      <c r="JG545" s="49"/>
      <c r="JI545" s="49"/>
      <c r="JJ545" s="49"/>
      <c r="JL545" s="49"/>
      <c r="JM545" s="49"/>
      <c r="JO545" s="49"/>
      <c r="JP545" s="49"/>
      <c r="JR545" s="49"/>
    </row>
    <row r="546" spans="237:278">
      <c r="IC546" s="49"/>
      <c r="IE546" s="49"/>
      <c r="IF546" s="49"/>
      <c r="IH546" s="49"/>
      <c r="II546" s="49"/>
      <c r="IK546" s="49"/>
      <c r="IL546" s="49"/>
      <c r="IN546" s="49"/>
      <c r="IO546" s="49"/>
      <c r="IQ546" s="49"/>
      <c r="IR546" s="49"/>
      <c r="IT546" s="49"/>
      <c r="IU546" s="49"/>
      <c r="IW546" s="49"/>
      <c r="IX546" s="49"/>
      <c r="IZ546" s="49"/>
      <c r="JA546" s="49"/>
      <c r="JC546" s="49"/>
      <c r="JD546" s="49"/>
      <c r="JF546" s="49"/>
      <c r="JG546" s="49"/>
      <c r="JI546" s="49"/>
      <c r="JJ546" s="49"/>
      <c r="JL546" s="49"/>
      <c r="JM546" s="49"/>
      <c r="JO546" s="49"/>
      <c r="JP546" s="49"/>
      <c r="JR546" s="49"/>
    </row>
    <row r="547" spans="237:278">
      <c r="IC547" s="49"/>
      <c r="IE547" s="49"/>
      <c r="IF547" s="49"/>
      <c r="IH547" s="49"/>
      <c r="II547" s="49"/>
      <c r="IK547" s="49"/>
      <c r="IL547" s="49"/>
      <c r="IN547" s="49"/>
      <c r="IO547" s="49"/>
      <c r="IQ547" s="49"/>
      <c r="IR547" s="49"/>
      <c r="IT547" s="49"/>
      <c r="IU547" s="49"/>
      <c r="IW547" s="49"/>
      <c r="IX547" s="49"/>
      <c r="IZ547" s="49"/>
      <c r="JA547" s="49"/>
      <c r="JC547" s="49"/>
      <c r="JD547" s="49"/>
      <c r="JF547" s="49"/>
      <c r="JG547" s="49"/>
      <c r="JI547" s="49"/>
      <c r="JJ547" s="49"/>
      <c r="JL547" s="49"/>
      <c r="JM547" s="49"/>
      <c r="JO547" s="49"/>
      <c r="JP547" s="49"/>
      <c r="JR547" s="49"/>
    </row>
    <row r="548" spans="237:278">
      <c r="IC548" s="49"/>
      <c r="IE548" s="49"/>
      <c r="IF548" s="49"/>
      <c r="IH548" s="49"/>
      <c r="II548" s="49"/>
      <c r="IK548" s="49"/>
      <c r="IL548" s="49"/>
      <c r="IN548" s="49"/>
      <c r="IO548" s="49"/>
      <c r="IQ548" s="49"/>
      <c r="IR548" s="49"/>
      <c r="IT548" s="49"/>
      <c r="IU548" s="49"/>
      <c r="IW548" s="49"/>
      <c r="IX548" s="49"/>
      <c r="IZ548" s="49"/>
      <c r="JA548" s="49"/>
      <c r="JC548" s="49"/>
      <c r="JD548" s="49"/>
      <c r="JF548" s="49"/>
      <c r="JG548" s="49"/>
      <c r="JI548" s="49"/>
      <c r="JJ548" s="49"/>
      <c r="JL548" s="49"/>
      <c r="JM548" s="49"/>
      <c r="JO548" s="49"/>
      <c r="JP548" s="49"/>
      <c r="JR548" s="49"/>
    </row>
    <row r="549" spans="237:278">
      <c r="IC549" s="49"/>
      <c r="IE549" s="49"/>
      <c r="IF549" s="49"/>
      <c r="IH549" s="49"/>
      <c r="II549" s="49"/>
      <c r="IK549" s="49"/>
      <c r="IL549" s="49"/>
      <c r="IN549" s="49"/>
      <c r="IO549" s="49"/>
      <c r="IQ549" s="49"/>
      <c r="IR549" s="49"/>
      <c r="IT549" s="49"/>
      <c r="IU549" s="49"/>
      <c r="IW549" s="49"/>
      <c r="IX549" s="49"/>
      <c r="IZ549" s="49"/>
      <c r="JA549" s="49"/>
      <c r="JC549" s="49"/>
      <c r="JD549" s="49"/>
      <c r="JF549" s="49"/>
      <c r="JG549" s="49"/>
      <c r="JI549" s="49"/>
      <c r="JJ549" s="49"/>
      <c r="JL549" s="49"/>
      <c r="JM549" s="49"/>
      <c r="JO549" s="49"/>
      <c r="JP549" s="49"/>
      <c r="JR549" s="49"/>
    </row>
    <row r="550" spans="237:278">
      <c r="IC550" s="49"/>
      <c r="IE550" s="49"/>
      <c r="IF550" s="49"/>
      <c r="IH550" s="49"/>
      <c r="II550" s="49"/>
      <c r="IK550" s="49"/>
      <c r="IL550" s="49"/>
      <c r="IN550" s="49"/>
      <c r="IO550" s="49"/>
      <c r="IQ550" s="49"/>
      <c r="IR550" s="49"/>
      <c r="IT550" s="49"/>
      <c r="IU550" s="49"/>
      <c r="IW550" s="49"/>
      <c r="IX550" s="49"/>
      <c r="IZ550" s="49"/>
      <c r="JA550" s="49"/>
      <c r="JC550" s="49"/>
      <c r="JD550" s="49"/>
      <c r="JF550" s="49"/>
      <c r="JG550" s="49"/>
      <c r="JI550" s="49"/>
      <c r="JJ550" s="49"/>
      <c r="JL550" s="49"/>
      <c r="JM550" s="49"/>
      <c r="JO550" s="49"/>
      <c r="JP550" s="49"/>
      <c r="JR550" s="49"/>
    </row>
    <row r="551" spans="237:278">
      <c r="IC551" s="49"/>
      <c r="IE551" s="49"/>
      <c r="IF551" s="49"/>
      <c r="IH551" s="49"/>
      <c r="II551" s="49"/>
      <c r="IK551" s="49"/>
      <c r="IL551" s="49"/>
      <c r="IN551" s="49"/>
      <c r="IO551" s="49"/>
      <c r="IQ551" s="49"/>
      <c r="IR551" s="49"/>
      <c r="IT551" s="49"/>
      <c r="IU551" s="49"/>
      <c r="IW551" s="49"/>
      <c r="IX551" s="49"/>
      <c r="IZ551" s="49"/>
      <c r="JA551" s="49"/>
      <c r="JC551" s="49"/>
      <c r="JD551" s="49"/>
      <c r="JF551" s="49"/>
      <c r="JG551" s="49"/>
      <c r="JI551" s="49"/>
      <c r="JJ551" s="49"/>
      <c r="JL551" s="49"/>
      <c r="JM551" s="49"/>
      <c r="JO551" s="49"/>
      <c r="JP551" s="49"/>
      <c r="JR551" s="49"/>
    </row>
    <row r="552" spans="237:278">
      <c r="IC552" s="49"/>
      <c r="IE552" s="49"/>
      <c r="IF552" s="49"/>
      <c r="IH552" s="49"/>
      <c r="II552" s="49"/>
      <c r="IK552" s="49"/>
      <c r="IL552" s="49"/>
      <c r="IN552" s="49"/>
      <c r="IO552" s="49"/>
      <c r="IQ552" s="49"/>
      <c r="IR552" s="49"/>
      <c r="IT552" s="49"/>
      <c r="IU552" s="49"/>
      <c r="IW552" s="49"/>
      <c r="IX552" s="49"/>
      <c r="IZ552" s="49"/>
      <c r="JA552" s="49"/>
      <c r="JC552" s="49"/>
      <c r="JD552" s="49"/>
      <c r="JF552" s="49"/>
      <c r="JG552" s="49"/>
      <c r="JI552" s="49"/>
      <c r="JJ552" s="49"/>
      <c r="JL552" s="49"/>
      <c r="JM552" s="49"/>
      <c r="JO552" s="49"/>
      <c r="JP552" s="49"/>
      <c r="JR552" s="49"/>
    </row>
    <row r="553" spans="237:278">
      <c r="IC553" s="49"/>
      <c r="IE553" s="49"/>
      <c r="IF553" s="49"/>
      <c r="IH553" s="49"/>
      <c r="II553" s="49"/>
      <c r="IK553" s="49"/>
      <c r="IL553" s="49"/>
      <c r="IN553" s="49"/>
      <c r="IO553" s="49"/>
      <c r="IQ553" s="49"/>
      <c r="IR553" s="49"/>
      <c r="IT553" s="49"/>
      <c r="IU553" s="49"/>
      <c r="IW553" s="49"/>
      <c r="IX553" s="49"/>
      <c r="IZ553" s="49"/>
      <c r="JA553" s="49"/>
      <c r="JC553" s="49"/>
      <c r="JD553" s="49"/>
      <c r="JF553" s="49"/>
      <c r="JG553" s="49"/>
      <c r="JI553" s="49"/>
      <c r="JJ553" s="49"/>
      <c r="JL553" s="49"/>
      <c r="JM553" s="49"/>
      <c r="JO553" s="49"/>
      <c r="JP553" s="49"/>
      <c r="JR553" s="49"/>
    </row>
    <row r="554" spans="237:278">
      <c r="IC554" s="49"/>
      <c r="IE554" s="49"/>
      <c r="IF554" s="49"/>
      <c r="IH554" s="49"/>
      <c r="II554" s="49"/>
      <c r="IK554" s="49"/>
      <c r="IL554" s="49"/>
      <c r="IN554" s="49"/>
      <c r="IO554" s="49"/>
      <c r="IQ554" s="49"/>
      <c r="IR554" s="49"/>
      <c r="IT554" s="49"/>
      <c r="IU554" s="49"/>
      <c r="IW554" s="49"/>
      <c r="IX554" s="49"/>
      <c r="IZ554" s="49"/>
      <c r="JA554" s="49"/>
      <c r="JC554" s="49"/>
      <c r="JD554" s="49"/>
      <c r="JF554" s="49"/>
      <c r="JG554" s="49"/>
      <c r="JI554" s="49"/>
      <c r="JJ554" s="49"/>
      <c r="JL554" s="49"/>
      <c r="JM554" s="49"/>
      <c r="JO554" s="49"/>
      <c r="JP554" s="49"/>
      <c r="JR554" s="49"/>
    </row>
    <row r="555" spans="237:278">
      <c r="IC555" s="49"/>
      <c r="IE555" s="49"/>
      <c r="IF555" s="49"/>
      <c r="IH555" s="49"/>
      <c r="II555" s="49"/>
      <c r="IK555" s="49"/>
      <c r="IL555" s="49"/>
      <c r="IN555" s="49"/>
      <c r="IO555" s="49"/>
      <c r="IQ555" s="49"/>
      <c r="IR555" s="49"/>
      <c r="IT555" s="49"/>
      <c r="IU555" s="49"/>
      <c r="IW555" s="49"/>
      <c r="IX555" s="49"/>
      <c r="IZ555" s="49"/>
      <c r="JA555" s="49"/>
      <c r="JC555" s="49"/>
      <c r="JD555" s="49"/>
      <c r="JF555" s="49"/>
      <c r="JG555" s="49"/>
      <c r="JI555" s="49"/>
      <c r="JJ555" s="49"/>
      <c r="JL555" s="49"/>
      <c r="JM555" s="49"/>
      <c r="JO555" s="49"/>
      <c r="JP555" s="49"/>
      <c r="JR555" s="49"/>
    </row>
    <row r="556" spans="237:278">
      <c r="IC556" s="49"/>
      <c r="IE556" s="49"/>
      <c r="IF556" s="49"/>
      <c r="IH556" s="49"/>
      <c r="II556" s="49"/>
      <c r="IK556" s="49"/>
      <c r="IL556" s="49"/>
      <c r="IN556" s="49"/>
      <c r="IO556" s="49"/>
      <c r="IQ556" s="49"/>
      <c r="IR556" s="49"/>
      <c r="IT556" s="49"/>
      <c r="IU556" s="49"/>
      <c r="IW556" s="49"/>
      <c r="IX556" s="49"/>
      <c r="IZ556" s="49"/>
      <c r="JA556" s="49"/>
      <c r="JC556" s="49"/>
      <c r="JD556" s="49"/>
      <c r="JF556" s="49"/>
      <c r="JG556" s="49"/>
      <c r="JI556" s="49"/>
      <c r="JJ556" s="49"/>
      <c r="JL556" s="49"/>
      <c r="JM556" s="49"/>
      <c r="JO556" s="49"/>
      <c r="JP556" s="49"/>
      <c r="JR556" s="49"/>
    </row>
    <row r="557" spans="237:278">
      <c r="IC557" s="49"/>
      <c r="IE557" s="49"/>
      <c r="IF557" s="49"/>
      <c r="IH557" s="49"/>
      <c r="II557" s="49"/>
      <c r="IK557" s="49"/>
      <c r="IL557" s="49"/>
      <c r="IN557" s="49"/>
      <c r="IO557" s="49"/>
      <c r="IQ557" s="49"/>
      <c r="IR557" s="49"/>
      <c r="IT557" s="49"/>
      <c r="IU557" s="49"/>
      <c r="IW557" s="49"/>
      <c r="IX557" s="49"/>
      <c r="IZ557" s="49"/>
      <c r="JA557" s="49"/>
      <c r="JC557" s="49"/>
      <c r="JD557" s="49"/>
      <c r="JF557" s="49"/>
      <c r="JG557" s="49"/>
      <c r="JI557" s="49"/>
      <c r="JJ557" s="49"/>
      <c r="JL557" s="49"/>
      <c r="JM557" s="49"/>
      <c r="JO557" s="49"/>
      <c r="JP557" s="49"/>
      <c r="JR557" s="49"/>
    </row>
    <row r="558" spans="237:278">
      <c r="IC558" s="49"/>
      <c r="IE558" s="49"/>
      <c r="IF558" s="49"/>
      <c r="IH558" s="49"/>
      <c r="II558" s="49"/>
      <c r="IK558" s="49"/>
      <c r="IL558" s="49"/>
      <c r="IN558" s="49"/>
      <c r="IO558" s="49"/>
      <c r="IQ558" s="49"/>
      <c r="IR558" s="49"/>
      <c r="IT558" s="49"/>
      <c r="IU558" s="49"/>
      <c r="IW558" s="49"/>
      <c r="IX558" s="49"/>
      <c r="IZ558" s="49"/>
      <c r="JA558" s="49"/>
      <c r="JC558" s="49"/>
      <c r="JD558" s="49"/>
      <c r="JF558" s="49"/>
      <c r="JG558" s="49"/>
      <c r="JI558" s="49"/>
      <c r="JJ558" s="49"/>
      <c r="JL558" s="49"/>
      <c r="JM558" s="49"/>
      <c r="JO558" s="49"/>
      <c r="JP558" s="49"/>
      <c r="JR558" s="49"/>
    </row>
    <row r="559" spans="237:278">
      <c r="IC559" s="49"/>
      <c r="IE559" s="49"/>
      <c r="IF559" s="49"/>
      <c r="IH559" s="49"/>
      <c r="II559" s="49"/>
      <c r="IK559" s="49"/>
      <c r="IL559" s="49"/>
      <c r="IN559" s="49"/>
      <c r="IO559" s="49"/>
      <c r="IQ559" s="49"/>
      <c r="IR559" s="49"/>
      <c r="IT559" s="49"/>
      <c r="IU559" s="49"/>
      <c r="IW559" s="49"/>
      <c r="IX559" s="49"/>
      <c r="IZ559" s="49"/>
      <c r="JA559" s="49"/>
      <c r="JC559" s="49"/>
      <c r="JD559" s="49"/>
      <c r="JF559" s="49"/>
      <c r="JG559" s="49"/>
      <c r="JI559" s="49"/>
      <c r="JJ559" s="49"/>
      <c r="JL559" s="49"/>
      <c r="JM559" s="49"/>
      <c r="JO559" s="49"/>
      <c r="JP559" s="49"/>
      <c r="JR559" s="49"/>
    </row>
    <row r="560" spans="237:278">
      <c r="IC560" s="49"/>
      <c r="IE560" s="49"/>
      <c r="IF560" s="49"/>
      <c r="IH560" s="49"/>
      <c r="II560" s="49"/>
      <c r="IK560" s="49"/>
      <c r="IL560" s="49"/>
      <c r="IN560" s="49"/>
      <c r="IO560" s="49"/>
      <c r="IQ560" s="49"/>
      <c r="IR560" s="49"/>
      <c r="IT560" s="49"/>
      <c r="IU560" s="49"/>
      <c r="IW560" s="49"/>
      <c r="IX560" s="49"/>
      <c r="IZ560" s="49"/>
      <c r="JA560" s="49"/>
      <c r="JC560" s="49"/>
      <c r="JD560" s="49"/>
      <c r="JF560" s="49"/>
      <c r="JG560" s="49"/>
      <c r="JI560" s="49"/>
      <c r="JJ560" s="49"/>
      <c r="JL560" s="49"/>
      <c r="JM560" s="49"/>
      <c r="JO560" s="49"/>
      <c r="JP560" s="49"/>
      <c r="JR560" s="49"/>
    </row>
    <row r="561" spans="237:278">
      <c r="IC561" s="49"/>
      <c r="IE561" s="49"/>
      <c r="IF561" s="49"/>
      <c r="IH561" s="49"/>
      <c r="II561" s="49"/>
      <c r="IK561" s="49"/>
      <c r="IL561" s="49"/>
      <c r="IN561" s="49"/>
      <c r="IO561" s="49"/>
      <c r="IQ561" s="49"/>
      <c r="IR561" s="49"/>
      <c r="IT561" s="49"/>
      <c r="IU561" s="49"/>
      <c r="IW561" s="49"/>
      <c r="IX561" s="49"/>
      <c r="IZ561" s="49"/>
      <c r="JA561" s="49"/>
      <c r="JC561" s="49"/>
      <c r="JD561" s="49"/>
      <c r="JF561" s="49"/>
      <c r="JG561" s="49"/>
      <c r="JI561" s="49"/>
      <c r="JJ561" s="49"/>
      <c r="JL561" s="49"/>
      <c r="JM561" s="49"/>
      <c r="JO561" s="49"/>
      <c r="JP561" s="49"/>
      <c r="JR561" s="49"/>
    </row>
    <row r="562" spans="237:278">
      <c r="IC562" s="49"/>
      <c r="IE562" s="49"/>
      <c r="IF562" s="49"/>
      <c r="IH562" s="49"/>
      <c r="II562" s="49"/>
      <c r="IK562" s="49"/>
      <c r="IL562" s="49"/>
      <c r="IN562" s="49"/>
      <c r="IO562" s="49"/>
      <c r="IQ562" s="49"/>
      <c r="IR562" s="49"/>
      <c r="IT562" s="49"/>
      <c r="IU562" s="49"/>
      <c r="IW562" s="49"/>
      <c r="IX562" s="49"/>
      <c r="IZ562" s="49"/>
      <c r="JA562" s="49"/>
      <c r="JC562" s="49"/>
      <c r="JD562" s="49"/>
      <c r="JF562" s="49"/>
      <c r="JG562" s="49"/>
      <c r="JI562" s="49"/>
      <c r="JJ562" s="49"/>
      <c r="JL562" s="49"/>
      <c r="JM562" s="49"/>
      <c r="JO562" s="49"/>
      <c r="JP562" s="49"/>
      <c r="JR562" s="49"/>
    </row>
    <row r="563" spans="237:278">
      <c r="IC563" s="49"/>
      <c r="IE563" s="49"/>
      <c r="IF563" s="49"/>
      <c r="IH563" s="49"/>
      <c r="II563" s="49"/>
      <c r="IK563" s="49"/>
      <c r="IL563" s="49"/>
      <c r="IN563" s="49"/>
      <c r="IO563" s="49"/>
      <c r="IQ563" s="49"/>
      <c r="IR563" s="49"/>
      <c r="IT563" s="49"/>
      <c r="IU563" s="49"/>
      <c r="IW563" s="49"/>
      <c r="IX563" s="49"/>
      <c r="IZ563" s="49"/>
      <c r="JA563" s="49"/>
      <c r="JC563" s="49"/>
      <c r="JD563" s="49"/>
      <c r="JF563" s="49"/>
      <c r="JG563" s="49"/>
      <c r="JI563" s="49"/>
      <c r="JJ563" s="49"/>
      <c r="JL563" s="49"/>
      <c r="JM563" s="49"/>
      <c r="JO563" s="49"/>
      <c r="JP563" s="49"/>
      <c r="JR563" s="49"/>
    </row>
    <row r="564" spans="237:278">
      <c r="IC564" s="49"/>
      <c r="IE564" s="49"/>
      <c r="IF564" s="49"/>
      <c r="IH564" s="49"/>
      <c r="II564" s="49"/>
      <c r="IK564" s="49"/>
      <c r="IL564" s="49"/>
      <c r="IN564" s="49"/>
      <c r="IO564" s="49"/>
      <c r="IQ564" s="49"/>
      <c r="IR564" s="49"/>
      <c r="IT564" s="49"/>
      <c r="IU564" s="49"/>
      <c r="IW564" s="49"/>
      <c r="IX564" s="49"/>
      <c r="IZ564" s="49"/>
      <c r="JA564" s="49"/>
      <c r="JC564" s="49"/>
      <c r="JD564" s="49"/>
      <c r="JF564" s="49"/>
      <c r="JG564" s="49"/>
      <c r="JI564" s="49"/>
      <c r="JJ564" s="49"/>
      <c r="JL564" s="49"/>
      <c r="JM564" s="49"/>
      <c r="JO564" s="49"/>
      <c r="JP564" s="49"/>
      <c r="JR564" s="49"/>
    </row>
    <row r="565" spans="237:278">
      <c r="IC565" s="49"/>
      <c r="IE565" s="49"/>
      <c r="IF565" s="49"/>
      <c r="IH565" s="49"/>
      <c r="II565" s="49"/>
      <c r="IK565" s="49"/>
      <c r="IL565" s="49"/>
      <c r="IN565" s="49"/>
      <c r="IO565" s="49"/>
      <c r="IQ565" s="49"/>
      <c r="IR565" s="49"/>
      <c r="IT565" s="49"/>
      <c r="IU565" s="49"/>
      <c r="IW565" s="49"/>
      <c r="IX565" s="49"/>
      <c r="IZ565" s="49"/>
      <c r="JA565" s="49"/>
      <c r="JC565" s="49"/>
      <c r="JD565" s="49"/>
      <c r="JF565" s="49"/>
      <c r="JG565" s="49"/>
      <c r="JI565" s="49"/>
      <c r="JJ565" s="49"/>
      <c r="JL565" s="49"/>
      <c r="JM565" s="49"/>
      <c r="JO565" s="49"/>
      <c r="JP565" s="49"/>
      <c r="JR565" s="49"/>
    </row>
    <row r="566" spans="237:278">
      <c r="IC566" s="49"/>
      <c r="IE566" s="49"/>
      <c r="IF566" s="49"/>
      <c r="IH566" s="49"/>
      <c r="II566" s="49"/>
      <c r="IK566" s="49"/>
      <c r="IL566" s="49"/>
      <c r="IN566" s="49"/>
      <c r="IO566" s="49"/>
      <c r="IQ566" s="49"/>
      <c r="IR566" s="49"/>
      <c r="IT566" s="49"/>
      <c r="IU566" s="49"/>
      <c r="IW566" s="49"/>
      <c r="IX566" s="49"/>
      <c r="IZ566" s="49"/>
      <c r="JA566" s="49"/>
      <c r="JC566" s="49"/>
      <c r="JD566" s="49"/>
      <c r="JF566" s="49"/>
      <c r="JG566" s="49"/>
      <c r="JI566" s="49"/>
      <c r="JJ566" s="49"/>
      <c r="JL566" s="49"/>
      <c r="JM566" s="49"/>
      <c r="JO566" s="49"/>
      <c r="JP566" s="49"/>
      <c r="JR566" s="49"/>
    </row>
    <row r="567" spans="237:278">
      <c r="IC567" s="49"/>
      <c r="IE567" s="49"/>
      <c r="IF567" s="49"/>
      <c r="IH567" s="49"/>
      <c r="II567" s="49"/>
      <c r="IK567" s="49"/>
      <c r="IL567" s="49"/>
      <c r="IN567" s="49"/>
      <c r="IO567" s="49"/>
      <c r="IQ567" s="49"/>
      <c r="IR567" s="49"/>
      <c r="IT567" s="49"/>
      <c r="IU567" s="49"/>
      <c r="IW567" s="49"/>
      <c r="IX567" s="49"/>
      <c r="IZ567" s="49"/>
      <c r="JA567" s="49"/>
      <c r="JC567" s="49"/>
      <c r="JD567" s="49"/>
      <c r="JF567" s="49"/>
      <c r="JG567" s="49"/>
      <c r="JI567" s="49"/>
      <c r="JJ567" s="49"/>
      <c r="JL567" s="49"/>
      <c r="JM567" s="49"/>
      <c r="JO567" s="49"/>
      <c r="JP567" s="49"/>
      <c r="JR567" s="49"/>
    </row>
    <row r="568" spans="237:278">
      <c r="IC568" s="49"/>
      <c r="IE568" s="49"/>
      <c r="IF568" s="49"/>
      <c r="IH568" s="49"/>
      <c r="II568" s="49"/>
      <c r="IK568" s="49"/>
      <c r="IL568" s="49"/>
      <c r="IN568" s="49"/>
      <c r="IO568" s="49"/>
      <c r="IQ568" s="49"/>
      <c r="IR568" s="49"/>
      <c r="IT568" s="49"/>
      <c r="IU568" s="49"/>
      <c r="IW568" s="49"/>
      <c r="IX568" s="49"/>
      <c r="IZ568" s="49"/>
      <c r="JA568" s="49"/>
      <c r="JC568" s="49"/>
      <c r="JD568" s="49"/>
      <c r="JF568" s="49"/>
      <c r="JG568" s="49"/>
      <c r="JI568" s="49"/>
      <c r="JJ568" s="49"/>
      <c r="JL568" s="49"/>
      <c r="JM568" s="49"/>
      <c r="JO568" s="49"/>
      <c r="JP568" s="49"/>
      <c r="JR568" s="49"/>
    </row>
    <row r="569" spans="237:278">
      <c r="IC569" s="49"/>
      <c r="IE569" s="49"/>
      <c r="IF569" s="49"/>
      <c r="IH569" s="49"/>
      <c r="II569" s="49"/>
      <c r="IK569" s="49"/>
      <c r="IL569" s="49"/>
      <c r="IN569" s="49"/>
      <c r="IO569" s="49"/>
      <c r="IQ569" s="49"/>
      <c r="IR569" s="49"/>
      <c r="IT569" s="49"/>
      <c r="IU569" s="49"/>
      <c r="IW569" s="49"/>
      <c r="IX569" s="49"/>
      <c r="IZ569" s="49"/>
      <c r="JA569" s="49"/>
      <c r="JC569" s="49"/>
      <c r="JD569" s="49"/>
      <c r="JF569" s="49"/>
      <c r="JG569" s="49"/>
      <c r="JI569" s="49"/>
      <c r="JJ569" s="49"/>
      <c r="JL569" s="49"/>
      <c r="JM569" s="49"/>
      <c r="JO569" s="49"/>
      <c r="JP569" s="49"/>
      <c r="JR569" s="49"/>
    </row>
    <row r="570" spans="237:278">
      <c r="IC570" s="49"/>
      <c r="IE570" s="49"/>
      <c r="IF570" s="49"/>
      <c r="IH570" s="49"/>
      <c r="II570" s="49"/>
      <c r="IK570" s="49"/>
      <c r="IL570" s="49"/>
      <c r="IN570" s="49"/>
      <c r="IO570" s="49"/>
      <c r="IQ570" s="49"/>
      <c r="IR570" s="49"/>
      <c r="IT570" s="49"/>
      <c r="IU570" s="49"/>
      <c r="IW570" s="49"/>
      <c r="IX570" s="49"/>
      <c r="IZ570" s="49"/>
      <c r="JA570" s="49"/>
      <c r="JC570" s="49"/>
      <c r="JD570" s="49"/>
      <c r="JF570" s="49"/>
      <c r="JG570" s="49"/>
      <c r="JI570" s="49"/>
      <c r="JJ570" s="49"/>
      <c r="JL570" s="49"/>
      <c r="JM570" s="49"/>
      <c r="JO570" s="49"/>
      <c r="JP570" s="49"/>
      <c r="JR570" s="49"/>
    </row>
    <row r="571" spans="237:278">
      <c r="IC571" s="49"/>
      <c r="IE571" s="49"/>
      <c r="IF571" s="49"/>
      <c r="IH571" s="49"/>
      <c r="II571" s="49"/>
      <c r="IK571" s="49"/>
      <c r="IL571" s="49"/>
      <c r="IN571" s="49"/>
      <c r="IO571" s="49"/>
      <c r="IQ571" s="49"/>
      <c r="IR571" s="49"/>
      <c r="IT571" s="49"/>
      <c r="IU571" s="49"/>
      <c r="IW571" s="49"/>
      <c r="IX571" s="49"/>
      <c r="IZ571" s="49"/>
      <c r="JA571" s="49"/>
      <c r="JC571" s="49"/>
      <c r="JD571" s="49"/>
      <c r="JF571" s="49"/>
      <c r="JG571" s="49"/>
      <c r="JI571" s="49"/>
      <c r="JJ571" s="49"/>
      <c r="JL571" s="49"/>
      <c r="JM571" s="49"/>
      <c r="JO571" s="49"/>
      <c r="JP571" s="49"/>
      <c r="JR571" s="49"/>
    </row>
    <row r="572" spans="237:278">
      <c r="IC572" s="49"/>
      <c r="IE572" s="49"/>
      <c r="IF572" s="49"/>
      <c r="IH572" s="49"/>
      <c r="II572" s="49"/>
      <c r="IK572" s="49"/>
      <c r="IL572" s="49"/>
      <c r="IN572" s="49"/>
      <c r="IO572" s="49"/>
      <c r="IQ572" s="49"/>
      <c r="IR572" s="49"/>
      <c r="IT572" s="49"/>
      <c r="IU572" s="49"/>
      <c r="IW572" s="49"/>
      <c r="IX572" s="49"/>
      <c r="IZ572" s="49"/>
      <c r="JA572" s="49"/>
      <c r="JC572" s="49"/>
      <c r="JD572" s="49"/>
      <c r="JF572" s="49"/>
      <c r="JG572" s="49"/>
      <c r="JI572" s="49"/>
      <c r="JJ572" s="49"/>
      <c r="JL572" s="49"/>
      <c r="JM572" s="49"/>
      <c r="JO572" s="49"/>
      <c r="JP572" s="49"/>
      <c r="JR572" s="49"/>
    </row>
    <row r="573" spans="237:278">
      <c r="IC573" s="49"/>
      <c r="IE573" s="49"/>
      <c r="IF573" s="49"/>
      <c r="IH573" s="49"/>
      <c r="II573" s="49"/>
      <c r="IK573" s="49"/>
      <c r="IL573" s="49"/>
      <c r="IN573" s="49"/>
      <c r="IO573" s="49"/>
      <c r="IQ573" s="49"/>
      <c r="IR573" s="49"/>
      <c r="IT573" s="49"/>
      <c r="IU573" s="49"/>
      <c r="IW573" s="49"/>
      <c r="IX573" s="49"/>
      <c r="IZ573" s="49"/>
      <c r="JA573" s="49"/>
      <c r="JC573" s="49"/>
      <c r="JD573" s="49"/>
      <c r="JF573" s="49"/>
      <c r="JG573" s="49"/>
      <c r="JI573" s="49"/>
      <c r="JJ573" s="49"/>
      <c r="JL573" s="49"/>
      <c r="JM573" s="49"/>
      <c r="JO573" s="49"/>
      <c r="JP573" s="49"/>
      <c r="JR573" s="49"/>
    </row>
    <row r="574" spans="237:278">
      <c r="IC574" s="49"/>
      <c r="IE574" s="49"/>
      <c r="IF574" s="49"/>
      <c r="IH574" s="49"/>
      <c r="II574" s="49"/>
      <c r="IK574" s="49"/>
      <c r="IL574" s="49"/>
      <c r="IN574" s="49"/>
      <c r="IO574" s="49"/>
      <c r="IQ574" s="49"/>
      <c r="IR574" s="49"/>
      <c r="IT574" s="49"/>
      <c r="IU574" s="49"/>
      <c r="IW574" s="49"/>
      <c r="IX574" s="49"/>
      <c r="IZ574" s="49"/>
      <c r="JA574" s="49"/>
      <c r="JC574" s="49"/>
      <c r="JD574" s="49"/>
      <c r="JF574" s="49"/>
      <c r="JG574" s="49"/>
      <c r="JI574" s="49"/>
      <c r="JJ574" s="49"/>
      <c r="JL574" s="49"/>
      <c r="JM574" s="49"/>
      <c r="JO574" s="49"/>
      <c r="JP574" s="49"/>
      <c r="JR574" s="49"/>
    </row>
    <row r="575" spans="237:278">
      <c r="IC575" s="49"/>
      <c r="IE575" s="49"/>
      <c r="IF575" s="49"/>
      <c r="IH575" s="49"/>
      <c r="II575" s="49"/>
      <c r="IK575" s="49"/>
      <c r="IL575" s="49"/>
      <c r="IN575" s="49"/>
      <c r="IO575" s="49"/>
      <c r="IQ575" s="49"/>
      <c r="IR575" s="49"/>
      <c r="IT575" s="49"/>
      <c r="IU575" s="49"/>
      <c r="IW575" s="49"/>
      <c r="IX575" s="49"/>
      <c r="IZ575" s="49"/>
      <c r="JA575" s="49"/>
      <c r="JC575" s="49"/>
      <c r="JD575" s="49"/>
      <c r="JF575" s="49"/>
      <c r="JG575" s="49"/>
      <c r="JI575" s="49"/>
      <c r="JJ575" s="49"/>
      <c r="JL575" s="49"/>
      <c r="JM575" s="49"/>
      <c r="JO575" s="49"/>
      <c r="JP575" s="49"/>
      <c r="JR575" s="49"/>
    </row>
    <row r="576" spans="237:278">
      <c r="IC576" s="49"/>
      <c r="IE576" s="49"/>
      <c r="IF576" s="49"/>
      <c r="IH576" s="49"/>
      <c r="II576" s="49"/>
      <c r="IK576" s="49"/>
      <c r="IL576" s="49"/>
      <c r="IN576" s="49"/>
      <c r="IO576" s="49"/>
      <c r="IQ576" s="49"/>
      <c r="IR576" s="49"/>
      <c r="IT576" s="49"/>
      <c r="IU576" s="49"/>
      <c r="IW576" s="49"/>
      <c r="IX576" s="49"/>
      <c r="IZ576" s="49"/>
      <c r="JA576" s="49"/>
      <c r="JC576" s="49"/>
      <c r="JD576" s="49"/>
      <c r="JF576" s="49"/>
      <c r="JG576" s="49"/>
      <c r="JI576" s="49"/>
      <c r="JJ576" s="49"/>
      <c r="JL576" s="49"/>
      <c r="JM576" s="49"/>
      <c r="JO576" s="49"/>
      <c r="JP576" s="49"/>
      <c r="JR576" s="49"/>
    </row>
    <row r="577" spans="237:278">
      <c r="IC577" s="49"/>
      <c r="IE577" s="49"/>
      <c r="IF577" s="49"/>
      <c r="IH577" s="49"/>
      <c r="II577" s="49"/>
      <c r="IK577" s="49"/>
      <c r="IL577" s="49"/>
      <c r="IN577" s="49"/>
      <c r="IO577" s="49"/>
      <c r="IQ577" s="49"/>
      <c r="IR577" s="49"/>
      <c r="IT577" s="49"/>
      <c r="IU577" s="49"/>
      <c r="IW577" s="49"/>
      <c r="IX577" s="49"/>
      <c r="IZ577" s="49"/>
      <c r="JA577" s="49"/>
      <c r="JC577" s="49"/>
      <c r="JD577" s="49"/>
      <c r="JF577" s="49"/>
      <c r="JG577" s="49"/>
      <c r="JI577" s="49"/>
      <c r="JJ577" s="49"/>
      <c r="JL577" s="49"/>
      <c r="JM577" s="49"/>
      <c r="JO577" s="49"/>
      <c r="JP577" s="49"/>
      <c r="JR577" s="49"/>
    </row>
    <row r="578" spans="237:278">
      <c r="IC578" s="49"/>
      <c r="IE578" s="49"/>
      <c r="IF578" s="49"/>
      <c r="IH578" s="49"/>
      <c r="II578" s="49"/>
      <c r="IK578" s="49"/>
      <c r="IL578" s="49"/>
      <c r="IN578" s="49"/>
      <c r="IO578" s="49"/>
      <c r="IQ578" s="49"/>
      <c r="IR578" s="49"/>
      <c r="IT578" s="49"/>
      <c r="IU578" s="49"/>
      <c r="IW578" s="49"/>
      <c r="IX578" s="49"/>
      <c r="IZ578" s="49"/>
      <c r="JA578" s="49"/>
      <c r="JC578" s="49"/>
      <c r="JD578" s="49"/>
      <c r="JF578" s="49"/>
      <c r="JG578" s="49"/>
      <c r="JI578" s="49"/>
      <c r="JJ578" s="49"/>
      <c r="JL578" s="49"/>
      <c r="JM578" s="49"/>
      <c r="JO578" s="49"/>
      <c r="JP578" s="49"/>
      <c r="JR578" s="49"/>
    </row>
    <row r="579" spans="237:278">
      <c r="IC579" s="49"/>
      <c r="IE579" s="49"/>
      <c r="IF579" s="49"/>
      <c r="IH579" s="49"/>
      <c r="II579" s="49"/>
      <c r="IK579" s="49"/>
      <c r="IL579" s="49"/>
      <c r="IN579" s="49"/>
      <c r="IO579" s="49"/>
      <c r="IQ579" s="49"/>
      <c r="IR579" s="49"/>
      <c r="IT579" s="49"/>
      <c r="IU579" s="49"/>
      <c r="IW579" s="49"/>
      <c r="IX579" s="49"/>
      <c r="IZ579" s="49"/>
      <c r="JA579" s="49"/>
      <c r="JC579" s="49"/>
      <c r="JD579" s="49"/>
      <c r="JF579" s="49"/>
      <c r="JG579" s="49"/>
      <c r="JI579" s="49"/>
      <c r="JJ579" s="49"/>
      <c r="JL579" s="49"/>
      <c r="JM579" s="49"/>
      <c r="JO579" s="49"/>
      <c r="JP579" s="49"/>
      <c r="JR579" s="49"/>
    </row>
    <row r="580" spans="237:278">
      <c r="IC580" s="49"/>
      <c r="IE580" s="49"/>
      <c r="IF580" s="49"/>
      <c r="IH580" s="49"/>
      <c r="II580" s="49"/>
      <c r="IK580" s="49"/>
      <c r="IL580" s="49"/>
      <c r="IN580" s="49"/>
      <c r="IO580" s="49"/>
      <c r="IQ580" s="49"/>
      <c r="IR580" s="49"/>
      <c r="IT580" s="49"/>
      <c r="IU580" s="49"/>
      <c r="IW580" s="49"/>
      <c r="IX580" s="49"/>
      <c r="IZ580" s="49"/>
      <c r="JA580" s="49"/>
      <c r="JC580" s="49"/>
      <c r="JD580" s="49"/>
      <c r="JF580" s="49"/>
      <c r="JG580" s="49"/>
      <c r="JI580" s="49"/>
      <c r="JJ580" s="49"/>
      <c r="JL580" s="49"/>
      <c r="JM580" s="49"/>
      <c r="JO580" s="49"/>
      <c r="JP580" s="49"/>
      <c r="JR580" s="49"/>
    </row>
    <row r="581" spans="237:278">
      <c r="IC581" s="49"/>
      <c r="IE581" s="49"/>
      <c r="IF581" s="49"/>
      <c r="IH581" s="49"/>
      <c r="II581" s="49"/>
      <c r="IK581" s="49"/>
      <c r="IL581" s="49"/>
      <c r="IN581" s="49"/>
      <c r="IO581" s="49"/>
      <c r="IQ581" s="49"/>
      <c r="IR581" s="49"/>
      <c r="IT581" s="49"/>
      <c r="IU581" s="49"/>
      <c r="IW581" s="49"/>
      <c r="IX581" s="49"/>
      <c r="IZ581" s="49"/>
      <c r="JA581" s="49"/>
      <c r="JC581" s="49"/>
      <c r="JD581" s="49"/>
      <c r="JF581" s="49"/>
      <c r="JG581" s="49"/>
      <c r="JI581" s="49"/>
      <c r="JJ581" s="49"/>
      <c r="JL581" s="49"/>
      <c r="JM581" s="49"/>
      <c r="JO581" s="49"/>
      <c r="JP581" s="49"/>
      <c r="JR581" s="49"/>
    </row>
    <row r="582" spans="237:278">
      <c r="IC582" s="49"/>
      <c r="IE582" s="49"/>
      <c r="IF582" s="49"/>
      <c r="IH582" s="49"/>
      <c r="II582" s="49"/>
      <c r="IK582" s="49"/>
      <c r="IL582" s="49"/>
      <c r="IN582" s="49"/>
      <c r="IO582" s="49"/>
      <c r="IQ582" s="49"/>
      <c r="IR582" s="49"/>
      <c r="IT582" s="49"/>
      <c r="IU582" s="49"/>
      <c r="IW582" s="49"/>
      <c r="IX582" s="49"/>
      <c r="IZ582" s="49"/>
      <c r="JA582" s="49"/>
      <c r="JC582" s="49"/>
      <c r="JD582" s="49"/>
      <c r="JF582" s="49"/>
      <c r="JG582" s="49"/>
      <c r="JI582" s="49"/>
      <c r="JJ582" s="49"/>
      <c r="JL582" s="49"/>
      <c r="JM582" s="49"/>
      <c r="JO582" s="49"/>
      <c r="JP582" s="49"/>
      <c r="JR582" s="49"/>
    </row>
    <row r="583" spans="237:278">
      <c r="IC583" s="49"/>
      <c r="IE583" s="49"/>
      <c r="IF583" s="49"/>
      <c r="IH583" s="49"/>
      <c r="II583" s="49"/>
      <c r="IK583" s="49"/>
      <c r="IL583" s="49"/>
      <c r="IN583" s="49"/>
      <c r="IO583" s="49"/>
      <c r="IQ583" s="49"/>
      <c r="IR583" s="49"/>
      <c r="IT583" s="49"/>
      <c r="IU583" s="49"/>
      <c r="IW583" s="49"/>
      <c r="IX583" s="49"/>
      <c r="IZ583" s="49"/>
      <c r="JA583" s="49"/>
      <c r="JC583" s="49"/>
      <c r="JD583" s="49"/>
      <c r="JF583" s="49"/>
      <c r="JG583" s="49"/>
      <c r="JI583" s="49"/>
      <c r="JJ583" s="49"/>
      <c r="JL583" s="49"/>
      <c r="JM583" s="49"/>
      <c r="JO583" s="49"/>
      <c r="JP583" s="49"/>
      <c r="JR583" s="49"/>
    </row>
    <row r="584" spans="237:278">
      <c r="IC584" s="49"/>
      <c r="IE584" s="49"/>
      <c r="IF584" s="49"/>
      <c r="IH584" s="49"/>
      <c r="II584" s="49"/>
      <c r="IK584" s="49"/>
      <c r="IL584" s="49"/>
      <c r="IN584" s="49"/>
      <c r="IO584" s="49"/>
      <c r="IQ584" s="49"/>
      <c r="IR584" s="49"/>
      <c r="IT584" s="49"/>
      <c r="IU584" s="49"/>
      <c r="IW584" s="49"/>
      <c r="IX584" s="49"/>
      <c r="IZ584" s="49"/>
      <c r="JA584" s="49"/>
      <c r="JC584" s="49"/>
      <c r="JD584" s="49"/>
      <c r="JF584" s="49"/>
      <c r="JG584" s="49"/>
      <c r="JI584" s="49"/>
      <c r="JJ584" s="49"/>
      <c r="JL584" s="49"/>
      <c r="JM584" s="49"/>
      <c r="JO584" s="49"/>
      <c r="JP584" s="49"/>
      <c r="JR584" s="49"/>
    </row>
    <row r="585" spans="237:278">
      <c r="IC585" s="49"/>
      <c r="IE585" s="49"/>
      <c r="IF585" s="49"/>
      <c r="IH585" s="49"/>
      <c r="II585" s="49"/>
      <c r="IK585" s="49"/>
      <c r="IL585" s="49"/>
      <c r="IN585" s="49"/>
      <c r="IO585" s="49"/>
      <c r="IQ585" s="49"/>
      <c r="IR585" s="49"/>
      <c r="IT585" s="49"/>
      <c r="IU585" s="49"/>
      <c r="IW585" s="49"/>
      <c r="IX585" s="49"/>
      <c r="IZ585" s="49"/>
      <c r="JA585" s="49"/>
      <c r="JC585" s="49"/>
      <c r="JD585" s="49"/>
      <c r="JF585" s="49"/>
      <c r="JG585" s="49"/>
      <c r="JI585" s="49"/>
      <c r="JJ585" s="49"/>
      <c r="JL585" s="49"/>
      <c r="JM585" s="49"/>
      <c r="JO585" s="49"/>
      <c r="JP585" s="49"/>
      <c r="JR585" s="49"/>
    </row>
    <row r="586" spans="237:278">
      <c r="IC586" s="49"/>
      <c r="IE586" s="49"/>
      <c r="IF586" s="49"/>
      <c r="IH586" s="49"/>
      <c r="II586" s="49"/>
      <c r="IK586" s="49"/>
      <c r="IL586" s="49"/>
      <c r="IN586" s="49"/>
      <c r="IO586" s="49"/>
      <c r="IQ586" s="49"/>
      <c r="IR586" s="49"/>
      <c r="IT586" s="49"/>
      <c r="IU586" s="49"/>
      <c r="IW586" s="49"/>
      <c r="IX586" s="49"/>
      <c r="IZ586" s="49"/>
      <c r="JA586" s="49"/>
      <c r="JC586" s="49"/>
      <c r="JD586" s="49"/>
      <c r="JF586" s="49"/>
      <c r="JG586" s="49"/>
      <c r="JI586" s="49"/>
      <c r="JJ586" s="49"/>
      <c r="JL586" s="49"/>
      <c r="JM586" s="49"/>
      <c r="JO586" s="49"/>
      <c r="JP586" s="49"/>
      <c r="JR586" s="49"/>
    </row>
    <row r="587" spans="237:278">
      <c r="IC587" s="49"/>
      <c r="IE587" s="49"/>
      <c r="IF587" s="49"/>
      <c r="IH587" s="49"/>
      <c r="II587" s="49"/>
      <c r="IK587" s="49"/>
      <c r="IL587" s="49"/>
      <c r="IN587" s="49"/>
      <c r="IO587" s="49"/>
      <c r="IQ587" s="49"/>
      <c r="IR587" s="49"/>
      <c r="IT587" s="49"/>
      <c r="IU587" s="49"/>
      <c r="IW587" s="49"/>
      <c r="IX587" s="49"/>
      <c r="IZ587" s="49"/>
      <c r="JA587" s="49"/>
      <c r="JC587" s="49"/>
      <c r="JD587" s="49"/>
      <c r="JF587" s="49"/>
      <c r="JG587" s="49"/>
      <c r="JI587" s="49"/>
      <c r="JJ587" s="49"/>
      <c r="JL587" s="49"/>
      <c r="JM587" s="49"/>
      <c r="JO587" s="49"/>
      <c r="JP587" s="49"/>
      <c r="JR587" s="49"/>
    </row>
    <row r="588" spans="237:278">
      <c r="IC588" s="49"/>
      <c r="IE588" s="49"/>
      <c r="IF588" s="49"/>
      <c r="IH588" s="49"/>
      <c r="II588" s="49"/>
      <c r="IK588" s="49"/>
      <c r="IL588" s="49"/>
      <c r="IN588" s="49"/>
      <c r="IO588" s="49"/>
      <c r="IQ588" s="49"/>
      <c r="IR588" s="49"/>
      <c r="IT588" s="49"/>
      <c r="IU588" s="49"/>
      <c r="IW588" s="49"/>
      <c r="IX588" s="49"/>
      <c r="IZ588" s="49"/>
      <c r="JA588" s="49"/>
      <c r="JC588" s="49"/>
      <c r="JD588" s="49"/>
      <c r="JF588" s="49"/>
      <c r="JG588" s="49"/>
      <c r="JI588" s="49"/>
      <c r="JJ588" s="49"/>
      <c r="JL588" s="49"/>
      <c r="JM588" s="49"/>
      <c r="JO588" s="49"/>
      <c r="JP588" s="49"/>
      <c r="JR588" s="49"/>
    </row>
    <row r="589" spans="237:278">
      <c r="IC589" s="49"/>
      <c r="IE589" s="49"/>
      <c r="IF589" s="49"/>
      <c r="IH589" s="49"/>
      <c r="II589" s="49"/>
      <c r="IK589" s="49"/>
      <c r="IL589" s="49"/>
      <c r="IN589" s="49"/>
      <c r="IO589" s="49"/>
      <c r="IQ589" s="49"/>
      <c r="IR589" s="49"/>
      <c r="IT589" s="49"/>
      <c r="IU589" s="49"/>
      <c r="IW589" s="49"/>
      <c r="IX589" s="49"/>
      <c r="IZ589" s="49"/>
      <c r="JA589" s="49"/>
      <c r="JC589" s="49"/>
      <c r="JD589" s="49"/>
      <c r="JF589" s="49"/>
      <c r="JG589" s="49"/>
      <c r="JI589" s="49"/>
      <c r="JJ589" s="49"/>
      <c r="JL589" s="49"/>
      <c r="JM589" s="49"/>
      <c r="JO589" s="49"/>
      <c r="JP589" s="49"/>
      <c r="JR589" s="49"/>
    </row>
    <row r="590" spans="237:278">
      <c r="IC590" s="49"/>
      <c r="IE590" s="49"/>
      <c r="IF590" s="49"/>
      <c r="IH590" s="49"/>
      <c r="II590" s="49"/>
      <c r="IK590" s="49"/>
      <c r="IL590" s="49"/>
      <c r="IN590" s="49"/>
      <c r="IO590" s="49"/>
      <c r="IQ590" s="49"/>
      <c r="IR590" s="49"/>
      <c r="IT590" s="49"/>
      <c r="IU590" s="49"/>
      <c r="IW590" s="49"/>
      <c r="IX590" s="49"/>
      <c r="IZ590" s="49"/>
      <c r="JA590" s="49"/>
      <c r="JC590" s="49"/>
      <c r="JD590" s="49"/>
      <c r="JF590" s="49"/>
      <c r="JG590" s="49"/>
      <c r="JI590" s="49"/>
      <c r="JJ590" s="49"/>
      <c r="JL590" s="49"/>
      <c r="JM590" s="49"/>
      <c r="JO590" s="49"/>
      <c r="JP590" s="49"/>
      <c r="JR590" s="49"/>
    </row>
    <row r="591" spans="237:278">
      <c r="IC591" s="49"/>
      <c r="IE591" s="49"/>
      <c r="IF591" s="49"/>
      <c r="IH591" s="49"/>
      <c r="II591" s="49"/>
      <c r="IK591" s="49"/>
      <c r="IL591" s="49"/>
      <c r="IN591" s="49"/>
      <c r="IO591" s="49"/>
      <c r="IQ591" s="49"/>
      <c r="IR591" s="49"/>
      <c r="IT591" s="49"/>
      <c r="IU591" s="49"/>
      <c r="IW591" s="49"/>
      <c r="IX591" s="49"/>
      <c r="IZ591" s="49"/>
      <c r="JA591" s="49"/>
      <c r="JC591" s="49"/>
      <c r="JD591" s="49"/>
      <c r="JF591" s="49"/>
      <c r="JG591" s="49"/>
      <c r="JI591" s="49"/>
      <c r="JJ591" s="49"/>
      <c r="JL591" s="49"/>
      <c r="JM591" s="49"/>
      <c r="JO591" s="49"/>
      <c r="JP591" s="49"/>
      <c r="JR591" s="49"/>
    </row>
    <row r="592" spans="237:278">
      <c r="IC592" s="49"/>
      <c r="IE592" s="49"/>
      <c r="IF592" s="49"/>
      <c r="IH592" s="49"/>
      <c r="II592" s="49"/>
      <c r="IK592" s="49"/>
      <c r="IL592" s="49"/>
      <c r="IN592" s="49"/>
      <c r="IO592" s="49"/>
      <c r="IQ592" s="49"/>
      <c r="IR592" s="49"/>
      <c r="IT592" s="49"/>
      <c r="IU592" s="49"/>
      <c r="IW592" s="49"/>
      <c r="IX592" s="49"/>
      <c r="IZ592" s="49"/>
      <c r="JA592" s="49"/>
      <c r="JC592" s="49"/>
      <c r="JD592" s="49"/>
      <c r="JF592" s="49"/>
      <c r="JG592" s="49"/>
      <c r="JI592" s="49"/>
      <c r="JJ592" s="49"/>
      <c r="JL592" s="49"/>
      <c r="JM592" s="49"/>
      <c r="JO592" s="49"/>
      <c r="JP592" s="49"/>
      <c r="JR592" s="49"/>
    </row>
    <row r="593" spans="237:278">
      <c r="IC593" s="49"/>
      <c r="IE593" s="49"/>
      <c r="IF593" s="49"/>
      <c r="IH593" s="49"/>
      <c r="II593" s="49"/>
      <c r="IK593" s="49"/>
      <c r="IL593" s="49"/>
      <c r="IN593" s="49"/>
      <c r="IO593" s="49"/>
      <c r="IQ593" s="49"/>
      <c r="IR593" s="49"/>
      <c r="IT593" s="49"/>
      <c r="IU593" s="49"/>
      <c r="IW593" s="49"/>
      <c r="IX593" s="49"/>
      <c r="IZ593" s="49"/>
      <c r="JA593" s="49"/>
      <c r="JC593" s="49"/>
      <c r="JD593" s="49"/>
      <c r="JF593" s="49"/>
      <c r="JG593" s="49"/>
      <c r="JI593" s="49"/>
      <c r="JJ593" s="49"/>
      <c r="JL593" s="49"/>
      <c r="JM593" s="49"/>
      <c r="JO593" s="49"/>
      <c r="JP593" s="49"/>
      <c r="JR593" s="49"/>
    </row>
    <row r="594" spans="237:278">
      <c r="IC594" s="49"/>
      <c r="IE594" s="49"/>
      <c r="IF594" s="49"/>
      <c r="IH594" s="49"/>
      <c r="II594" s="49"/>
      <c r="IK594" s="49"/>
      <c r="IL594" s="49"/>
      <c r="IN594" s="49"/>
      <c r="IO594" s="49"/>
      <c r="IQ594" s="49"/>
      <c r="IR594" s="49"/>
      <c r="IT594" s="49"/>
      <c r="IU594" s="49"/>
      <c r="IW594" s="49"/>
      <c r="IX594" s="49"/>
      <c r="IZ594" s="49"/>
      <c r="JA594" s="49"/>
      <c r="JC594" s="49"/>
      <c r="JD594" s="49"/>
      <c r="JF594" s="49"/>
      <c r="JG594" s="49"/>
      <c r="JI594" s="49"/>
      <c r="JJ594" s="49"/>
      <c r="JL594" s="49"/>
      <c r="JM594" s="49"/>
      <c r="JO594" s="49"/>
      <c r="JP594" s="49"/>
      <c r="JR594" s="49"/>
    </row>
    <row r="595" spans="237:278">
      <c r="IC595" s="49"/>
      <c r="IE595" s="49"/>
      <c r="IF595" s="49"/>
      <c r="IH595" s="49"/>
      <c r="II595" s="49"/>
      <c r="IK595" s="49"/>
      <c r="IL595" s="49"/>
      <c r="IN595" s="49"/>
      <c r="IO595" s="49"/>
      <c r="IQ595" s="49"/>
      <c r="IR595" s="49"/>
      <c r="IT595" s="49"/>
      <c r="IU595" s="49"/>
      <c r="IW595" s="49"/>
      <c r="IX595" s="49"/>
      <c r="IZ595" s="49"/>
      <c r="JA595" s="49"/>
      <c r="JC595" s="49"/>
      <c r="JD595" s="49"/>
      <c r="JF595" s="49"/>
      <c r="JG595" s="49"/>
      <c r="JI595" s="49"/>
      <c r="JJ595" s="49"/>
      <c r="JL595" s="49"/>
      <c r="JM595" s="49"/>
      <c r="JO595" s="49"/>
      <c r="JP595" s="49"/>
      <c r="JR595" s="49"/>
    </row>
    <row r="596" spans="237:278">
      <c r="IC596" s="49"/>
      <c r="IE596" s="49"/>
      <c r="IF596" s="49"/>
      <c r="IH596" s="49"/>
      <c r="II596" s="49"/>
      <c r="IK596" s="49"/>
      <c r="IL596" s="49"/>
      <c r="IN596" s="49"/>
      <c r="IO596" s="49"/>
      <c r="IQ596" s="49"/>
      <c r="IR596" s="49"/>
      <c r="IT596" s="49"/>
      <c r="IU596" s="49"/>
      <c r="IW596" s="49"/>
      <c r="IX596" s="49"/>
      <c r="IZ596" s="49"/>
      <c r="JA596" s="49"/>
      <c r="JC596" s="49"/>
      <c r="JD596" s="49"/>
      <c r="JF596" s="49"/>
      <c r="JG596" s="49"/>
      <c r="JI596" s="49"/>
      <c r="JJ596" s="49"/>
      <c r="JL596" s="49"/>
      <c r="JM596" s="49"/>
      <c r="JO596" s="49"/>
      <c r="JP596" s="49"/>
      <c r="JR596" s="49"/>
    </row>
    <row r="597" spans="237:278">
      <c r="IC597" s="49"/>
      <c r="IE597" s="49"/>
      <c r="IF597" s="49"/>
      <c r="IH597" s="49"/>
      <c r="II597" s="49"/>
      <c r="IK597" s="49"/>
      <c r="IL597" s="49"/>
      <c r="IN597" s="49"/>
      <c r="IO597" s="49"/>
      <c r="IQ597" s="49"/>
      <c r="IR597" s="49"/>
      <c r="IT597" s="49"/>
      <c r="IU597" s="49"/>
      <c r="IW597" s="49"/>
      <c r="IX597" s="49"/>
      <c r="IZ597" s="49"/>
      <c r="JA597" s="49"/>
      <c r="JC597" s="49"/>
      <c r="JD597" s="49"/>
      <c r="JF597" s="49"/>
      <c r="JG597" s="49"/>
      <c r="JI597" s="49"/>
      <c r="JJ597" s="49"/>
      <c r="JL597" s="49"/>
      <c r="JM597" s="49"/>
      <c r="JO597" s="49"/>
      <c r="JP597" s="49"/>
      <c r="JR597" s="49"/>
    </row>
    <row r="598" spans="237:278">
      <c r="IC598" s="49"/>
      <c r="IE598" s="49"/>
      <c r="IF598" s="49"/>
      <c r="IH598" s="49"/>
      <c r="II598" s="49"/>
      <c r="IK598" s="49"/>
      <c r="IL598" s="49"/>
      <c r="IN598" s="49"/>
      <c r="IO598" s="49"/>
      <c r="IQ598" s="49"/>
      <c r="IR598" s="49"/>
      <c r="IT598" s="49"/>
      <c r="IU598" s="49"/>
      <c r="IW598" s="49"/>
      <c r="IX598" s="49"/>
      <c r="IZ598" s="49"/>
      <c r="JA598" s="49"/>
      <c r="JC598" s="49"/>
      <c r="JD598" s="49"/>
      <c r="JF598" s="49"/>
      <c r="JG598" s="49"/>
      <c r="JI598" s="49"/>
      <c r="JJ598" s="49"/>
      <c r="JL598" s="49"/>
      <c r="JM598" s="49"/>
      <c r="JO598" s="49"/>
      <c r="JP598" s="49"/>
      <c r="JR598" s="49"/>
    </row>
    <row r="599" spans="237:278">
      <c r="IC599" s="49"/>
      <c r="IE599" s="49"/>
      <c r="IF599" s="49"/>
      <c r="IH599" s="49"/>
      <c r="II599" s="49"/>
      <c r="IK599" s="49"/>
      <c r="IL599" s="49"/>
      <c r="IN599" s="49"/>
      <c r="IO599" s="49"/>
      <c r="IQ599" s="49"/>
      <c r="IR599" s="49"/>
      <c r="IT599" s="49"/>
      <c r="IU599" s="49"/>
      <c r="IW599" s="49"/>
      <c r="IX599" s="49"/>
      <c r="IZ599" s="49"/>
      <c r="JA599" s="49"/>
      <c r="JC599" s="49"/>
      <c r="JD599" s="49"/>
      <c r="JF599" s="49"/>
      <c r="JG599" s="49"/>
      <c r="JI599" s="49"/>
      <c r="JJ599" s="49"/>
      <c r="JL599" s="49"/>
      <c r="JM599" s="49"/>
      <c r="JO599" s="49"/>
      <c r="JP599" s="49"/>
      <c r="JR599" s="49"/>
    </row>
    <row r="600" spans="237:278">
      <c r="IC600" s="49"/>
      <c r="IE600" s="49"/>
      <c r="IF600" s="49"/>
      <c r="IH600" s="49"/>
      <c r="II600" s="49"/>
      <c r="IK600" s="49"/>
      <c r="IL600" s="49"/>
      <c r="IN600" s="49"/>
      <c r="IO600" s="49"/>
      <c r="IQ600" s="49"/>
      <c r="IR600" s="49"/>
      <c r="IT600" s="49"/>
      <c r="IU600" s="49"/>
      <c r="IW600" s="49"/>
      <c r="IX600" s="49"/>
      <c r="IZ600" s="49"/>
      <c r="JA600" s="49"/>
      <c r="JC600" s="49"/>
      <c r="JD600" s="49"/>
      <c r="JF600" s="49"/>
      <c r="JG600" s="49"/>
      <c r="JI600" s="49"/>
      <c r="JJ600" s="49"/>
      <c r="JL600" s="49"/>
      <c r="JM600" s="49"/>
      <c r="JO600" s="49"/>
      <c r="JP600" s="49"/>
      <c r="JR600" s="49"/>
    </row>
    <row r="601" spans="237:278">
      <c r="IC601" s="49"/>
      <c r="IE601" s="49"/>
      <c r="IF601" s="49"/>
      <c r="IH601" s="49"/>
      <c r="II601" s="49"/>
      <c r="IK601" s="49"/>
      <c r="IL601" s="49"/>
      <c r="IN601" s="49"/>
      <c r="IO601" s="49"/>
      <c r="IQ601" s="49"/>
      <c r="IR601" s="49"/>
      <c r="IT601" s="49"/>
      <c r="IU601" s="49"/>
      <c r="IW601" s="49"/>
      <c r="IX601" s="49"/>
      <c r="IZ601" s="49"/>
      <c r="JA601" s="49"/>
      <c r="JC601" s="49"/>
      <c r="JD601" s="49"/>
      <c r="JF601" s="49"/>
      <c r="JG601" s="49"/>
      <c r="JI601" s="49"/>
      <c r="JJ601" s="49"/>
      <c r="JL601" s="49"/>
      <c r="JM601" s="49"/>
      <c r="JO601" s="49"/>
      <c r="JP601" s="49"/>
      <c r="JR601" s="49"/>
    </row>
    <row r="602" spans="237:278">
      <c r="IC602" s="49"/>
      <c r="IE602" s="49"/>
      <c r="IF602" s="49"/>
      <c r="IH602" s="49"/>
      <c r="II602" s="49"/>
      <c r="IK602" s="49"/>
      <c r="IL602" s="49"/>
      <c r="IN602" s="49"/>
      <c r="IO602" s="49"/>
      <c r="IQ602" s="49"/>
      <c r="IR602" s="49"/>
      <c r="IT602" s="49"/>
      <c r="IU602" s="49"/>
      <c r="IW602" s="49"/>
      <c r="IX602" s="49"/>
      <c r="IZ602" s="49"/>
      <c r="JA602" s="49"/>
      <c r="JC602" s="49"/>
      <c r="JD602" s="49"/>
      <c r="JF602" s="49"/>
      <c r="JG602" s="49"/>
      <c r="JI602" s="49"/>
      <c r="JJ602" s="49"/>
      <c r="JL602" s="49"/>
      <c r="JM602" s="49"/>
      <c r="JO602" s="49"/>
      <c r="JP602" s="49"/>
      <c r="JR602" s="49"/>
    </row>
    <row r="603" spans="237:278">
      <c r="IC603" s="49"/>
      <c r="IE603" s="49"/>
      <c r="IF603" s="49"/>
      <c r="IH603" s="49"/>
      <c r="II603" s="49"/>
      <c r="IK603" s="49"/>
      <c r="IL603" s="49"/>
      <c r="IN603" s="49"/>
      <c r="IO603" s="49"/>
      <c r="IQ603" s="49"/>
      <c r="IR603" s="49"/>
      <c r="IT603" s="49"/>
      <c r="IU603" s="49"/>
      <c r="IW603" s="49"/>
      <c r="IX603" s="49"/>
      <c r="IZ603" s="49"/>
      <c r="JA603" s="49"/>
      <c r="JC603" s="49"/>
      <c r="JD603" s="49"/>
      <c r="JF603" s="49"/>
      <c r="JG603" s="49"/>
      <c r="JI603" s="49"/>
      <c r="JJ603" s="49"/>
      <c r="JL603" s="49"/>
      <c r="JM603" s="49"/>
      <c r="JO603" s="49"/>
      <c r="JP603" s="49"/>
      <c r="JR603" s="49"/>
    </row>
    <row r="604" spans="237:278">
      <c r="IC604" s="49"/>
      <c r="IE604" s="49"/>
      <c r="IF604" s="49"/>
      <c r="IH604" s="49"/>
      <c r="II604" s="49"/>
      <c r="IK604" s="49"/>
      <c r="IL604" s="49"/>
      <c r="IN604" s="49"/>
      <c r="IO604" s="49"/>
      <c r="IQ604" s="49"/>
      <c r="IR604" s="49"/>
      <c r="IT604" s="49"/>
      <c r="IU604" s="49"/>
      <c r="IW604" s="49"/>
      <c r="IX604" s="49"/>
      <c r="IZ604" s="49"/>
      <c r="JA604" s="49"/>
      <c r="JC604" s="49"/>
      <c r="JD604" s="49"/>
      <c r="JF604" s="49"/>
      <c r="JG604" s="49"/>
      <c r="JI604" s="49"/>
      <c r="JJ604" s="49"/>
      <c r="JL604" s="49"/>
      <c r="JM604" s="49"/>
      <c r="JO604" s="49"/>
      <c r="JP604" s="49"/>
      <c r="JR604" s="49"/>
    </row>
    <row r="605" spans="237:278">
      <c r="IC605" s="49"/>
      <c r="IE605" s="49"/>
      <c r="IF605" s="49"/>
      <c r="IH605" s="49"/>
      <c r="II605" s="49"/>
      <c r="IK605" s="49"/>
      <c r="IL605" s="49"/>
      <c r="IN605" s="49"/>
      <c r="IO605" s="49"/>
      <c r="IQ605" s="49"/>
      <c r="IR605" s="49"/>
      <c r="IT605" s="49"/>
      <c r="IU605" s="49"/>
      <c r="IW605" s="49"/>
      <c r="IX605" s="49"/>
      <c r="IZ605" s="49"/>
      <c r="JA605" s="49"/>
      <c r="JC605" s="49"/>
      <c r="JD605" s="49"/>
      <c r="JF605" s="49"/>
      <c r="JG605" s="49"/>
      <c r="JI605" s="49"/>
      <c r="JJ605" s="49"/>
      <c r="JL605" s="49"/>
      <c r="JM605" s="49"/>
      <c r="JO605" s="49"/>
      <c r="JP605" s="49"/>
      <c r="JR605" s="49"/>
    </row>
    <row r="606" spans="237:278">
      <c r="IC606" s="49"/>
      <c r="IE606" s="49"/>
      <c r="IF606" s="49"/>
      <c r="IH606" s="49"/>
      <c r="II606" s="49"/>
      <c r="IK606" s="49"/>
      <c r="IL606" s="49"/>
      <c r="IN606" s="49"/>
      <c r="IO606" s="49"/>
      <c r="IQ606" s="49"/>
      <c r="IR606" s="49"/>
      <c r="IT606" s="49"/>
      <c r="IU606" s="49"/>
      <c r="IW606" s="49"/>
      <c r="IX606" s="49"/>
      <c r="IZ606" s="49"/>
      <c r="JA606" s="49"/>
      <c r="JC606" s="49"/>
      <c r="JD606" s="49"/>
      <c r="JF606" s="49"/>
      <c r="JG606" s="49"/>
      <c r="JI606" s="49"/>
      <c r="JJ606" s="49"/>
      <c r="JL606" s="49"/>
      <c r="JM606" s="49"/>
      <c r="JO606" s="49"/>
      <c r="JP606" s="49"/>
      <c r="JR606" s="49"/>
    </row>
    <row r="607" spans="237:278">
      <c r="IC607" s="49"/>
      <c r="IE607" s="49"/>
      <c r="IF607" s="49"/>
      <c r="IH607" s="49"/>
      <c r="II607" s="49"/>
      <c r="IK607" s="49"/>
      <c r="IL607" s="49"/>
      <c r="IN607" s="49"/>
      <c r="IO607" s="49"/>
      <c r="IQ607" s="49"/>
      <c r="IR607" s="49"/>
      <c r="IT607" s="49"/>
      <c r="IU607" s="49"/>
      <c r="IW607" s="49"/>
      <c r="IX607" s="49"/>
      <c r="IZ607" s="49"/>
      <c r="JA607" s="49"/>
      <c r="JC607" s="49"/>
      <c r="JD607" s="49"/>
      <c r="JF607" s="49"/>
      <c r="JG607" s="49"/>
      <c r="JI607" s="49"/>
      <c r="JJ607" s="49"/>
      <c r="JL607" s="49"/>
      <c r="JM607" s="49"/>
      <c r="JO607" s="49"/>
      <c r="JP607" s="49"/>
      <c r="JR607" s="49"/>
    </row>
    <row r="608" spans="237:278">
      <c r="IC608" s="49"/>
      <c r="IE608" s="49"/>
      <c r="IF608" s="49"/>
      <c r="IH608" s="49"/>
      <c r="II608" s="49"/>
      <c r="IK608" s="49"/>
      <c r="IL608" s="49"/>
      <c r="IN608" s="49"/>
      <c r="IO608" s="49"/>
      <c r="IQ608" s="49"/>
      <c r="IR608" s="49"/>
      <c r="IT608" s="49"/>
      <c r="IU608" s="49"/>
      <c r="IW608" s="49"/>
      <c r="IX608" s="49"/>
      <c r="IZ608" s="49"/>
      <c r="JA608" s="49"/>
      <c r="JC608" s="49"/>
      <c r="JD608" s="49"/>
      <c r="JF608" s="49"/>
      <c r="JG608" s="49"/>
      <c r="JI608" s="49"/>
      <c r="JJ608" s="49"/>
      <c r="JL608" s="49"/>
      <c r="JM608" s="49"/>
      <c r="JO608" s="49"/>
      <c r="JP608" s="49"/>
      <c r="JR608" s="49"/>
    </row>
    <row r="609" spans="237:278">
      <c r="IC609" s="49"/>
      <c r="IE609" s="49"/>
      <c r="IF609" s="49"/>
      <c r="IH609" s="49"/>
      <c r="II609" s="49"/>
      <c r="IK609" s="49"/>
      <c r="IL609" s="49"/>
      <c r="IN609" s="49"/>
      <c r="IO609" s="49"/>
      <c r="IQ609" s="49"/>
      <c r="IR609" s="49"/>
      <c r="IT609" s="49"/>
      <c r="IU609" s="49"/>
      <c r="IW609" s="49"/>
      <c r="IX609" s="49"/>
      <c r="IZ609" s="49"/>
      <c r="JA609" s="49"/>
      <c r="JC609" s="49"/>
      <c r="JD609" s="49"/>
      <c r="JF609" s="49"/>
      <c r="JG609" s="49"/>
      <c r="JI609" s="49"/>
      <c r="JJ609" s="49"/>
      <c r="JL609" s="49"/>
      <c r="JM609" s="49"/>
      <c r="JO609" s="49"/>
      <c r="JP609" s="49"/>
      <c r="JR609" s="49"/>
    </row>
    <row r="610" spans="237:278">
      <c r="IC610" s="49"/>
      <c r="IE610" s="49"/>
      <c r="IF610" s="49"/>
      <c r="IH610" s="49"/>
      <c r="II610" s="49"/>
      <c r="IK610" s="49"/>
      <c r="IL610" s="49"/>
      <c r="IN610" s="49"/>
      <c r="IO610" s="49"/>
      <c r="IQ610" s="49"/>
      <c r="IR610" s="49"/>
      <c r="IT610" s="49"/>
      <c r="IU610" s="49"/>
      <c r="IW610" s="49"/>
      <c r="IX610" s="49"/>
      <c r="IZ610" s="49"/>
      <c r="JA610" s="49"/>
      <c r="JC610" s="49"/>
      <c r="JD610" s="49"/>
      <c r="JF610" s="49"/>
      <c r="JG610" s="49"/>
      <c r="JI610" s="49"/>
      <c r="JJ610" s="49"/>
      <c r="JL610" s="49"/>
      <c r="JM610" s="49"/>
      <c r="JO610" s="49"/>
      <c r="JP610" s="49"/>
      <c r="JR610" s="49"/>
    </row>
    <row r="611" spans="237:278">
      <c r="IC611" s="49"/>
      <c r="IE611" s="49"/>
      <c r="IF611" s="49"/>
      <c r="IH611" s="49"/>
      <c r="II611" s="49"/>
      <c r="IK611" s="49"/>
      <c r="IL611" s="49"/>
      <c r="IN611" s="49"/>
      <c r="IO611" s="49"/>
      <c r="IQ611" s="49"/>
      <c r="IR611" s="49"/>
      <c r="IT611" s="49"/>
      <c r="IU611" s="49"/>
      <c r="IW611" s="49"/>
      <c r="IX611" s="49"/>
      <c r="IZ611" s="49"/>
      <c r="JA611" s="49"/>
      <c r="JC611" s="49"/>
      <c r="JD611" s="49"/>
      <c r="JF611" s="49"/>
      <c r="JG611" s="49"/>
      <c r="JI611" s="49"/>
      <c r="JJ611" s="49"/>
      <c r="JL611" s="49"/>
      <c r="JM611" s="49"/>
      <c r="JO611" s="49"/>
      <c r="JP611" s="49"/>
      <c r="JR611" s="49"/>
    </row>
    <row r="612" spans="237:278">
      <c r="IC612" s="49"/>
      <c r="IE612" s="49"/>
      <c r="IF612" s="49"/>
      <c r="IH612" s="49"/>
      <c r="II612" s="49"/>
      <c r="IK612" s="49"/>
      <c r="IL612" s="49"/>
      <c r="IN612" s="49"/>
      <c r="IO612" s="49"/>
      <c r="IQ612" s="49"/>
      <c r="IR612" s="49"/>
      <c r="IT612" s="49"/>
      <c r="IU612" s="49"/>
      <c r="IW612" s="49"/>
      <c r="IX612" s="49"/>
      <c r="IZ612" s="49"/>
      <c r="JA612" s="49"/>
      <c r="JC612" s="49"/>
      <c r="JD612" s="49"/>
      <c r="JF612" s="49"/>
      <c r="JG612" s="49"/>
      <c r="JI612" s="49"/>
      <c r="JJ612" s="49"/>
      <c r="JL612" s="49"/>
      <c r="JM612" s="49"/>
      <c r="JO612" s="49"/>
      <c r="JP612" s="49"/>
      <c r="JR612" s="49"/>
    </row>
    <row r="613" spans="237:278">
      <c r="IC613" s="49"/>
      <c r="IE613" s="49"/>
      <c r="IF613" s="49"/>
      <c r="IH613" s="49"/>
      <c r="II613" s="49"/>
      <c r="IK613" s="49"/>
      <c r="IL613" s="49"/>
      <c r="IN613" s="49"/>
      <c r="IO613" s="49"/>
      <c r="IQ613" s="49"/>
      <c r="IR613" s="49"/>
      <c r="IT613" s="49"/>
      <c r="IU613" s="49"/>
      <c r="IW613" s="49"/>
      <c r="IX613" s="49"/>
      <c r="IZ613" s="49"/>
      <c r="JA613" s="49"/>
      <c r="JC613" s="49"/>
      <c r="JD613" s="49"/>
      <c r="JF613" s="49"/>
      <c r="JG613" s="49"/>
      <c r="JI613" s="49"/>
      <c r="JJ613" s="49"/>
      <c r="JL613" s="49"/>
      <c r="JM613" s="49"/>
      <c r="JO613" s="49"/>
      <c r="JP613" s="49"/>
      <c r="JR613" s="49"/>
    </row>
    <row r="614" spans="237:278">
      <c r="IC614" s="49"/>
      <c r="IE614" s="49"/>
      <c r="IF614" s="49"/>
      <c r="IH614" s="49"/>
      <c r="II614" s="49"/>
      <c r="IK614" s="49"/>
      <c r="IL614" s="49"/>
      <c r="IN614" s="49"/>
      <c r="IO614" s="49"/>
      <c r="IQ614" s="49"/>
      <c r="IR614" s="49"/>
      <c r="IT614" s="49"/>
      <c r="IU614" s="49"/>
      <c r="IW614" s="49"/>
      <c r="IX614" s="49"/>
      <c r="IZ614" s="49"/>
      <c r="JA614" s="49"/>
      <c r="JC614" s="49"/>
      <c r="JD614" s="49"/>
      <c r="JF614" s="49"/>
      <c r="JG614" s="49"/>
      <c r="JI614" s="49"/>
      <c r="JJ614" s="49"/>
      <c r="JL614" s="49"/>
      <c r="JM614" s="49"/>
      <c r="JO614" s="49"/>
      <c r="JP614" s="49"/>
      <c r="JR614" s="49"/>
    </row>
    <row r="615" spans="237:278">
      <c r="IC615" s="49"/>
      <c r="IE615" s="49"/>
      <c r="IF615" s="49"/>
      <c r="IH615" s="49"/>
      <c r="II615" s="49"/>
      <c r="IK615" s="49"/>
      <c r="IL615" s="49"/>
      <c r="IN615" s="49"/>
      <c r="IO615" s="49"/>
      <c r="IQ615" s="49"/>
      <c r="IR615" s="49"/>
      <c r="IT615" s="49"/>
      <c r="IU615" s="49"/>
      <c r="IW615" s="49"/>
      <c r="IX615" s="49"/>
      <c r="IZ615" s="49"/>
      <c r="JA615" s="49"/>
      <c r="JC615" s="49"/>
      <c r="JD615" s="49"/>
      <c r="JF615" s="49"/>
      <c r="JG615" s="49"/>
      <c r="JI615" s="49"/>
      <c r="JJ615" s="49"/>
      <c r="JL615" s="49"/>
      <c r="JM615" s="49"/>
      <c r="JO615" s="49"/>
      <c r="JP615" s="49"/>
      <c r="JR615" s="49"/>
    </row>
    <row r="616" spans="237:278">
      <c r="IC616" s="49"/>
      <c r="IE616" s="49"/>
      <c r="IF616" s="49"/>
      <c r="IH616" s="49"/>
      <c r="II616" s="49"/>
      <c r="IK616" s="49"/>
      <c r="IL616" s="49"/>
      <c r="IN616" s="49"/>
      <c r="IO616" s="49"/>
      <c r="IQ616" s="49"/>
      <c r="IR616" s="49"/>
      <c r="IT616" s="49"/>
      <c r="IU616" s="49"/>
      <c r="IW616" s="49"/>
      <c r="IX616" s="49"/>
      <c r="IZ616" s="49"/>
      <c r="JA616" s="49"/>
      <c r="JC616" s="49"/>
      <c r="JD616" s="49"/>
      <c r="JF616" s="49"/>
      <c r="JG616" s="49"/>
      <c r="JI616" s="49"/>
      <c r="JJ616" s="49"/>
      <c r="JL616" s="49"/>
      <c r="JM616" s="49"/>
      <c r="JO616" s="49"/>
      <c r="JP616" s="49"/>
      <c r="JR616" s="49"/>
    </row>
    <row r="617" spans="237:278">
      <c r="IC617" s="49"/>
      <c r="IE617" s="49"/>
      <c r="IF617" s="49"/>
      <c r="IH617" s="49"/>
      <c r="II617" s="49"/>
      <c r="IK617" s="49"/>
      <c r="IL617" s="49"/>
      <c r="IN617" s="49"/>
      <c r="IO617" s="49"/>
      <c r="IQ617" s="49"/>
      <c r="IR617" s="49"/>
      <c r="IT617" s="49"/>
      <c r="IU617" s="49"/>
      <c r="IW617" s="49"/>
      <c r="IX617" s="49"/>
      <c r="IZ617" s="49"/>
      <c r="JA617" s="49"/>
      <c r="JC617" s="49"/>
      <c r="JD617" s="49"/>
      <c r="JF617" s="49"/>
      <c r="JG617" s="49"/>
      <c r="JI617" s="49"/>
      <c r="JJ617" s="49"/>
      <c r="JL617" s="49"/>
      <c r="JM617" s="49"/>
      <c r="JO617" s="49"/>
      <c r="JP617" s="49"/>
      <c r="JR617" s="49"/>
    </row>
    <row r="618" spans="237:278">
      <c r="IC618" s="49"/>
      <c r="IE618" s="49"/>
      <c r="IF618" s="49"/>
      <c r="IH618" s="49"/>
      <c r="II618" s="49"/>
      <c r="IK618" s="49"/>
      <c r="IL618" s="49"/>
      <c r="IN618" s="49"/>
      <c r="IO618" s="49"/>
      <c r="IQ618" s="49"/>
      <c r="IR618" s="49"/>
      <c r="IT618" s="49"/>
      <c r="IU618" s="49"/>
      <c r="IW618" s="49"/>
      <c r="IX618" s="49"/>
      <c r="IZ618" s="49"/>
      <c r="JA618" s="49"/>
      <c r="JC618" s="49"/>
      <c r="JD618" s="49"/>
      <c r="JF618" s="49"/>
      <c r="JG618" s="49"/>
      <c r="JI618" s="49"/>
      <c r="JJ618" s="49"/>
      <c r="JL618" s="49"/>
      <c r="JM618" s="49"/>
      <c r="JO618" s="49"/>
      <c r="JP618" s="49"/>
      <c r="JR618" s="49"/>
    </row>
    <row r="619" spans="237:278">
      <c r="IC619" s="49"/>
      <c r="IE619" s="49"/>
      <c r="IF619" s="49"/>
      <c r="IH619" s="49"/>
      <c r="II619" s="49"/>
      <c r="IK619" s="49"/>
      <c r="IL619" s="49"/>
      <c r="IN619" s="49"/>
      <c r="IO619" s="49"/>
      <c r="IQ619" s="49"/>
      <c r="IR619" s="49"/>
      <c r="IT619" s="49"/>
      <c r="IU619" s="49"/>
      <c r="IW619" s="49"/>
      <c r="IX619" s="49"/>
      <c r="IZ619" s="49"/>
      <c r="JA619" s="49"/>
      <c r="JC619" s="49"/>
      <c r="JD619" s="49"/>
      <c r="JF619" s="49"/>
      <c r="JG619" s="49"/>
      <c r="JI619" s="49"/>
      <c r="JJ619" s="49"/>
      <c r="JL619" s="49"/>
      <c r="JM619" s="49"/>
      <c r="JO619" s="49"/>
      <c r="JP619" s="49"/>
      <c r="JR619" s="49"/>
    </row>
    <row r="620" spans="237:278">
      <c r="IC620" s="49"/>
      <c r="IE620" s="49"/>
      <c r="IF620" s="49"/>
      <c r="IH620" s="49"/>
      <c r="II620" s="49"/>
      <c r="IK620" s="49"/>
      <c r="IL620" s="49"/>
      <c r="IN620" s="49"/>
      <c r="IO620" s="49"/>
      <c r="IQ620" s="49"/>
      <c r="IR620" s="49"/>
      <c r="IT620" s="49"/>
      <c r="IU620" s="49"/>
      <c r="IW620" s="49"/>
      <c r="IX620" s="49"/>
      <c r="IZ620" s="49"/>
      <c r="JA620" s="49"/>
      <c r="JC620" s="49"/>
      <c r="JD620" s="49"/>
      <c r="JF620" s="49"/>
      <c r="JG620" s="49"/>
      <c r="JI620" s="49"/>
      <c r="JJ620" s="49"/>
      <c r="JL620" s="49"/>
      <c r="JM620" s="49"/>
      <c r="JO620" s="49"/>
      <c r="JP620" s="49"/>
      <c r="JR620" s="49"/>
    </row>
    <row r="621" spans="237:278">
      <c r="IC621" s="49"/>
      <c r="IE621" s="49"/>
      <c r="IF621" s="49"/>
      <c r="IH621" s="49"/>
      <c r="II621" s="49"/>
      <c r="IK621" s="49"/>
      <c r="IL621" s="49"/>
      <c r="IN621" s="49"/>
      <c r="IO621" s="49"/>
      <c r="IQ621" s="49"/>
      <c r="IR621" s="49"/>
      <c r="IT621" s="49"/>
      <c r="IU621" s="49"/>
      <c r="IW621" s="49"/>
      <c r="IX621" s="49"/>
      <c r="IZ621" s="49"/>
      <c r="JA621" s="49"/>
      <c r="JC621" s="49"/>
      <c r="JD621" s="49"/>
      <c r="JF621" s="49"/>
      <c r="JG621" s="49"/>
      <c r="JI621" s="49"/>
      <c r="JJ621" s="49"/>
      <c r="JL621" s="49"/>
      <c r="JM621" s="49"/>
      <c r="JO621" s="49"/>
      <c r="JP621" s="49"/>
      <c r="JR621" s="49"/>
    </row>
    <row r="622" spans="237:278">
      <c r="IC622" s="49"/>
      <c r="IE622" s="49"/>
      <c r="IF622" s="49"/>
      <c r="IH622" s="49"/>
      <c r="II622" s="49"/>
      <c r="IK622" s="49"/>
      <c r="IL622" s="49"/>
      <c r="IN622" s="49"/>
      <c r="IO622" s="49"/>
      <c r="IQ622" s="49"/>
      <c r="IR622" s="49"/>
      <c r="IT622" s="49"/>
      <c r="IU622" s="49"/>
      <c r="IW622" s="49"/>
      <c r="IX622" s="49"/>
      <c r="IZ622" s="49"/>
      <c r="JA622" s="49"/>
      <c r="JC622" s="49"/>
      <c r="JD622" s="49"/>
      <c r="JF622" s="49"/>
      <c r="JG622" s="49"/>
      <c r="JI622" s="49"/>
      <c r="JJ622" s="49"/>
      <c r="JL622" s="49"/>
      <c r="JM622" s="49"/>
      <c r="JO622" s="49"/>
      <c r="JP622" s="49"/>
      <c r="JR622" s="49"/>
    </row>
    <row r="623" spans="237:278">
      <c r="IC623" s="49"/>
      <c r="IE623" s="49"/>
      <c r="IF623" s="49"/>
      <c r="IH623" s="49"/>
      <c r="II623" s="49"/>
      <c r="IK623" s="49"/>
      <c r="IL623" s="49"/>
      <c r="IN623" s="49"/>
      <c r="IO623" s="49"/>
      <c r="IQ623" s="49"/>
      <c r="IR623" s="49"/>
      <c r="IT623" s="49"/>
      <c r="IU623" s="49"/>
      <c r="IW623" s="49"/>
      <c r="IX623" s="49"/>
      <c r="IZ623" s="49"/>
      <c r="JA623" s="49"/>
      <c r="JC623" s="49"/>
      <c r="JD623" s="49"/>
      <c r="JF623" s="49"/>
      <c r="JG623" s="49"/>
      <c r="JI623" s="49"/>
      <c r="JJ623" s="49"/>
      <c r="JL623" s="49"/>
      <c r="JM623" s="49"/>
      <c r="JO623" s="49"/>
      <c r="JP623" s="49"/>
      <c r="JR623" s="49"/>
    </row>
    <row r="624" spans="237:278">
      <c r="IC624" s="49"/>
      <c r="IE624" s="49"/>
      <c r="IF624" s="49"/>
      <c r="IH624" s="49"/>
      <c r="II624" s="49"/>
      <c r="IK624" s="49"/>
      <c r="IL624" s="49"/>
      <c r="IN624" s="49"/>
      <c r="IO624" s="49"/>
      <c r="IQ624" s="49"/>
      <c r="IR624" s="49"/>
      <c r="IT624" s="49"/>
      <c r="IU624" s="49"/>
      <c r="IW624" s="49"/>
      <c r="IX624" s="49"/>
      <c r="IZ624" s="49"/>
      <c r="JA624" s="49"/>
      <c r="JC624" s="49"/>
      <c r="JD624" s="49"/>
      <c r="JF624" s="49"/>
      <c r="JG624" s="49"/>
      <c r="JI624" s="49"/>
      <c r="JJ624" s="49"/>
      <c r="JL624" s="49"/>
      <c r="JM624" s="49"/>
      <c r="JO624" s="49"/>
      <c r="JP624" s="49"/>
      <c r="JR624" s="49"/>
    </row>
    <row r="625" spans="237:278">
      <c r="IC625" s="49"/>
      <c r="IE625" s="49"/>
      <c r="IF625" s="49"/>
      <c r="IH625" s="49"/>
      <c r="II625" s="49"/>
      <c r="IK625" s="49"/>
      <c r="IL625" s="49"/>
      <c r="IN625" s="49"/>
      <c r="IO625" s="49"/>
      <c r="IQ625" s="49"/>
      <c r="IR625" s="49"/>
      <c r="IT625" s="49"/>
      <c r="IU625" s="49"/>
      <c r="IW625" s="49"/>
      <c r="IX625" s="49"/>
      <c r="IZ625" s="49"/>
      <c r="JA625" s="49"/>
      <c r="JC625" s="49"/>
      <c r="JD625" s="49"/>
      <c r="JF625" s="49"/>
      <c r="JG625" s="49"/>
      <c r="JI625" s="49"/>
      <c r="JJ625" s="49"/>
      <c r="JL625" s="49"/>
      <c r="JM625" s="49"/>
      <c r="JO625" s="49"/>
      <c r="JP625" s="49"/>
      <c r="JR625" s="49"/>
    </row>
    <row r="626" spans="237:278">
      <c r="IC626" s="49"/>
      <c r="IE626" s="49"/>
      <c r="IF626" s="49"/>
      <c r="IH626" s="49"/>
      <c r="II626" s="49"/>
      <c r="IK626" s="49"/>
      <c r="IL626" s="49"/>
      <c r="IN626" s="49"/>
      <c r="IO626" s="49"/>
      <c r="IQ626" s="49"/>
      <c r="IR626" s="49"/>
      <c r="IT626" s="49"/>
      <c r="IU626" s="49"/>
      <c r="IW626" s="49"/>
      <c r="IX626" s="49"/>
      <c r="IZ626" s="49"/>
      <c r="JA626" s="49"/>
      <c r="JC626" s="49"/>
      <c r="JD626" s="49"/>
      <c r="JF626" s="49"/>
      <c r="JG626" s="49"/>
      <c r="JI626" s="49"/>
      <c r="JJ626" s="49"/>
      <c r="JL626" s="49"/>
      <c r="JM626" s="49"/>
      <c r="JO626" s="49"/>
      <c r="JP626" s="49"/>
      <c r="JR626" s="49"/>
    </row>
    <row r="627" spans="237:278">
      <c r="IC627" s="49"/>
      <c r="IE627" s="49"/>
      <c r="IF627" s="49"/>
      <c r="IH627" s="49"/>
      <c r="II627" s="49"/>
      <c r="IK627" s="49"/>
      <c r="IL627" s="49"/>
      <c r="IN627" s="49"/>
      <c r="IO627" s="49"/>
      <c r="IQ627" s="49"/>
      <c r="IR627" s="49"/>
      <c r="IT627" s="49"/>
      <c r="IU627" s="49"/>
      <c r="IW627" s="49"/>
      <c r="IX627" s="49"/>
      <c r="IZ627" s="49"/>
      <c r="JA627" s="49"/>
      <c r="JC627" s="49"/>
      <c r="JD627" s="49"/>
      <c r="JF627" s="49"/>
      <c r="JG627" s="49"/>
      <c r="JI627" s="49"/>
      <c r="JJ627" s="49"/>
      <c r="JL627" s="49"/>
      <c r="JM627" s="49"/>
      <c r="JO627" s="49"/>
      <c r="JP627" s="49"/>
      <c r="JR627" s="49"/>
    </row>
    <row r="628" spans="237:278">
      <c r="IC628" s="49"/>
      <c r="IE628" s="49"/>
      <c r="IF628" s="49"/>
      <c r="IH628" s="49"/>
      <c r="II628" s="49"/>
      <c r="IK628" s="49"/>
      <c r="IL628" s="49"/>
      <c r="IN628" s="49"/>
      <c r="IO628" s="49"/>
      <c r="IQ628" s="49"/>
      <c r="IR628" s="49"/>
      <c r="IT628" s="49"/>
      <c r="IU628" s="49"/>
      <c r="IW628" s="49"/>
      <c r="IX628" s="49"/>
      <c r="IZ628" s="49"/>
      <c r="JA628" s="49"/>
      <c r="JC628" s="49"/>
      <c r="JD628" s="49"/>
      <c r="JF628" s="49"/>
      <c r="JG628" s="49"/>
      <c r="JI628" s="49"/>
      <c r="JJ628" s="49"/>
      <c r="JL628" s="49"/>
      <c r="JM628" s="49"/>
      <c r="JO628" s="49"/>
      <c r="JP628" s="49"/>
      <c r="JR628" s="49"/>
    </row>
    <row r="629" spans="237:278">
      <c r="IC629" s="49"/>
      <c r="IE629" s="49"/>
      <c r="IF629" s="49"/>
      <c r="IH629" s="49"/>
      <c r="II629" s="49"/>
      <c r="IK629" s="49"/>
      <c r="IL629" s="49"/>
      <c r="IN629" s="49"/>
      <c r="IO629" s="49"/>
      <c r="IQ629" s="49"/>
      <c r="IR629" s="49"/>
      <c r="IT629" s="49"/>
      <c r="IU629" s="49"/>
      <c r="IW629" s="49"/>
      <c r="IX629" s="49"/>
      <c r="IZ629" s="49"/>
      <c r="JA629" s="49"/>
      <c r="JC629" s="49"/>
      <c r="JD629" s="49"/>
      <c r="JF629" s="49"/>
      <c r="JG629" s="49"/>
      <c r="JI629" s="49"/>
      <c r="JJ629" s="49"/>
      <c r="JL629" s="49"/>
      <c r="JM629" s="49"/>
      <c r="JO629" s="49"/>
      <c r="JP629" s="49"/>
      <c r="JR629" s="49"/>
    </row>
    <row r="630" spans="237:278">
      <c r="IC630" s="49"/>
      <c r="IE630" s="49"/>
      <c r="IF630" s="49"/>
      <c r="IH630" s="49"/>
      <c r="II630" s="49"/>
      <c r="IK630" s="49"/>
      <c r="IL630" s="49"/>
      <c r="IN630" s="49"/>
      <c r="IO630" s="49"/>
      <c r="IQ630" s="49"/>
      <c r="IR630" s="49"/>
      <c r="IT630" s="49"/>
      <c r="IU630" s="49"/>
      <c r="IW630" s="49"/>
      <c r="IX630" s="49"/>
      <c r="IZ630" s="49"/>
      <c r="JA630" s="49"/>
      <c r="JC630" s="49"/>
      <c r="JD630" s="49"/>
      <c r="JF630" s="49"/>
      <c r="JG630" s="49"/>
      <c r="JI630" s="49"/>
      <c r="JJ630" s="49"/>
      <c r="JL630" s="49"/>
      <c r="JM630" s="49"/>
      <c r="JO630" s="49"/>
      <c r="JP630" s="49"/>
      <c r="JR630" s="49"/>
    </row>
    <row r="631" spans="237:278">
      <c r="IC631" s="49"/>
      <c r="IE631" s="49"/>
      <c r="IF631" s="49"/>
      <c r="IH631" s="49"/>
      <c r="II631" s="49"/>
      <c r="IK631" s="49"/>
      <c r="IL631" s="49"/>
      <c r="IN631" s="49"/>
      <c r="IO631" s="49"/>
      <c r="IQ631" s="49"/>
      <c r="IR631" s="49"/>
      <c r="IT631" s="49"/>
      <c r="IU631" s="49"/>
      <c r="IW631" s="49"/>
      <c r="IX631" s="49"/>
      <c r="IZ631" s="49"/>
      <c r="JA631" s="49"/>
      <c r="JC631" s="49"/>
      <c r="JD631" s="49"/>
      <c r="JF631" s="49"/>
      <c r="JG631" s="49"/>
      <c r="JI631" s="49"/>
      <c r="JJ631" s="49"/>
      <c r="JL631" s="49"/>
      <c r="JM631" s="49"/>
      <c r="JO631" s="49"/>
      <c r="JP631" s="49"/>
      <c r="JR631" s="49"/>
    </row>
    <row r="632" spans="237:278">
      <c r="IC632" s="49"/>
      <c r="IE632" s="49"/>
      <c r="IF632" s="49"/>
      <c r="IH632" s="49"/>
      <c r="II632" s="49"/>
      <c r="IK632" s="49"/>
      <c r="IL632" s="49"/>
      <c r="IN632" s="49"/>
      <c r="IO632" s="49"/>
      <c r="IQ632" s="49"/>
      <c r="IR632" s="49"/>
      <c r="IT632" s="49"/>
      <c r="IU632" s="49"/>
      <c r="IW632" s="49"/>
      <c r="IX632" s="49"/>
      <c r="IZ632" s="49"/>
      <c r="JA632" s="49"/>
      <c r="JC632" s="49"/>
      <c r="JD632" s="49"/>
      <c r="JF632" s="49"/>
      <c r="JG632" s="49"/>
      <c r="JI632" s="49"/>
      <c r="JJ632" s="49"/>
      <c r="JL632" s="49"/>
      <c r="JM632" s="49"/>
      <c r="JO632" s="49"/>
      <c r="JP632" s="49"/>
      <c r="JR632" s="49"/>
    </row>
    <row r="633" spans="237:278">
      <c r="IC633" s="49"/>
      <c r="IE633" s="49"/>
      <c r="IF633" s="49"/>
      <c r="IH633" s="49"/>
      <c r="II633" s="49"/>
      <c r="IK633" s="49"/>
      <c r="IL633" s="49"/>
      <c r="IN633" s="49"/>
      <c r="IO633" s="49"/>
      <c r="IQ633" s="49"/>
      <c r="IR633" s="49"/>
      <c r="IT633" s="49"/>
      <c r="IU633" s="49"/>
      <c r="IW633" s="49"/>
      <c r="IX633" s="49"/>
      <c r="IZ633" s="49"/>
      <c r="JA633" s="49"/>
      <c r="JC633" s="49"/>
      <c r="JD633" s="49"/>
      <c r="JF633" s="49"/>
      <c r="JG633" s="49"/>
      <c r="JI633" s="49"/>
      <c r="JJ633" s="49"/>
      <c r="JL633" s="49"/>
      <c r="JM633" s="49"/>
      <c r="JO633" s="49"/>
      <c r="JP633" s="49"/>
      <c r="JR633" s="49"/>
    </row>
    <row r="634" spans="237:278">
      <c r="IC634" s="49"/>
      <c r="IE634" s="49"/>
      <c r="IF634" s="49"/>
      <c r="IH634" s="49"/>
      <c r="II634" s="49"/>
      <c r="IK634" s="49"/>
      <c r="IL634" s="49"/>
      <c r="IN634" s="49"/>
      <c r="IO634" s="49"/>
      <c r="IQ634" s="49"/>
      <c r="IR634" s="49"/>
      <c r="IT634" s="49"/>
      <c r="IU634" s="49"/>
      <c r="IW634" s="49"/>
      <c r="IX634" s="49"/>
      <c r="IZ634" s="49"/>
      <c r="JA634" s="49"/>
      <c r="JC634" s="49"/>
      <c r="JD634" s="49"/>
      <c r="JF634" s="49"/>
      <c r="JG634" s="49"/>
      <c r="JI634" s="49"/>
      <c r="JJ634" s="49"/>
      <c r="JL634" s="49"/>
      <c r="JM634" s="49"/>
      <c r="JO634" s="49"/>
      <c r="JP634" s="49"/>
      <c r="JR634" s="49"/>
    </row>
    <row r="635" spans="237:278">
      <c r="IC635" s="49"/>
      <c r="IE635" s="49"/>
      <c r="IF635" s="49"/>
      <c r="IH635" s="49"/>
      <c r="II635" s="49"/>
      <c r="IK635" s="49"/>
      <c r="IL635" s="49"/>
      <c r="IN635" s="49"/>
      <c r="IO635" s="49"/>
      <c r="IQ635" s="49"/>
      <c r="IR635" s="49"/>
      <c r="IT635" s="49"/>
      <c r="IU635" s="49"/>
      <c r="IW635" s="49"/>
      <c r="IX635" s="49"/>
      <c r="IZ635" s="49"/>
      <c r="JA635" s="49"/>
      <c r="JC635" s="49"/>
      <c r="JD635" s="49"/>
      <c r="JF635" s="49"/>
      <c r="JG635" s="49"/>
      <c r="JI635" s="49"/>
      <c r="JJ635" s="49"/>
      <c r="JL635" s="49"/>
      <c r="JM635" s="49"/>
      <c r="JO635" s="49"/>
      <c r="JP635" s="49"/>
      <c r="JR635" s="49"/>
    </row>
    <row r="636" spans="237:278">
      <c r="IC636" s="49"/>
      <c r="IE636" s="49"/>
      <c r="IF636" s="49"/>
      <c r="IH636" s="49"/>
      <c r="II636" s="49"/>
      <c r="IK636" s="49"/>
      <c r="IL636" s="49"/>
      <c r="IN636" s="49"/>
      <c r="IO636" s="49"/>
      <c r="IQ636" s="49"/>
      <c r="IR636" s="49"/>
      <c r="IT636" s="49"/>
      <c r="IU636" s="49"/>
      <c r="IW636" s="49"/>
      <c r="IX636" s="49"/>
      <c r="IZ636" s="49"/>
      <c r="JA636" s="49"/>
      <c r="JC636" s="49"/>
      <c r="JD636" s="49"/>
      <c r="JF636" s="49"/>
      <c r="JG636" s="49"/>
      <c r="JI636" s="49"/>
      <c r="JJ636" s="49"/>
      <c r="JL636" s="49"/>
      <c r="JM636" s="49"/>
      <c r="JO636" s="49"/>
      <c r="JP636" s="49"/>
      <c r="JR636" s="49"/>
    </row>
    <row r="637" spans="237:278">
      <c r="IC637" s="49"/>
      <c r="IE637" s="49"/>
      <c r="IF637" s="49"/>
      <c r="IH637" s="49"/>
      <c r="II637" s="49"/>
      <c r="IK637" s="49"/>
      <c r="IL637" s="49"/>
      <c r="IN637" s="49"/>
      <c r="IO637" s="49"/>
      <c r="IQ637" s="49"/>
      <c r="IR637" s="49"/>
      <c r="IT637" s="49"/>
      <c r="IU637" s="49"/>
      <c r="IW637" s="49"/>
      <c r="IX637" s="49"/>
      <c r="IZ637" s="49"/>
      <c r="JA637" s="49"/>
      <c r="JC637" s="49"/>
      <c r="JD637" s="49"/>
      <c r="JF637" s="49"/>
      <c r="JG637" s="49"/>
      <c r="JI637" s="49"/>
      <c r="JJ637" s="49"/>
      <c r="JL637" s="49"/>
      <c r="JM637" s="49"/>
      <c r="JO637" s="49"/>
      <c r="JP637" s="49"/>
      <c r="JR637" s="49"/>
    </row>
    <row r="638" spans="237:278">
      <c r="IC638" s="49"/>
      <c r="IE638" s="49"/>
      <c r="IF638" s="49"/>
      <c r="IH638" s="49"/>
      <c r="II638" s="49"/>
      <c r="IK638" s="49"/>
      <c r="IL638" s="49"/>
      <c r="IN638" s="49"/>
      <c r="IO638" s="49"/>
      <c r="IQ638" s="49"/>
      <c r="IR638" s="49"/>
      <c r="IT638" s="49"/>
      <c r="IU638" s="49"/>
      <c r="IW638" s="49"/>
      <c r="IX638" s="49"/>
      <c r="IZ638" s="49"/>
      <c r="JA638" s="49"/>
      <c r="JC638" s="49"/>
      <c r="JD638" s="49"/>
      <c r="JF638" s="49"/>
      <c r="JG638" s="49"/>
      <c r="JI638" s="49"/>
      <c r="JJ638" s="49"/>
      <c r="JL638" s="49"/>
      <c r="JM638" s="49"/>
      <c r="JO638" s="49"/>
      <c r="JP638" s="49"/>
      <c r="JR638" s="49"/>
    </row>
    <row r="639" spans="237:278">
      <c r="IC639" s="49"/>
      <c r="IE639" s="49"/>
      <c r="IF639" s="49"/>
      <c r="IH639" s="49"/>
      <c r="II639" s="49"/>
      <c r="IK639" s="49"/>
      <c r="IL639" s="49"/>
      <c r="IN639" s="49"/>
      <c r="IO639" s="49"/>
      <c r="IQ639" s="49"/>
      <c r="IR639" s="49"/>
      <c r="IT639" s="49"/>
      <c r="IU639" s="49"/>
      <c r="IW639" s="49"/>
      <c r="IX639" s="49"/>
      <c r="IZ639" s="49"/>
      <c r="JA639" s="49"/>
      <c r="JC639" s="49"/>
      <c r="JD639" s="49"/>
      <c r="JF639" s="49"/>
      <c r="JG639" s="49"/>
      <c r="JI639" s="49"/>
      <c r="JJ639" s="49"/>
      <c r="JL639" s="49"/>
      <c r="JM639" s="49"/>
      <c r="JO639" s="49"/>
      <c r="JP639" s="49"/>
      <c r="JR639" s="49"/>
    </row>
    <row r="640" spans="237:278">
      <c r="IC640" s="49"/>
      <c r="IE640" s="49"/>
      <c r="IF640" s="49"/>
      <c r="IH640" s="49"/>
      <c r="II640" s="49"/>
      <c r="IK640" s="49"/>
      <c r="IL640" s="49"/>
      <c r="IN640" s="49"/>
      <c r="IO640" s="49"/>
      <c r="IQ640" s="49"/>
      <c r="IR640" s="49"/>
      <c r="IT640" s="49"/>
      <c r="IU640" s="49"/>
      <c r="IW640" s="49"/>
      <c r="IX640" s="49"/>
      <c r="IZ640" s="49"/>
      <c r="JA640" s="49"/>
      <c r="JC640" s="49"/>
      <c r="JD640" s="49"/>
      <c r="JF640" s="49"/>
      <c r="JG640" s="49"/>
      <c r="JI640" s="49"/>
      <c r="JJ640" s="49"/>
      <c r="JL640" s="49"/>
      <c r="JM640" s="49"/>
      <c r="JO640" s="49"/>
      <c r="JP640" s="49"/>
      <c r="JR640" s="49"/>
    </row>
    <row r="641" spans="237:278">
      <c r="IC641" s="49"/>
      <c r="IE641" s="49"/>
      <c r="IF641" s="49"/>
      <c r="IH641" s="49"/>
      <c r="II641" s="49"/>
      <c r="IK641" s="49"/>
      <c r="IL641" s="49"/>
      <c r="IN641" s="49"/>
      <c r="IO641" s="49"/>
      <c r="IQ641" s="49"/>
      <c r="IR641" s="49"/>
      <c r="IT641" s="49"/>
      <c r="IU641" s="49"/>
      <c r="IW641" s="49"/>
      <c r="IX641" s="49"/>
      <c r="IZ641" s="49"/>
      <c r="JA641" s="49"/>
      <c r="JC641" s="49"/>
      <c r="JD641" s="49"/>
      <c r="JF641" s="49"/>
      <c r="JG641" s="49"/>
      <c r="JI641" s="49"/>
      <c r="JJ641" s="49"/>
      <c r="JL641" s="49"/>
      <c r="JM641" s="49"/>
      <c r="JO641" s="49"/>
      <c r="JP641" s="49"/>
      <c r="JR641" s="49"/>
    </row>
    <row r="642" spans="237:278">
      <c r="IC642" s="49"/>
      <c r="IE642" s="49"/>
      <c r="IF642" s="49"/>
      <c r="IH642" s="49"/>
      <c r="II642" s="49"/>
      <c r="IK642" s="49"/>
      <c r="IL642" s="49"/>
      <c r="IN642" s="49"/>
      <c r="IO642" s="49"/>
      <c r="IQ642" s="49"/>
      <c r="IR642" s="49"/>
      <c r="IT642" s="49"/>
      <c r="IU642" s="49"/>
      <c r="IW642" s="49"/>
      <c r="IX642" s="49"/>
      <c r="IZ642" s="49"/>
      <c r="JA642" s="49"/>
      <c r="JC642" s="49"/>
      <c r="JD642" s="49"/>
      <c r="JF642" s="49"/>
      <c r="JG642" s="49"/>
      <c r="JI642" s="49"/>
      <c r="JJ642" s="49"/>
      <c r="JL642" s="49"/>
      <c r="JM642" s="49"/>
      <c r="JO642" s="49"/>
      <c r="JP642" s="49"/>
      <c r="JR642" s="49"/>
    </row>
    <row r="643" spans="237:278">
      <c r="IC643" s="49"/>
      <c r="IE643" s="49"/>
      <c r="IF643" s="49"/>
      <c r="IH643" s="49"/>
      <c r="II643" s="49"/>
      <c r="IK643" s="49"/>
      <c r="IL643" s="49"/>
      <c r="IN643" s="49"/>
      <c r="IO643" s="49"/>
      <c r="IQ643" s="49"/>
      <c r="IR643" s="49"/>
      <c r="IT643" s="49"/>
      <c r="IU643" s="49"/>
      <c r="IW643" s="49"/>
      <c r="IX643" s="49"/>
      <c r="IZ643" s="49"/>
      <c r="JA643" s="49"/>
      <c r="JC643" s="49"/>
      <c r="JD643" s="49"/>
      <c r="JF643" s="49"/>
      <c r="JG643" s="49"/>
      <c r="JI643" s="49"/>
      <c r="JJ643" s="49"/>
      <c r="JL643" s="49"/>
      <c r="JM643" s="49"/>
      <c r="JO643" s="49"/>
      <c r="JP643" s="49"/>
      <c r="JR643" s="49"/>
    </row>
    <row r="644" spans="237:278">
      <c r="IC644" s="49"/>
      <c r="IE644" s="49"/>
      <c r="IF644" s="49"/>
      <c r="IH644" s="49"/>
      <c r="II644" s="49"/>
      <c r="IK644" s="49"/>
      <c r="IL644" s="49"/>
      <c r="IN644" s="49"/>
      <c r="IO644" s="49"/>
      <c r="IQ644" s="49"/>
      <c r="IR644" s="49"/>
      <c r="IT644" s="49"/>
      <c r="IU644" s="49"/>
      <c r="IW644" s="49"/>
      <c r="IX644" s="49"/>
      <c r="IZ644" s="49"/>
      <c r="JA644" s="49"/>
      <c r="JC644" s="49"/>
      <c r="JD644" s="49"/>
      <c r="JF644" s="49"/>
      <c r="JG644" s="49"/>
      <c r="JI644" s="49"/>
      <c r="JJ644" s="49"/>
      <c r="JL644" s="49"/>
      <c r="JM644" s="49"/>
      <c r="JO644" s="49"/>
      <c r="JP644" s="49"/>
      <c r="JR644" s="49"/>
    </row>
    <row r="645" spans="237:278">
      <c r="IC645" s="49"/>
      <c r="IE645" s="49"/>
      <c r="IF645" s="49"/>
      <c r="IH645" s="49"/>
      <c r="II645" s="49"/>
      <c r="IK645" s="49"/>
      <c r="IL645" s="49"/>
      <c r="IN645" s="49"/>
      <c r="IO645" s="49"/>
      <c r="IQ645" s="49"/>
      <c r="IR645" s="49"/>
      <c r="IT645" s="49"/>
      <c r="IU645" s="49"/>
      <c r="IW645" s="49"/>
      <c r="IX645" s="49"/>
      <c r="IZ645" s="49"/>
      <c r="JA645" s="49"/>
      <c r="JC645" s="49"/>
      <c r="JD645" s="49"/>
      <c r="JF645" s="49"/>
      <c r="JG645" s="49"/>
      <c r="JI645" s="49"/>
      <c r="JJ645" s="49"/>
      <c r="JL645" s="49"/>
      <c r="JM645" s="49"/>
      <c r="JO645" s="49"/>
      <c r="JP645" s="49"/>
      <c r="JR645" s="49"/>
    </row>
    <row r="646" spans="237:278">
      <c r="IC646" s="49"/>
      <c r="IE646" s="49"/>
      <c r="IF646" s="49"/>
      <c r="IH646" s="49"/>
      <c r="II646" s="49"/>
      <c r="IK646" s="49"/>
      <c r="IL646" s="49"/>
      <c r="IN646" s="49"/>
      <c r="IO646" s="49"/>
      <c r="IQ646" s="49"/>
      <c r="IR646" s="49"/>
      <c r="IT646" s="49"/>
      <c r="IU646" s="49"/>
      <c r="IW646" s="49"/>
      <c r="IX646" s="49"/>
      <c r="IZ646" s="49"/>
      <c r="JA646" s="49"/>
      <c r="JC646" s="49"/>
      <c r="JD646" s="49"/>
      <c r="JF646" s="49"/>
      <c r="JG646" s="49"/>
      <c r="JI646" s="49"/>
      <c r="JJ646" s="49"/>
      <c r="JL646" s="49"/>
      <c r="JM646" s="49"/>
      <c r="JO646" s="49"/>
      <c r="JP646" s="49"/>
      <c r="JR646" s="49"/>
    </row>
    <row r="647" spans="237:278">
      <c r="IC647" s="49"/>
      <c r="IE647" s="49"/>
      <c r="IF647" s="49"/>
      <c r="IH647" s="49"/>
      <c r="II647" s="49"/>
      <c r="IK647" s="49"/>
      <c r="IL647" s="49"/>
      <c r="IN647" s="49"/>
      <c r="IO647" s="49"/>
      <c r="IQ647" s="49"/>
      <c r="IR647" s="49"/>
      <c r="IT647" s="49"/>
      <c r="IU647" s="49"/>
      <c r="IW647" s="49"/>
      <c r="IX647" s="49"/>
      <c r="IZ647" s="49"/>
      <c r="JA647" s="49"/>
      <c r="JC647" s="49"/>
      <c r="JD647" s="49"/>
      <c r="JF647" s="49"/>
      <c r="JG647" s="49"/>
      <c r="JI647" s="49"/>
      <c r="JJ647" s="49"/>
      <c r="JL647" s="49"/>
      <c r="JM647" s="49"/>
      <c r="JO647" s="49"/>
      <c r="JP647" s="49"/>
      <c r="JR647" s="49"/>
    </row>
    <row r="648" spans="237:278">
      <c r="IC648" s="49"/>
      <c r="IE648" s="49"/>
      <c r="IF648" s="49"/>
      <c r="IH648" s="49"/>
      <c r="II648" s="49"/>
      <c r="IK648" s="49"/>
      <c r="IL648" s="49"/>
      <c r="IN648" s="49"/>
      <c r="IO648" s="49"/>
      <c r="IQ648" s="49"/>
      <c r="IR648" s="49"/>
      <c r="IT648" s="49"/>
      <c r="IU648" s="49"/>
      <c r="IW648" s="49"/>
      <c r="IX648" s="49"/>
      <c r="IZ648" s="49"/>
      <c r="JA648" s="49"/>
      <c r="JC648" s="49"/>
      <c r="JD648" s="49"/>
      <c r="JF648" s="49"/>
      <c r="JG648" s="49"/>
      <c r="JI648" s="49"/>
      <c r="JJ648" s="49"/>
      <c r="JL648" s="49"/>
      <c r="JM648" s="49"/>
      <c r="JO648" s="49"/>
      <c r="JP648" s="49"/>
      <c r="JR648" s="49"/>
    </row>
    <row r="649" spans="237:278">
      <c r="IC649" s="49"/>
      <c r="IE649" s="49"/>
      <c r="IF649" s="49"/>
      <c r="IH649" s="49"/>
      <c r="II649" s="49"/>
      <c r="IK649" s="49"/>
      <c r="IL649" s="49"/>
      <c r="IN649" s="49"/>
      <c r="IO649" s="49"/>
      <c r="IQ649" s="49"/>
      <c r="IR649" s="49"/>
      <c r="IT649" s="49"/>
      <c r="IU649" s="49"/>
      <c r="IW649" s="49"/>
      <c r="IX649" s="49"/>
      <c r="IZ649" s="49"/>
      <c r="JA649" s="49"/>
      <c r="JC649" s="49"/>
      <c r="JD649" s="49"/>
      <c r="JF649" s="49"/>
      <c r="JG649" s="49"/>
      <c r="JI649" s="49"/>
      <c r="JJ649" s="49"/>
      <c r="JL649" s="49"/>
      <c r="JM649" s="49"/>
      <c r="JO649" s="49"/>
      <c r="JP649" s="49"/>
      <c r="JR649" s="49"/>
    </row>
    <row r="650" spans="237:278">
      <c r="IC650" s="49"/>
      <c r="IE650" s="49"/>
      <c r="IF650" s="49"/>
      <c r="IH650" s="49"/>
      <c r="II650" s="49"/>
      <c r="IK650" s="49"/>
      <c r="IL650" s="49"/>
      <c r="IN650" s="49"/>
      <c r="IO650" s="49"/>
      <c r="IQ650" s="49"/>
      <c r="IR650" s="49"/>
      <c r="IT650" s="49"/>
      <c r="IU650" s="49"/>
      <c r="IW650" s="49"/>
      <c r="IX650" s="49"/>
      <c r="IZ650" s="49"/>
      <c r="JA650" s="49"/>
      <c r="JC650" s="49"/>
      <c r="JD650" s="49"/>
      <c r="JF650" s="49"/>
      <c r="JG650" s="49"/>
      <c r="JI650" s="49"/>
      <c r="JJ650" s="49"/>
      <c r="JL650" s="49"/>
      <c r="JM650" s="49"/>
      <c r="JO650" s="49"/>
      <c r="JP650" s="49"/>
      <c r="JR650" s="49"/>
    </row>
    <row r="651" spans="237:278">
      <c r="IC651" s="49"/>
      <c r="IE651" s="49"/>
      <c r="IF651" s="49"/>
      <c r="IH651" s="49"/>
      <c r="II651" s="49"/>
      <c r="IK651" s="49"/>
      <c r="IL651" s="49"/>
      <c r="IN651" s="49"/>
      <c r="IO651" s="49"/>
      <c r="IQ651" s="49"/>
      <c r="IR651" s="49"/>
      <c r="IT651" s="49"/>
      <c r="IU651" s="49"/>
      <c r="IW651" s="49"/>
      <c r="IX651" s="49"/>
      <c r="IZ651" s="49"/>
      <c r="JA651" s="49"/>
      <c r="JC651" s="49"/>
      <c r="JD651" s="49"/>
      <c r="JF651" s="49"/>
      <c r="JG651" s="49"/>
      <c r="JI651" s="49"/>
      <c r="JJ651" s="49"/>
      <c r="JL651" s="49"/>
      <c r="JM651" s="49"/>
      <c r="JO651" s="49"/>
      <c r="JP651" s="49"/>
      <c r="JR651" s="49"/>
    </row>
    <row r="652" spans="237:278">
      <c r="IC652" s="49"/>
      <c r="IE652" s="49"/>
      <c r="IF652" s="49"/>
      <c r="IH652" s="49"/>
      <c r="II652" s="49"/>
      <c r="IK652" s="49"/>
      <c r="IL652" s="49"/>
      <c r="IN652" s="49"/>
      <c r="IO652" s="49"/>
      <c r="IQ652" s="49"/>
      <c r="IR652" s="49"/>
      <c r="IT652" s="49"/>
      <c r="IU652" s="49"/>
      <c r="IW652" s="49"/>
      <c r="IX652" s="49"/>
      <c r="IZ652" s="49"/>
      <c r="JA652" s="49"/>
      <c r="JC652" s="49"/>
      <c r="JD652" s="49"/>
      <c r="JF652" s="49"/>
      <c r="JG652" s="49"/>
      <c r="JI652" s="49"/>
      <c r="JJ652" s="49"/>
      <c r="JL652" s="49"/>
      <c r="JM652" s="49"/>
      <c r="JO652" s="49"/>
      <c r="JP652" s="49"/>
      <c r="JR652" s="49"/>
    </row>
    <row r="653" spans="237:278">
      <c r="IC653" s="49"/>
      <c r="IE653" s="49"/>
      <c r="IF653" s="49"/>
      <c r="IH653" s="49"/>
      <c r="II653" s="49"/>
      <c r="IK653" s="49"/>
      <c r="IL653" s="49"/>
      <c r="IN653" s="49"/>
      <c r="IO653" s="49"/>
      <c r="IQ653" s="49"/>
      <c r="IR653" s="49"/>
      <c r="IT653" s="49"/>
      <c r="IU653" s="49"/>
      <c r="IW653" s="49"/>
      <c r="IX653" s="49"/>
      <c r="IZ653" s="49"/>
      <c r="JA653" s="49"/>
      <c r="JC653" s="49"/>
      <c r="JD653" s="49"/>
      <c r="JF653" s="49"/>
      <c r="JG653" s="49"/>
      <c r="JI653" s="49"/>
      <c r="JJ653" s="49"/>
      <c r="JL653" s="49"/>
      <c r="JM653" s="49"/>
      <c r="JO653" s="49"/>
      <c r="JP653" s="49"/>
      <c r="JR653" s="49"/>
    </row>
    <row r="654" spans="237:278">
      <c r="IC654" s="49"/>
      <c r="IE654" s="49"/>
      <c r="IF654" s="49"/>
      <c r="IH654" s="49"/>
      <c r="II654" s="49"/>
      <c r="IK654" s="49"/>
      <c r="IL654" s="49"/>
      <c r="IN654" s="49"/>
      <c r="IO654" s="49"/>
      <c r="IQ654" s="49"/>
      <c r="IR654" s="49"/>
      <c r="IT654" s="49"/>
      <c r="IU654" s="49"/>
      <c r="IW654" s="49"/>
      <c r="IX654" s="49"/>
      <c r="IZ654" s="49"/>
      <c r="JA654" s="49"/>
      <c r="JC654" s="49"/>
      <c r="JD654" s="49"/>
      <c r="JF654" s="49"/>
      <c r="JG654" s="49"/>
      <c r="JI654" s="49"/>
      <c r="JJ654" s="49"/>
      <c r="JL654" s="49"/>
      <c r="JM654" s="49"/>
      <c r="JO654" s="49"/>
      <c r="JP654" s="49"/>
      <c r="JR654" s="49"/>
    </row>
    <row r="655" spans="237:278">
      <c r="IC655" s="49"/>
      <c r="IE655" s="49"/>
      <c r="IF655" s="49"/>
      <c r="IH655" s="49"/>
      <c r="II655" s="49"/>
      <c r="IK655" s="49"/>
      <c r="IL655" s="49"/>
      <c r="IN655" s="49"/>
      <c r="IO655" s="49"/>
      <c r="IQ655" s="49"/>
      <c r="IR655" s="49"/>
      <c r="IT655" s="49"/>
      <c r="IU655" s="49"/>
      <c r="IW655" s="49"/>
      <c r="IX655" s="49"/>
      <c r="IZ655" s="49"/>
      <c r="JA655" s="49"/>
      <c r="JC655" s="49"/>
      <c r="JD655" s="49"/>
      <c r="JF655" s="49"/>
      <c r="JG655" s="49"/>
      <c r="JI655" s="49"/>
      <c r="JJ655" s="49"/>
      <c r="JL655" s="49"/>
      <c r="JM655" s="49"/>
      <c r="JO655" s="49"/>
      <c r="JP655" s="49"/>
      <c r="JR655" s="49"/>
    </row>
    <row r="656" spans="237:278">
      <c r="IC656" s="49"/>
      <c r="IE656" s="49"/>
      <c r="IF656" s="49"/>
      <c r="IH656" s="49"/>
      <c r="II656" s="49"/>
      <c r="IK656" s="49"/>
      <c r="IL656" s="49"/>
      <c r="IN656" s="49"/>
      <c r="IO656" s="49"/>
      <c r="IQ656" s="49"/>
      <c r="IR656" s="49"/>
      <c r="IT656" s="49"/>
      <c r="IU656" s="49"/>
      <c r="IW656" s="49"/>
      <c r="IX656" s="49"/>
      <c r="IZ656" s="49"/>
      <c r="JA656" s="49"/>
      <c r="JC656" s="49"/>
      <c r="JD656" s="49"/>
      <c r="JF656" s="49"/>
      <c r="JG656" s="49"/>
      <c r="JI656" s="49"/>
      <c r="JJ656" s="49"/>
      <c r="JL656" s="49"/>
      <c r="JM656" s="49"/>
      <c r="JO656" s="49"/>
      <c r="JP656" s="49"/>
      <c r="JR656" s="49"/>
    </row>
    <row r="657" spans="237:278">
      <c r="IC657" s="49"/>
      <c r="IE657" s="49"/>
      <c r="IF657" s="49"/>
      <c r="IH657" s="49"/>
      <c r="II657" s="49"/>
      <c r="IK657" s="49"/>
      <c r="IL657" s="49"/>
      <c r="IN657" s="49"/>
      <c r="IO657" s="49"/>
      <c r="IQ657" s="49"/>
      <c r="IR657" s="49"/>
      <c r="IT657" s="49"/>
      <c r="IU657" s="49"/>
      <c r="IW657" s="49"/>
      <c r="IX657" s="49"/>
      <c r="IZ657" s="49"/>
      <c r="JA657" s="49"/>
      <c r="JC657" s="49"/>
      <c r="JD657" s="49"/>
      <c r="JF657" s="49"/>
      <c r="JG657" s="49"/>
      <c r="JI657" s="49"/>
      <c r="JJ657" s="49"/>
      <c r="JL657" s="49"/>
      <c r="JM657" s="49"/>
      <c r="JO657" s="49"/>
      <c r="JP657" s="49"/>
      <c r="JR657" s="49"/>
    </row>
    <row r="658" spans="237:278">
      <c r="IC658" s="49"/>
      <c r="IE658" s="49"/>
      <c r="IF658" s="49"/>
      <c r="IH658" s="49"/>
      <c r="II658" s="49"/>
      <c r="IK658" s="49"/>
      <c r="IL658" s="49"/>
      <c r="IN658" s="49"/>
      <c r="IO658" s="49"/>
      <c r="IQ658" s="49"/>
      <c r="IR658" s="49"/>
      <c r="IT658" s="49"/>
      <c r="IU658" s="49"/>
      <c r="IW658" s="49"/>
      <c r="IX658" s="49"/>
      <c r="IZ658" s="49"/>
      <c r="JA658" s="49"/>
      <c r="JC658" s="49"/>
      <c r="JD658" s="49"/>
      <c r="JF658" s="49"/>
      <c r="JG658" s="49"/>
      <c r="JI658" s="49"/>
      <c r="JJ658" s="49"/>
      <c r="JL658" s="49"/>
      <c r="JM658" s="49"/>
      <c r="JO658" s="49"/>
      <c r="JP658" s="49"/>
      <c r="JR658" s="49"/>
    </row>
    <row r="659" spans="237:278">
      <c r="IC659" s="49"/>
      <c r="IE659" s="49"/>
      <c r="IF659" s="49"/>
      <c r="IH659" s="49"/>
      <c r="II659" s="49"/>
      <c r="IK659" s="49"/>
      <c r="IL659" s="49"/>
      <c r="IN659" s="49"/>
      <c r="IO659" s="49"/>
      <c r="IQ659" s="49"/>
      <c r="IR659" s="49"/>
      <c r="IT659" s="49"/>
      <c r="IU659" s="49"/>
      <c r="IW659" s="49"/>
      <c r="IX659" s="49"/>
      <c r="IZ659" s="49"/>
      <c r="JA659" s="49"/>
      <c r="JC659" s="49"/>
      <c r="JD659" s="49"/>
      <c r="JF659" s="49"/>
      <c r="JG659" s="49"/>
      <c r="JI659" s="49"/>
      <c r="JJ659" s="49"/>
      <c r="JL659" s="49"/>
      <c r="JM659" s="49"/>
      <c r="JO659" s="49"/>
      <c r="JP659" s="49"/>
      <c r="JR659" s="49"/>
    </row>
    <row r="660" spans="237:278">
      <c r="IC660" s="49"/>
      <c r="IE660" s="49"/>
      <c r="IF660" s="49"/>
      <c r="IH660" s="49"/>
      <c r="II660" s="49"/>
      <c r="IK660" s="49"/>
      <c r="IL660" s="49"/>
      <c r="IN660" s="49"/>
      <c r="IO660" s="49"/>
      <c r="IQ660" s="49"/>
      <c r="IR660" s="49"/>
      <c r="IT660" s="49"/>
      <c r="IU660" s="49"/>
      <c r="IW660" s="49"/>
      <c r="IX660" s="49"/>
      <c r="IZ660" s="49"/>
      <c r="JA660" s="49"/>
      <c r="JC660" s="49"/>
      <c r="JD660" s="49"/>
      <c r="JF660" s="49"/>
      <c r="JG660" s="49"/>
      <c r="JI660" s="49"/>
      <c r="JJ660" s="49"/>
      <c r="JL660" s="49"/>
      <c r="JM660" s="49"/>
      <c r="JO660" s="49"/>
      <c r="JP660" s="49"/>
      <c r="JR660" s="49"/>
    </row>
    <row r="661" spans="237:278">
      <c r="IC661" s="49"/>
      <c r="IE661" s="49"/>
      <c r="IF661" s="49"/>
      <c r="IH661" s="49"/>
      <c r="II661" s="49"/>
      <c r="IK661" s="49"/>
      <c r="IL661" s="49"/>
      <c r="IN661" s="49"/>
      <c r="IO661" s="49"/>
      <c r="IQ661" s="49"/>
      <c r="IR661" s="49"/>
      <c r="IT661" s="49"/>
      <c r="IU661" s="49"/>
      <c r="IW661" s="49"/>
      <c r="IX661" s="49"/>
      <c r="IZ661" s="49"/>
      <c r="JA661" s="49"/>
      <c r="JC661" s="49"/>
      <c r="JD661" s="49"/>
      <c r="JF661" s="49"/>
      <c r="JG661" s="49"/>
      <c r="JI661" s="49"/>
      <c r="JJ661" s="49"/>
      <c r="JL661" s="49"/>
      <c r="JM661" s="49"/>
      <c r="JO661" s="49"/>
      <c r="JP661" s="49"/>
      <c r="JR661" s="49"/>
    </row>
    <row r="662" spans="237:278">
      <c r="IC662" s="49"/>
      <c r="IE662" s="49"/>
      <c r="IF662" s="49"/>
      <c r="IH662" s="49"/>
      <c r="II662" s="49"/>
      <c r="IK662" s="49"/>
      <c r="IL662" s="49"/>
      <c r="IN662" s="49"/>
      <c r="IO662" s="49"/>
      <c r="IQ662" s="49"/>
      <c r="IR662" s="49"/>
      <c r="IT662" s="49"/>
      <c r="IU662" s="49"/>
      <c r="IW662" s="49"/>
      <c r="IX662" s="49"/>
      <c r="IZ662" s="49"/>
      <c r="JA662" s="49"/>
      <c r="JC662" s="49"/>
      <c r="JD662" s="49"/>
      <c r="JF662" s="49"/>
      <c r="JG662" s="49"/>
      <c r="JI662" s="49"/>
      <c r="JJ662" s="49"/>
      <c r="JL662" s="49"/>
      <c r="JM662" s="49"/>
      <c r="JO662" s="49"/>
      <c r="JP662" s="49"/>
      <c r="JR662" s="49"/>
    </row>
    <row r="663" spans="237:278">
      <c r="IC663" s="49"/>
      <c r="IE663" s="49"/>
      <c r="IF663" s="49"/>
      <c r="IH663" s="49"/>
      <c r="II663" s="49"/>
      <c r="IK663" s="49"/>
      <c r="IL663" s="49"/>
      <c r="IN663" s="49"/>
      <c r="IO663" s="49"/>
      <c r="IQ663" s="49"/>
      <c r="IR663" s="49"/>
      <c r="IT663" s="49"/>
      <c r="IU663" s="49"/>
      <c r="IW663" s="49"/>
      <c r="IX663" s="49"/>
      <c r="IZ663" s="49"/>
      <c r="JA663" s="49"/>
      <c r="JC663" s="49"/>
      <c r="JD663" s="49"/>
      <c r="JF663" s="49"/>
      <c r="JG663" s="49"/>
      <c r="JI663" s="49"/>
      <c r="JJ663" s="49"/>
      <c r="JL663" s="49"/>
      <c r="JM663" s="49"/>
      <c r="JO663" s="49"/>
      <c r="JP663" s="49"/>
      <c r="JR663" s="49"/>
    </row>
    <row r="664" spans="237:278">
      <c r="IC664" s="49"/>
      <c r="IE664" s="49"/>
      <c r="IF664" s="49"/>
      <c r="IH664" s="49"/>
      <c r="II664" s="49"/>
      <c r="IK664" s="49"/>
      <c r="IL664" s="49"/>
      <c r="IN664" s="49"/>
      <c r="IO664" s="49"/>
      <c r="IQ664" s="49"/>
      <c r="IR664" s="49"/>
      <c r="IT664" s="49"/>
      <c r="IU664" s="49"/>
      <c r="IW664" s="49"/>
      <c r="IX664" s="49"/>
      <c r="IZ664" s="49"/>
      <c r="JA664" s="49"/>
      <c r="JC664" s="49"/>
      <c r="JD664" s="49"/>
      <c r="JF664" s="49"/>
      <c r="JG664" s="49"/>
      <c r="JI664" s="49"/>
      <c r="JJ664" s="49"/>
      <c r="JL664" s="49"/>
      <c r="JM664" s="49"/>
      <c r="JO664" s="49"/>
      <c r="JP664" s="49"/>
      <c r="JR664" s="49"/>
    </row>
    <row r="665" spans="237:278">
      <c r="IC665" s="49"/>
      <c r="IE665" s="49"/>
      <c r="IF665" s="49"/>
      <c r="IH665" s="49"/>
      <c r="II665" s="49"/>
      <c r="IK665" s="49"/>
      <c r="IL665" s="49"/>
      <c r="IN665" s="49"/>
      <c r="IO665" s="49"/>
      <c r="IQ665" s="49"/>
      <c r="IR665" s="49"/>
      <c r="IT665" s="49"/>
      <c r="IU665" s="49"/>
      <c r="IW665" s="49"/>
      <c r="IX665" s="49"/>
      <c r="IZ665" s="49"/>
      <c r="JA665" s="49"/>
      <c r="JC665" s="49"/>
      <c r="JD665" s="49"/>
      <c r="JF665" s="49"/>
      <c r="JG665" s="49"/>
      <c r="JI665" s="49"/>
      <c r="JJ665" s="49"/>
      <c r="JL665" s="49"/>
      <c r="JM665" s="49"/>
      <c r="JO665" s="49"/>
      <c r="JP665" s="49"/>
      <c r="JR665" s="49"/>
    </row>
    <row r="666" spans="237:278">
      <c r="IC666" s="49"/>
      <c r="IE666" s="49"/>
      <c r="IF666" s="49"/>
      <c r="IH666" s="49"/>
      <c r="II666" s="49"/>
      <c r="IK666" s="49"/>
      <c r="IL666" s="49"/>
      <c r="IN666" s="49"/>
      <c r="IO666" s="49"/>
      <c r="IQ666" s="49"/>
      <c r="IR666" s="49"/>
      <c r="IT666" s="49"/>
      <c r="IU666" s="49"/>
      <c r="IW666" s="49"/>
      <c r="IX666" s="49"/>
      <c r="IZ666" s="49"/>
      <c r="JA666" s="49"/>
      <c r="JC666" s="49"/>
      <c r="JD666" s="49"/>
      <c r="JF666" s="49"/>
      <c r="JG666" s="49"/>
      <c r="JI666" s="49"/>
      <c r="JJ666" s="49"/>
      <c r="JL666" s="49"/>
      <c r="JM666" s="49"/>
      <c r="JO666" s="49"/>
      <c r="JP666" s="49"/>
      <c r="JR666" s="49"/>
    </row>
    <row r="667" spans="237:278">
      <c r="IC667" s="49"/>
      <c r="IE667" s="49"/>
      <c r="IF667" s="49"/>
      <c r="IH667" s="49"/>
      <c r="II667" s="49"/>
      <c r="IK667" s="49"/>
      <c r="IL667" s="49"/>
      <c r="IN667" s="49"/>
      <c r="IO667" s="49"/>
      <c r="IQ667" s="49"/>
      <c r="IR667" s="49"/>
      <c r="IT667" s="49"/>
      <c r="IU667" s="49"/>
      <c r="IW667" s="49"/>
      <c r="IX667" s="49"/>
      <c r="IZ667" s="49"/>
      <c r="JA667" s="49"/>
      <c r="JC667" s="49"/>
      <c r="JD667" s="49"/>
      <c r="JF667" s="49"/>
      <c r="JG667" s="49"/>
      <c r="JI667" s="49"/>
      <c r="JJ667" s="49"/>
      <c r="JL667" s="49"/>
      <c r="JM667" s="49"/>
      <c r="JO667" s="49"/>
      <c r="JP667" s="49"/>
      <c r="JR667" s="49"/>
    </row>
    <row r="668" spans="237:278">
      <c r="IC668" s="49"/>
      <c r="IE668" s="49"/>
      <c r="IF668" s="49"/>
      <c r="IH668" s="49"/>
      <c r="II668" s="49"/>
      <c r="IK668" s="49"/>
      <c r="IL668" s="49"/>
      <c r="IN668" s="49"/>
      <c r="IO668" s="49"/>
      <c r="IQ668" s="49"/>
      <c r="IR668" s="49"/>
      <c r="IT668" s="49"/>
      <c r="IU668" s="49"/>
      <c r="IW668" s="49"/>
      <c r="IX668" s="49"/>
      <c r="IZ668" s="49"/>
      <c r="JA668" s="49"/>
      <c r="JC668" s="49"/>
      <c r="JD668" s="49"/>
      <c r="JF668" s="49"/>
      <c r="JG668" s="49"/>
      <c r="JI668" s="49"/>
      <c r="JJ668" s="49"/>
      <c r="JL668" s="49"/>
      <c r="JM668" s="49"/>
      <c r="JO668" s="49"/>
      <c r="JP668" s="49"/>
      <c r="JR668" s="49"/>
    </row>
    <row r="669" spans="237:278">
      <c r="IC669" s="49"/>
      <c r="IE669" s="49"/>
      <c r="IF669" s="49"/>
      <c r="IH669" s="49"/>
      <c r="II669" s="49"/>
      <c r="IK669" s="49"/>
      <c r="IL669" s="49"/>
      <c r="IN669" s="49"/>
      <c r="IO669" s="49"/>
      <c r="IQ669" s="49"/>
      <c r="IR669" s="49"/>
      <c r="IT669" s="49"/>
      <c r="IU669" s="49"/>
      <c r="IW669" s="49"/>
      <c r="IX669" s="49"/>
      <c r="IZ669" s="49"/>
      <c r="JA669" s="49"/>
      <c r="JC669" s="49"/>
      <c r="JD669" s="49"/>
      <c r="JF669" s="49"/>
      <c r="JG669" s="49"/>
      <c r="JI669" s="49"/>
      <c r="JJ669" s="49"/>
      <c r="JL669" s="49"/>
      <c r="JM669" s="49"/>
      <c r="JO669" s="49"/>
      <c r="JP669" s="49"/>
      <c r="JR669" s="49"/>
    </row>
    <row r="670" spans="237:278">
      <c r="IC670" s="49"/>
      <c r="IE670" s="49"/>
      <c r="IF670" s="49"/>
      <c r="IH670" s="49"/>
      <c r="II670" s="49"/>
      <c r="IK670" s="49"/>
      <c r="IL670" s="49"/>
      <c r="IN670" s="49"/>
      <c r="IO670" s="49"/>
      <c r="IQ670" s="49"/>
      <c r="IR670" s="49"/>
      <c r="IT670" s="49"/>
      <c r="IU670" s="49"/>
      <c r="IW670" s="49"/>
      <c r="IX670" s="49"/>
      <c r="IZ670" s="49"/>
      <c r="JA670" s="49"/>
      <c r="JC670" s="49"/>
      <c r="JD670" s="49"/>
      <c r="JF670" s="49"/>
      <c r="JG670" s="49"/>
      <c r="JI670" s="49"/>
      <c r="JJ670" s="49"/>
      <c r="JL670" s="49"/>
      <c r="JM670" s="49"/>
      <c r="JO670" s="49"/>
      <c r="JP670" s="49"/>
      <c r="JR670" s="49"/>
    </row>
    <row r="671" spans="237:278">
      <c r="IC671" s="49"/>
      <c r="IE671" s="49"/>
      <c r="IF671" s="49"/>
      <c r="IH671" s="49"/>
      <c r="II671" s="49"/>
      <c r="IK671" s="49"/>
      <c r="IL671" s="49"/>
      <c r="IN671" s="49"/>
      <c r="IO671" s="49"/>
      <c r="IQ671" s="49"/>
      <c r="IR671" s="49"/>
      <c r="IT671" s="49"/>
      <c r="IU671" s="49"/>
      <c r="IW671" s="49"/>
      <c r="IX671" s="49"/>
      <c r="IZ671" s="49"/>
      <c r="JA671" s="49"/>
      <c r="JC671" s="49"/>
      <c r="JD671" s="49"/>
      <c r="JF671" s="49"/>
      <c r="JG671" s="49"/>
      <c r="JI671" s="49"/>
      <c r="JJ671" s="49"/>
      <c r="JL671" s="49"/>
      <c r="JM671" s="49"/>
      <c r="JO671" s="49"/>
      <c r="JP671" s="49"/>
      <c r="JR671" s="49"/>
    </row>
    <row r="672" spans="237:278">
      <c r="IC672" s="49"/>
      <c r="IE672" s="49"/>
      <c r="IF672" s="49"/>
      <c r="IH672" s="49"/>
      <c r="II672" s="49"/>
      <c r="IK672" s="49"/>
      <c r="IL672" s="49"/>
      <c r="IN672" s="49"/>
      <c r="IO672" s="49"/>
      <c r="IQ672" s="49"/>
      <c r="IR672" s="49"/>
      <c r="IT672" s="49"/>
      <c r="IU672" s="49"/>
      <c r="IW672" s="49"/>
      <c r="IX672" s="49"/>
      <c r="IZ672" s="49"/>
      <c r="JA672" s="49"/>
      <c r="JC672" s="49"/>
      <c r="JD672" s="49"/>
      <c r="JF672" s="49"/>
      <c r="JG672" s="49"/>
      <c r="JI672" s="49"/>
      <c r="JJ672" s="49"/>
      <c r="JL672" s="49"/>
      <c r="JM672" s="49"/>
      <c r="JO672" s="49"/>
      <c r="JP672" s="49"/>
      <c r="JR672" s="49"/>
    </row>
    <row r="673" spans="237:278">
      <c r="IC673" s="49"/>
      <c r="IE673" s="49"/>
      <c r="IF673" s="49"/>
      <c r="IH673" s="49"/>
      <c r="II673" s="49"/>
      <c r="IK673" s="49"/>
      <c r="IL673" s="49"/>
      <c r="IN673" s="49"/>
      <c r="IO673" s="49"/>
      <c r="IQ673" s="49"/>
      <c r="IR673" s="49"/>
      <c r="IT673" s="49"/>
      <c r="IU673" s="49"/>
      <c r="IW673" s="49"/>
      <c r="IX673" s="49"/>
      <c r="IZ673" s="49"/>
      <c r="JA673" s="49"/>
      <c r="JC673" s="49"/>
      <c r="JD673" s="49"/>
      <c r="JF673" s="49"/>
      <c r="JG673" s="49"/>
      <c r="JI673" s="49"/>
      <c r="JJ673" s="49"/>
      <c r="JL673" s="49"/>
      <c r="JM673" s="49"/>
      <c r="JO673" s="49"/>
      <c r="JP673" s="49"/>
      <c r="JR673" s="49"/>
    </row>
    <row r="674" spans="237:278">
      <c r="IC674" s="49"/>
      <c r="IE674" s="49"/>
      <c r="IF674" s="49"/>
      <c r="IH674" s="49"/>
      <c r="II674" s="49"/>
      <c r="IK674" s="49"/>
      <c r="IL674" s="49"/>
      <c r="IN674" s="49"/>
      <c r="IO674" s="49"/>
      <c r="IQ674" s="49"/>
      <c r="IR674" s="49"/>
      <c r="IT674" s="49"/>
      <c r="IU674" s="49"/>
      <c r="IW674" s="49"/>
      <c r="IX674" s="49"/>
      <c r="IZ674" s="49"/>
      <c r="JA674" s="49"/>
      <c r="JC674" s="49"/>
      <c r="JD674" s="49"/>
      <c r="JF674" s="49"/>
      <c r="JG674" s="49"/>
      <c r="JI674" s="49"/>
      <c r="JJ674" s="49"/>
      <c r="JL674" s="49"/>
      <c r="JM674" s="49"/>
      <c r="JO674" s="49"/>
      <c r="JP674" s="49"/>
      <c r="JR674" s="49"/>
    </row>
    <row r="675" spans="237:278">
      <c r="IC675" s="49"/>
      <c r="IE675" s="49"/>
      <c r="IF675" s="49"/>
      <c r="IH675" s="49"/>
      <c r="II675" s="49"/>
      <c r="IK675" s="49"/>
      <c r="IL675" s="49"/>
      <c r="IN675" s="49"/>
      <c r="IO675" s="49"/>
      <c r="IQ675" s="49"/>
      <c r="IR675" s="49"/>
      <c r="IT675" s="49"/>
      <c r="IU675" s="49"/>
      <c r="IW675" s="49"/>
      <c r="IX675" s="49"/>
      <c r="IZ675" s="49"/>
      <c r="JA675" s="49"/>
      <c r="JC675" s="49"/>
      <c r="JD675" s="49"/>
      <c r="JF675" s="49"/>
      <c r="JG675" s="49"/>
      <c r="JI675" s="49"/>
      <c r="JJ675" s="49"/>
      <c r="JL675" s="49"/>
      <c r="JM675" s="49"/>
      <c r="JO675" s="49"/>
      <c r="JP675" s="49"/>
      <c r="JR675" s="49"/>
    </row>
    <row r="676" spans="237:278">
      <c r="IC676" s="49"/>
      <c r="IE676" s="49"/>
      <c r="IF676" s="49"/>
      <c r="IH676" s="49"/>
      <c r="II676" s="49"/>
      <c r="IK676" s="49"/>
      <c r="IL676" s="49"/>
      <c r="IN676" s="49"/>
      <c r="IO676" s="49"/>
      <c r="IQ676" s="49"/>
      <c r="IR676" s="49"/>
      <c r="IT676" s="49"/>
      <c r="IU676" s="49"/>
      <c r="IW676" s="49"/>
      <c r="IX676" s="49"/>
      <c r="IZ676" s="49"/>
      <c r="JA676" s="49"/>
      <c r="JC676" s="49"/>
      <c r="JD676" s="49"/>
      <c r="JF676" s="49"/>
      <c r="JG676" s="49"/>
      <c r="JI676" s="49"/>
      <c r="JJ676" s="49"/>
      <c r="JL676" s="49"/>
      <c r="JM676" s="49"/>
      <c r="JO676" s="49"/>
      <c r="JP676" s="49"/>
      <c r="JR676" s="49"/>
    </row>
    <row r="677" spans="237:278">
      <c r="IC677" s="49"/>
      <c r="IE677" s="49"/>
      <c r="IF677" s="49"/>
      <c r="IH677" s="49"/>
      <c r="II677" s="49"/>
      <c r="IK677" s="49"/>
      <c r="IL677" s="49"/>
      <c r="IN677" s="49"/>
      <c r="IO677" s="49"/>
      <c r="IQ677" s="49"/>
      <c r="IR677" s="49"/>
      <c r="IT677" s="49"/>
      <c r="IU677" s="49"/>
      <c r="IW677" s="49"/>
      <c r="IX677" s="49"/>
      <c r="IZ677" s="49"/>
      <c r="JA677" s="49"/>
      <c r="JC677" s="49"/>
      <c r="JD677" s="49"/>
      <c r="JF677" s="49"/>
      <c r="JG677" s="49"/>
      <c r="JI677" s="49"/>
      <c r="JJ677" s="49"/>
      <c r="JL677" s="49"/>
      <c r="JM677" s="49"/>
      <c r="JO677" s="49"/>
      <c r="JP677" s="49"/>
      <c r="JR677" s="49"/>
    </row>
    <row r="678" spans="237:278">
      <c r="IC678" s="49"/>
      <c r="IE678" s="49"/>
      <c r="IF678" s="49"/>
      <c r="IH678" s="49"/>
      <c r="II678" s="49"/>
      <c r="IK678" s="49"/>
      <c r="IL678" s="49"/>
      <c r="IN678" s="49"/>
      <c r="IO678" s="49"/>
      <c r="IQ678" s="49"/>
      <c r="IR678" s="49"/>
      <c r="IT678" s="49"/>
      <c r="IU678" s="49"/>
      <c r="IW678" s="49"/>
      <c r="IX678" s="49"/>
      <c r="IZ678" s="49"/>
      <c r="JA678" s="49"/>
      <c r="JC678" s="49"/>
      <c r="JD678" s="49"/>
      <c r="JF678" s="49"/>
      <c r="JG678" s="49"/>
      <c r="JI678" s="49"/>
      <c r="JJ678" s="49"/>
      <c r="JL678" s="49"/>
      <c r="JM678" s="49"/>
      <c r="JO678" s="49"/>
      <c r="JP678" s="49"/>
      <c r="JR678" s="49"/>
    </row>
    <row r="679" spans="237:278">
      <c r="IC679" s="49"/>
      <c r="IE679" s="49"/>
      <c r="IF679" s="49"/>
      <c r="IH679" s="49"/>
      <c r="II679" s="49"/>
      <c r="IK679" s="49"/>
      <c r="IL679" s="49"/>
      <c r="IN679" s="49"/>
      <c r="IO679" s="49"/>
      <c r="IQ679" s="49"/>
      <c r="IR679" s="49"/>
      <c r="IT679" s="49"/>
      <c r="IU679" s="49"/>
      <c r="IW679" s="49"/>
      <c r="IX679" s="49"/>
      <c r="IZ679" s="49"/>
      <c r="JA679" s="49"/>
      <c r="JC679" s="49"/>
      <c r="JD679" s="49"/>
      <c r="JF679" s="49"/>
      <c r="JG679" s="49"/>
      <c r="JI679" s="49"/>
      <c r="JJ679" s="49"/>
      <c r="JL679" s="49"/>
      <c r="JM679" s="49"/>
      <c r="JO679" s="49"/>
      <c r="JP679" s="49"/>
      <c r="JR679" s="49"/>
    </row>
    <row r="680" spans="237:278">
      <c r="IC680" s="49"/>
      <c r="IE680" s="49"/>
      <c r="IF680" s="49"/>
      <c r="IH680" s="49"/>
      <c r="II680" s="49"/>
      <c r="IK680" s="49"/>
      <c r="IL680" s="49"/>
      <c r="IN680" s="49"/>
      <c r="IO680" s="49"/>
      <c r="IQ680" s="49"/>
      <c r="IR680" s="49"/>
      <c r="IT680" s="49"/>
      <c r="IU680" s="49"/>
      <c r="IW680" s="49"/>
      <c r="IX680" s="49"/>
      <c r="IZ680" s="49"/>
      <c r="JA680" s="49"/>
      <c r="JC680" s="49"/>
      <c r="JD680" s="49"/>
      <c r="JF680" s="49"/>
      <c r="JG680" s="49"/>
      <c r="JI680" s="49"/>
      <c r="JJ680" s="49"/>
      <c r="JL680" s="49"/>
      <c r="JM680" s="49"/>
      <c r="JO680" s="49"/>
      <c r="JP680" s="49"/>
      <c r="JR680" s="49"/>
    </row>
    <row r="681" spans="237:278">
      <c r="IC681" s="49"/>
      <c r="IE681" s="49"/>
      <c r="IF681" s="49"/>
      <c r="IH681" s="49"/>
      <c r="II681" s="49"/>
      <c r="IK681" s="49"/>
      <c r="IL681" s="49"/>
      <c r="IN681" s="49"/>
      <c r="IO681" s="49"/>
      <c r="IQ681" s="49"/>
      <c r="IR681" s="49"/>
      <c r="IT681" s="49"/>
      <c r="IU681" s="49"/>
      <c r="IW681" s="49"/>
      <c r="IX681" s="49"/>
      <c r="IZ681" s="49"/>
      <c r="JA681" s="49"/>
      <c r="JC681" s="49"/>
      <c r="JD681" s="49"/>
      <c r="JF681" s="49"/>
      <c r="JG681" s="49"/>
      <c r="JI681" s="49"/>
      <c r="JJ681" s="49"/>
      <c r="JL681" s="49"/>
      <c r="JM681" s="49"/>
      <c r="JO681" s="49"/>
      <c r="JP681" s="49"/>
      <c r="JR681" s="49"/>
    </row>
    <row r="682" spans="237:278">
      <c r="IC682" s="49"/>
      <c r="IE682" s="49"/>
      <c r="IF682" s="49"/>
      <c r="IH682" s="49"/>
      <c r="II682" s="49"/>
      <c r="IK682" s="49"/>
      <c r="IL682" s="49"/>
      <c r="IN682" s="49"/>
      <c r="IO682" s="49"/>
      <c r="IQ682" s="49"/>
      <c r="IR682" s="49"/>
      <c r="IT682" s="49"/>
      <c r="IU682" s="49"/>
      <c r="IW682" s="49"/>
      <c r="IX682" s="49"/>
      <c r="IZ682" s="49"/>
      <c r="JA682" s="49"/>
      <c r="JC682" s="49"/>
      <c r="JD682" s="49"/>
      <c r="JF682" s="49"/>
      <c r="JG682" s="49"/>
      <c r="JI682" s="49"/>
      <c r="JJ682" s="49"/>
      <c r="JL682" s="49"/>
      <c r="JM682" s="49"/>
      <c r="JO682" s="49"/>
      <c r="JP682" s="49"/>
      <c r="JR682" s="49"/>
    </row>
    <row r="683" spans="237:278">
      <c r="IC683" s="49"/>
      <c r="IE683" s="49"/>
      <c r="IF683" s="49"/>
      <c r="IH683" s="49"/>
      <c r="II683" s="49"/>
      <c r="IK683" s="49"/>
      <c r="IL683" s="49"/>
      <c r="IN683" s="49"/>
      <c r="IO683" s="49"/>
      <c r="IQ683" s="49"/>
      <c r="IR683" s="49"/>
      <c r="IT683" s="49"/>
      <c r="IU683" s="49"/>
      <c r="IW683" s="49"/>
      <c r="IX683" s="49"/>
      <c r="IZ683" s="49"/>
      <c r="JA683" s="49"/>
      <c r="JC683" s="49"/>
      <c r="JD683" s="49"/>
      <c r="JF683" s="49"/>
      <c r="JG683" s="49"/>
      <c r="JI683" s="49"/>
      <c r="JJ683" s="49"/>
      <c r="JL683" s="49"/>
      <c r="JM683" s="49"/>
      <c r="JO683" s="49"/>
      <c r="JP683" s="49"/>
      <c r="JR683" s="49"/>
    </row>
    <row r="684" spans="237:278">
      <c r="IC684" s="49"/>
      <c r="IE684" s="49"/>
      <c r="IF684" s="49"/>
      <c r="IH684" s="49"/>
      <c r="II684" s="49"/>
      <c r="IK684" s="49"/>
      <c r="IL684" s="49"/>
      <c r="IN684" s="49"/>
      <c r="IO684" s="49"/>
      <c r="IQ684" s="49"/>
      <c r="IR684" s="49"/>
      <c r="IT684" s="49"/>
      <c r="IU684" s="49"/>
      <c r="IW684" s="49"/>
      <c r="IX684" s="49"/>
      <c r="IZ684" s="49"/>
      <c r="JA684" s="49"/>
      <c r="JC684" s="49"/>
      <c r="JD684" s="49"/>
      <c r="JF684" s="49"/>
      <c r="JG684" s="49"/>
      <c r="JI684" s="49"/>
      <c r="JJ684" s="49"/>
      <c r="JL684" s="49"/>
      <c r="JM684" s="49"/>
      <c r="JO684" s="49"/>
      <c r="JP684" s="49"/>
      <c r="JR684" s="49"/>
    </row>
    <row r="685" spans="237:278">
      <c r="IC685" s="49"/>
      <c r="IE685" s="49"/>
      <c r="IF685" s="49"/>
      <c r="IH685" s="49"/>
      <c r="II685" s="49"/>
      <c r="IK685" s="49"/>
      <c r="IL685" s="49"/>
      <c r="IN685" s="49"/>
      <c r="IO685" s="49"/>
      <c r="IQ685" s="49"/>
      <c r="IR685" s="49"/>
      <c r="IT685" s="49"/>
      <c r="IU685" s="49"/>
      <c r="IW685" s="49"/>
      <c r="IX685" s="49"/>
      <c r="IZ685" s="49"/>
      <c r="JA685" s="49"/>
      <c r="JC685" s="49"/>
      <c r="JD685" s="49"/>
      <c r="JF685" s="49"/>
      <c r="JG685" s="49"/>
      <c r="JI685" s="49"/>
      <c r="JJ685" s="49"/>
      <c r="JL685" s="49"/>
      <c r="JM685" s="49"/>
      <c r="JO685" s="49"/>
      <c r="JP685" s="49"/>
      <c r="JR685" s="49"/>
    </row>
    <row r="686" spans="237:278">
      <c r="IC686" s="49"/>
      <c r="IE686" s="49"/>
      <c r="IF686" s="49"/>
      <c r="IH686" s="49"/>
      <c r="II686" s="49"/>
      <c r="IK686" s="49"/>
      <c r="IL686" s="49"/>
      <c r="IN686" s="49"/>
      <c r="IO686" s="49"/>
      <c r="IQ686" s="49"/>
      <c r="IR686" s="49"/>
      <c r="IT686" s="49"/>
      <c r="IU686" s="49"/>
      <c r="IW686" s="49"/>
      <c r="IX686" s="49"/>
      <c r="IZ686" s="49"/>
      <c r="JA686" s="49"/>
      <c r="JC686" s="49"/>
      <c r="JD686" s="49"/>
      <c r="JF686" s="49"/>
      <c r="JG686" s="49"/>
      <c r="JI686" s="49"/>
      <c r="JJ686" s="49"/>
      <c r="JL686" s="49"/>
      <c r="JM686" s="49"/>
      <c r="JO686" s="49"/>
      <c r="JP686" s="49"/>
      <c r="JR686" s="49"/>
    </row>
    <row r="687" spans="237:278">
      <c r="IC687" s="49"/>
      <c r="IE687" s="49"/>
      <c r="IF687" s="49"/>
      <c r="IH687" s="49"/>
      <c r="II687" s="49"/>
      <c r="IK687" s="49"/>
      <c r="IL687" s="49"/>
      <c r="IN687" s="49"/>
      <c r="IO687" s="49"/>
      <c r="IQ687" s="49"/>
      <c r="IR687" s="49"/>
      <c r="IT687" s="49"/>
      <c r="IU687" s="49"/>
      <c r="IW687" s="49"/>
      <c r="IX687" s="49"/>
      <c r="IZ687" s="49"/>
      <c r="JA687" s="49"/>
      <c r="JC687" s="49"/>
      <c r="JD687" s="49"/>
      <c r="JF687" s="49"/>
      <c r="JG687" s="49"/>
      <c r="JI687" s="49"/>
      <c r="JJ687" s="49"/>
      <c r="JL687" s="49"/>
      <c r="JM687" s="49"/>
      <c r="JO687" s="49"/>
      <c r="JP687" s="49"/>
      <c r="JR687" s="49"/>
    </row>
    <row r="688" spans="237:278">
      <c r="IC688" s="49"/>
      <c r="IE688" s="49"/>
      <c r="IF688" s="49"/>
      <c r="IH688" s="49"/>
      <c r="II688" s="49"/>
      <c r="IK688" s="49"/>
      <c r="IL688" s="49"/>
      <c r="IN688" s="49"/>
      <c r="IO688" s="49"/>
      <c r="IQ688" s="49"/>
      <c r="IR688" s="49"/>
      <c r="IT688" s="49"/>
      <c r="IU688" s="49"/>
      <c r="IW688" s="49"/>
      <c r="IX688" s="49"/>
      <c r="IZ688" s="49"/>
      <c r="JA688" s="49"/>
      <c r="JC688" s="49"/>
      <c r="JD688" s="49"/>
      <c r="JF688" s="49"/>
      <c r="JG688" s="49"/>
      <c r="JI688" s="49"/>
      <c r="JJ688" s="49"/>
      <c r="JL688" s="49"/>
      <c r="JM688" s="49"/>
      <c r="JO688" s="49"/>
      <c r="JP688" s="49"/>
      <c r="JR688" s="49"/>
    </row>
    <row r="689" spans="237:278">
      <c r="IC689" s="49"/>
      <c r="IE689" s="49"/>
      <c r="IF689" s="49"/>
      <c r="IH689" s="49"/>
      <c r="II689" s="49"/>
      <c r="IK689" s="49"/>
      <c r="IL689" s="49"/>
      <c r="IN689" s="49"/>
      <c r="IO689" s="49"/>
      <c r="IQ689" s="49"/>
      <c r="IR689" s="49"/>
      <c r="IT689" s="49"/>
      <c r="IU689" s="49"/>
      <c r="IW689" s="49"/>
      <c r="IX689" s="49"/>
      <c r="IZ689" s="49"/>
      <c r="JA689" s="49"/>
      <c r="JC689" s="49"/>
      <c r="JD689" s="49"/>
      <c r="JF689" s="49"/>
      <c r="JG689" s="49"/>
      <c r="JI689" s="49"/>
      <c r="JJ689" s="49"/>
      <c r="JL689" s="49"/>
      <c r="JM689" s="49"/>
      <c r="JO689" s="49"/>
      <c r="JP689" s="49"/>
      <c r="JR689" s="49"/>
    </row>
    <row r="690" spans="237:278">
      <c r="IC690" s="49"/>
      <c r="IE690" s="49"/>
      <c r="IF690" s="49"/>
      <c r="IH690" s="49"/>
      <c r="II690" s="49"/>
      <c r="IK690" s="49"/>
      <c r="IL690" s="49"/>
      <c r="IN690" s="49"/>
      <c r="IO690" s="49"/>
      <c r="IQ690" s="49"/>
      <c r="IR690" s="49"/>
      <c r="IT690" s="49"/>
      <c r="IU690" s="49"/>
      <c r="IW690" s="49"/>
      <c r="IX690" s="49"/>
      <c r="IZ690" s="49"/>
      <c r="JA690" s="49"/>
      <c r="JC690" s="49"/>
      <c r="JD690" s="49"/>
      <c r="JF690" s="49"/>
      <c r="JG690" s="49"/>
      <c r="JI690" s="49"/>
      <c r="JJ690" s="49"/>
      <c r="JL690" s="49"/>
      <c r="JM690" s="49"/>
      <c r="JO690" s="49"/>
      <c r="JP690" s="49"/>
      <c r="JR690" s="49"/>
    </row>
    <row r="691" spans="237:278">
      <c r="IC691" s="49"/>
      <c r="IE691" s="49"/>
      <c r="IF691" s="49"/>
      <c r="IH691" s="49"/>
      <c r="II691" s="49"/>
      <c r="IK691" s="49"/>
      <c r="IL691" s="49"/>
      <c r="IN691" s="49"/>
      <c r="IO691" s="49"/>
      <c r="IQ691" s="49"/>
      <c r="IR691" s="49"/>
      <c r="IT691" s="49"/>
      <c r="IU691" s="49"/>
      <c r="IW691" s="49"/>
      <c r="IX691" s="49"/>
      <c r="IZ691" s="49"/>
      <c r="JA691" s="49"/>
      <c r="JC691" s="49"/>
      <c r="JD691" s="49"/>
      <c r="JF691" s="49"/>
      <c r="JG691" s="49"/>
      <c r="JI691" s="49"/>
      <c r="JJ691" s="49"/>
      <c r="JL691" s="49"/>
      <c r="JM691" s="49"/>
      <c r="JO691" s="49"/>
      <c r="JP691" s="49"/>
      <c r="JR691" s="49"/>
    </row>
    <row r="692" spans="237:278">
      <c r="IC692" s="49"/>
      <c r="IE692" s="49"/>
      <c r="IF692" s="49"/>
      <c r="IH692" s="49"/>
      <c r="II692" s="49"/>
      <c r="IK692" s="49"/>
      <c r="IL692" s="49"/>
      <c r="IN692" s="49"/>
      <c r="IO692" s="49"/>
      <c r="IQ692" s="49"/>
      <c r="IR692" s="49"/>
      <c r="IT692" s="49"/>
      <c r="IU692" s="49"/>
      <c r="IW692" s="49"/>
      <c r="IX692" s="49"/>
      <c r="IZ692" s="49"/>
      <c r="JA692" s="49"/>
      <c r="JC692" s="49"/>
      <c r="JD692" s="49"/>
      <c r="JF692" s="49"/>
      <c r="JG692" s="49"/>
      <c r="JI692" s="49"/>
      <c r="JJ692" s="49"/>
      <c r="JL692" s="49"/>
      <c r="JM692" s="49"/>
      <c r="JO692" s="49"/>
      <c r="JP692" s="49"/>
      <c r="JR692" s="49"/>
    </row>
    <row r="693" spans="237:278">
      <c r="IC693" s="49"/>
      <c r="IE693" s="49"/>
      <c r="IF693" s="49"/>
      <c r="IH693" s="49"/>
      <c r="II693" s="49"/>
      <c r="IK693" s="49"/>
      <c r="IL693" s="49"/>
      <c r="IN693" s="49"/>
      <c r="IO693" s="49"/>
      <c r="IQ693" s="49"/>
      <c r="IR693" s="49"/>
      <c r="IT693" s="49"/>
      <c r="IU693" s="49"/>
      <c r="IW693" s="49"/>
      <c r="IX693" s="49"/>
      <c r="IZ693" s="49"/>
      <c r="JA693" s="49"/>
      <c r="JC693" s="49"/>
      <c r="JD693" s="49"/>
      <c r="JF693" s="49"/>
      <c r="JG693" s="49"/>
      <c r="JI693" s="49"/>
      <c r="JJ693" s="49"/>
      <c r="JL693" s="49"/>
      <c r="JM693" s="49"/>
      <c r="JO693" s="49"/>
      <c r="JP693" s="49"/>
      <c r="JR693" s="49"/>
    </row>
    <row r="694" spans="237:278">
      <c r="IC694" s="49"/>
      <c r="IE694" s="49"/>
      <c r="IF694" s="49"/>
      <c r="IH694" s="49"/>
      <c r="II694" s="49"/>
      <c r="IK694" s="49"/>
      <c r="IL694" s="49"/>
      <c r="IN694" s="49"/>
      <c r="IO694" s="49"/>
      <c r="IQ694" s="49"/>
      <c r="IR694" s="49"/>
      <c r="IT694" s="49"/>
      <c r="IU694" s="49"/>
      <c r="IW694" s="49"/>
      <c r="IX694" s="49"/>
      <c r="IZ694" s="49"/>
      <c r="JA694" s="49"/>
      <c r="JC694" s="49"/>
      <c r="JD694" s="49"/>
      <c r="JF694" s="49"/>
      <c r="JG694" s="49"/>
      <c r="JI694" s="49"/>
      <c r="JJ694" s="49"/>
      <c r="JL694" s="49"/>
      <c r="JM694" s="49"/>
      <c r="JO694" s="49"/>
      <c r="JP694" s="49"/>
      <c r="JR694" s="49"/>
    </row>
    <row r="695" spans="237:278">
      <c r="IC695" s="49"/>
      <c r="IE695" s="49"/>
      <c r="IF695" s="49"/>
      <c r="IH695" s="49"/>
      <c r="II695" s="49"/>
      <c r="IK695" s="49"/>
      <c r="IL695" s="49"/>
      <c r="IN695" s="49"/>
      <c r="IO695" s="49"/>
      <c r="IQ695" s="49"/>
      <c r="IR695" s="49"/>
      <c r="IT695" s="49"/>
      <c r="IU695" s="49"/>
      <c r="IW695" s="49"/>
      <c r="IX695" s="49"/>
      <c r="IZ695" s="49"/>
      <c r="JA695" s="49"/>
      <c r="JC695" s="49"/>
      <c r="JD695" s="49"/>
      <c r="JF695" s="49"/>
      <c r="JG695" s="49"/>
      <c r="JI695" s="49"/>
      <c r="JJ695" s="49"/>
      <c r="JL695" s="49"/>
      <c r="JM695" s="49"/>
      <c r="JO695" s="49"/>
      <c r="JP695" s="49"/>
      <c r="JR695" s="49"/>
    </row>
    <row r="696" spans="237:278">
      <c r="IC696" s="49"/>
      <c r="IE696" s="49"/>
      <c r="IF696" s="49"/>
      <c r="IH696" s="49"/>
      <c r="II696" s="49"/>
      <c r="IK696" s="49"/>
      <c r="IL696" s="49"/>
      <c r="IN696" s="49"/>
      <c r="IO696" s="49"/>
      <c r="IQ696" s="49"/>
      <c r="IR696" s="49"/>
      <c r="IT696" s="49"/>
      <c r="IU696" s="49"/>
      <c r="IW696" s="49"/>
      <c r="IX696" s="49"/>
      <c r="IZ696" s="49"/>
      <c r="JA696" s="49"/>
      <c r="JC696" s="49"/>
      <c r="JD696" s="49"/>
      <c r="JF696" s="49"/>
      <c r="JG696" s="49"/>
      <c r="JI696" s="49"/>
      <c r="JJ696" s="49"/>
      <c r="JL696" s="49"/>
      <c r="JM696" s="49"/>
      <c r="JO696" s="49"/>
      <c r="JP696" s="49"/>
      <c r="JR696" s="49"/>
    </row>
    <row r="697" spans="237:278">
      <c r="IC697" s="49"/>
      <c r="IE697" s="49"/>
      <c r="IF697" s="49"/>
      <c r="IH697" s="49"/>
      <c r="II697" s="49"/>
      <c r="IK697" s="49"/>
      <c r="IL697" s="49"/>
      <c r="IN697" s="49"/>
      <c r="IO697" s="49"/>
      <c r="IQ697" s="49"/>
      <c r="IR697" s="49"/>
      <c r="IT697" s="49"/>
      <c r="IU697" s="49"/>
      <c r="IW697" s="49"/>
      <c r="IX697" s="49"/>
      <c r="IZ697" s="49"/>
      <c r="JA697" s="49"/>
      <c r="JC697" s="49"/>
      <c r="JD697" s="49"/>
      <c r="JF697" s="49"/>
      <c r="JG697" s="49"/>
      <c r="JI697" s="49"/>
      <c r="JJ697" s="49"/>
      <c r="JL697" s="49"/>
      <c r="JM697" s="49"/>
      <c r="JO697" s="49"/>
      <c r="JP697" s="49"/>
      <c r="JR697" s="49"/>
    </row>
    <row r="698" spans="237:278">
      <c r="IC698" s="49"/>
      <c r="IE698" s="49"/>
      <c r="IF698" s="49"/>
      <c r="IH698" s="49"/>
      <c r="II698" s="49"/>
      <c r="IK698" s="49"/>
      <c r="IL698" s="49"/>
      <c r="IN698" s="49"/>
      <c r="IO698" s="49"/>
      <c r="IQ698" s="49"/>
      <c r="IR698" s="49"/>
      <c r="IT698" s="49"/>
      <c r="IU698" s="49"/>
      <c r="IW698" s="49"/>
      <c r="IX698" s="49"/>
      <c r="IZ698" s="49"/>
      <c r="JA698" s="49"/>
      <c r="JC698" s="49"/>
      <c r="JD698" s="49"/>
      <c r="JF698" s="49"/>
      <c r="JG698" s="49"/>
      <c r="JI698" s="49"/>
      <c r="JJ698" s="49"/>
      <c r="JL698" s="49"/>
      <c r="JM698" s="49"/>
      <c r="JO698" s="49"/>
      <c r="JP698" s="49"/>
      <c r="JR698" s="49"/>
    </row>
    <row r="699" spans="237:278">
      <c r="IC699" s="49"/>
      <c r="IE699" s="49"/>
      <c r="IF699" s="49"/>
      <c r="IH699" s="49"/>
      <c r="II699" s="49"/>
      <c r="IK699" s="49"/>
      <c r="IL699" s="49"/>
      <c r="IN699" s="49"/>
      <c r="IO699" s="49"/>
      <c r="IQ699" s="49"/>
      <c r="IR699" s="49"/>
      <c r="IT699" s="49"/>
      <c r="IU699" s="49"/>
      <c r="IW699" s="49"/>
      <c r="IX699" s="49"/>
      <c r="IZ699" s="49"/>
      <c r="JA699" s="49"/>
      <c r="JC699" s="49"/>
      <c r="JD699" s="49"/>
      <c r="JF699" s="49"/>
      <c r="JG699" s="49"/>
      <c r="JI699" s="49"/>
      <c r="JJ699" s="49"/>
      <c r="JL699" s="49"/>
      <c r="JM699" s="49"/>
      <c r="JO699" s="49"/>
      <c r="JP699" s="49"/>
      <c r="JR699" s="49"/>
    </row>
    <row r="700" spans="237:278">
      <c r="IC700" s="49"/>
      <c r="IE700" s="49"/>
      <c r="IF700" s="49"/>
      <c r="IH700" s="49"/>
      <c r="II700" s="49"/>
      <c r="IK700" s="49"/>
      <c r="IL700" s="49"/>
      <c r="IN700" s="49"/>
      <c r="IO700" s="49"/>
      <c r="IQ700" s="49"/>
      <c r="IR700" s="49"/>
      <c r="IT700" s="49"/>
      <c r="IU700" s="49"/>
      <c r="IW700" s="49"/>
      <c r="IX700" s="49"/>
      <c r="IZ700" s="49"/>
      <c r="JA700" s="49"/>
      <c r="JC700" s="49"/>
      <c r="JD700" s="49"/>
      <c r="JF700" s="49"/>
      <c r="JG700" s="49"/>
      <c r="JI700" s="49"/>
      <c r="JJ700" s="49"/>
      <c r="JL700" s="49"/>
      <c r="JM700" s="49"/>
      <c r="JO700" s="49"/>
      <c r="JP700" s="49"/>
      <c r="JR700" s="49"/>
    </row>
    <row r="701" spans="237:278">
      <c r="IC701" s="49"/>
      <c r="IE701" s="49"/>
      <c r="IF701" s="49"/>
      <c r="IH701" s="49"/>
      <c r="II701" s="49"/>
      <c r="IK701" s="49"/>
      <c r="IL701" s="49"/>
      <c r="IN701" s="49"/>
      <c r="IO701" s="49"/>
      <c r="IQ701" s="49"/>
      <c r="IR701" s="49"/>
      <c r="IT701" s="49"/>
      <c r="IU701" s="49"/>
      <c r="IW701" s="49"/>
      <c r="IX701" s="49"/>
      <c r="IZ701" s="49"/>
      <c r="JA701" s="49"/>
      <c r="JC701" s="49"/>
      <c r="JD701" s="49"/>
      <c r="JF701" s="49"/>
      <c r="JG701" s="49"/>
      <c r="JI701" s="49"/>
      <c r="JJ701" s="49"/>
      <c r="JL701" s="49"/>
      <c r="JM701" s="49"/>
      <c r="JO701" s="49"/>
      <c r="JP701" s="49"/>
      <c r="JR701" s="49"/>
    </row>
    <row r="702" spans="237:278">
      <c r="IC702" s="49"/>
      <c r="IE702" s="49"/>
      <c r="IF702" s="49"/>
      <c r="IH702" s="49"/>
      <c r="II702" s="49"/>
      <c r="IK702" s="49"/>
      <c r="IL702" s="49"/>
      <c r="IN702" s="49"/>
      <c r="IO702" s="49"/>
      <c r="IQ702" s="49"/>
      <c r="IR702" s="49"/>
      <c r="IT702" s="49"/>
      <c r="IU702" s="49"/>
      <c r="IW702" s="49"/>
      <c r="IX702" s="49"/>
      <c r="IZ702" s="49"/>
      <c r="JA702" s="49"/>
      <c r="JC702" s="49"/>
      <c r="JD702" s="49"/>
      <c r="JF702" s="49"/>
      <c r="JG702" s="49"/>
      <c r="JI702" s="49"/>
      <c r="JJ702" s="49"/>
      <c r="JL702" s="49"/>
      <c r="JM702" s="49"/>
      <c r="JO702" s="49"/>
      <c r="JP702" s="49"/>
      <c r="JR702" s="49"/>
    </row>
    <row r="703" spans="237:278">
      <c r="IC703" s="49"/>
      <c r="IE703" s="49"/>
      <c r="IF703" s="49"/>
      <c r="IH703" s="49"/>
      <c r="II703" s="49"/>
      <c r="IK703" s="49"/>
      <c r="IL703" s="49"/>
      <c r="IN703" s="49"/>
      <c r="IO703" s="49"/>
      <c r="IQ703" s="49"/>
      <c r="IR703" s="49"/>
      <c r="IT703" s="49"/>
      <c r="IU703" s="49"/>
      <c r="IW703" s="49"/>
      <c r="IX703" s="49"/>
      <c r="IZ703" s="49"/>
      <c r="JA703" s="49"/>
      <c r="JC703" s="49"/>
      <c r="JD703" s="49"/>
      <c r="JF703" s="49"/>
      <c r="JG703" s="49"/>
      <c r="JI703" s="49"/>
      <c r="JJ703" s="49"/>
      <c r="JL703" s="49"/>
      <c r="JM703" s="49"/>
      <c r="JO703" s="49"/>
      <c r="JP703" s="49"/>
      <c r="JR703" s="49"/>
    </row>
    <row r="704" spans="237:278">
      <c r="IC704" s="49"/>
      <c r="IE704" s="49"/>
      <c r="IF704" s="49"/>
      <c r="IH704" s="49"/>
      <c r="II704" s="49"/>
      <c r="IK704" s="49"/>
      <c r="IL704" s="49"/>
      <c r="IN704" s="49"/>
      <c r="IO704" s="49"/>
      <c r="IQ704" s="49"/>
      <c r="IR704" s="49"/>
      <c r="IT704" s="49"/>
      <c r="IU704" s="49"/>
      <c r="IW704" s="49"/>
      <c r="IX704" s="49"/>
      <c r="IZ704" s="49"/>
      <c r="JA704" s="49"/>
      <c r="JC704" s="49"/>
      <c r="JD704" s="49"/>
      <c r="JF704" s="49"/>
      <c r="JG704" s="49"/>
      <c r="JI704" s="49"/>
      <c r="JJ704" s="49"/>
      <c r="JL704" s="49"/>
      <c r="JM704" s="49"/>
      <c r="JO704" s="49"/>
      <c r="JP704" s="49"/>
      <c r="JR704" s="49"/>
    </row>
    <row r="705" spans="237:278">
      <c r="IC705" s="49"/>
      <c r="IE705" s="49"/>
      <c r="IF705" s="49"/>
      <c r="IH705" s="49"/>
      <c r="II705" s="49"/>
      <c r="IK705" s="49"/>
      <c r="IL705" s="49"/>
      <c r="IN705" s="49"/>
      <c r="IO705" s="49"/>
      <c r="IQ705" s="49"/>
      <c r="IR705" s="49"/>
      <c r="IT705" s="49"/>
      <c r="IU705" s="49"/>
      <c r="IW705" s="49"/>
      <c r="IX705" s="49"/>
      <c r="IZ705" s="49"/>
      <c r="JA705" s="49"/>
      <c r="JC705" s="49"/>
      <c r="JD705" s="49"/>
      <c r="JF705" s="49"/>
      <c r="JG705" s="49"/>
      <c r="JI705" s="49"/>
      <c r="JJ705" s="49"/>
      <c r="JL705" s="49"/>
      <c r="JM705" s="49"/>
      <c r="JO705" s="49"/>
      <c r="JP705" s="49"/>
      <c r="JR705" s="49"/>
    </row>
    <row r="706" spans="237:278">
      <c r="IC706" s="49"/>
      <c r="IE706" s="49"/>
      <c r="IF706" s="49"/>
      <c r="IH706" s="49"/>
      <c r="II706" s="49"/>
      <c r="IK706" s="49"/>
      <c r="IL706" s="49"/>
      <c r="IN706" s="49"/>
      <c r="IO706" s="49"/>
      <c r="IQ706" s="49"/>
      <c r="IR706" s="49"/>
      <c r="IT706" s="49"/>
      <c r="IU706" s="49"/>
      <c r="IW706" s="49"/>
      <c r="IX706" s="49"/>
      <c r="IZ706" s="49"/>
      <c r="JA706" s="49"/>
      <c r="JC706" s="49"/>
      <c r="JD706" s="49"/>
      <c r="JF706" s="49"/>
      <c r="JG706" s="49"/>
      <c r="JI706" s="49"/>
      <c r="JJ706" s="49"/>
      <c r="JL706" s="49"/>
      <c r="JM706" s="49"/>
      <c r="JO706" s="49"/>
      <c r="JP706" s="49"/>
      <c r="JR706" s="49"/>
    </row>
    <row r="707" spans="237:278">
      <c r="IC707" s="49"/>
      <c r="IE707" s="49"/>
      <c r="IF707" s="49"/>
      <c r="IH707" s="49"/>
      <c r="II707" s="49"/>
      <c r="IK707" s="49"/>
      <c r="IL707" s="49"/>
      <c r="IN707" s="49"/>
      <c r="IO707" s="49"/>
      <c r="IQ707" s="49"/>
      <c r="IR707" s="49"/>
      <c r="IT707" s="49"/>
      <c r="IU707" s="49"/>
      <c r="IW707" s="49"/>
      <c r="IX707" s="49"/>
      <c r="IZ707" s="49"/>
      <c r="JA707" s="49"/>
      <c r="JC707" s="49"/>
      <c r="JD707" s="49"/>
      <c r="JF707" s="49"/>
      <c r="JG707" s="49"/>
      <c r="JI707" s="49"/>
      <c r="JJ707" s="49"/>
      <c r="JL707" s="49"/>
      <c r="JM707" s="49"/>
      <c r="JO707" s="49"/>
      <c r="JP707" s="49"/>
      <c r="JR707" s="49"/>
    </row>
    <row r="708" spans="237:278">
      <c r="IC708" s="49"/>
      <c r="IE708" s="49"/>
      <c r="IF708" s="49"/>
      <c r="IH708" s="49"/>
      <c r="II708" s="49"/>
      <c r="IK708" s="49"/>
      <c r="IL708" s="49"/>
      <c r="IN708" s="49"/>
      <c r="IO708" s="49"/>
      <c r="IQ708" s="49"/>
      <c r="IR708" s="49"/>
      <c r="IT708" s="49"/>
      <c r="IU708" s="49"/>
      <c r="IW708" s="49"/>
      <c r="IX708" s="49"/>
      <c r="IZ708" s="49"/>
      <c r="JA708" s="49"/>
      <c r="JC708" s="49"/>
      <c r="JD708" s="49"/>
      <c r="JF708" s="49"/>
      <c r="JG708" s="49"/>
      <c r="JI708" s="49"/>
      <c r="JJ708" s="49"/>
      <c r="JL708" s="49"/>
      <c r="JM708" s="49"/>
      <c r="JO708" s="49"/>
      <c r="JP708" s="49"/>
      <c r="JR708" s="49"/>
    </row>
    <row r="709" spans="237:278">
      <c r="IC709" s="49"/>
      <c r="IE709" s="49"/>
      <c r="IF709" s="49"/>
      <c r="IH709" s="49"/>
      <c r="II709" s="49"/>
      <c r="IK709" s="49"/>
      <c r="IL709" s="49"/>
      <c r="IN709" s="49"/>
      <c r="IO709" s="49"/>
      <c r="IQ709" s="49"/>
      <c r="IR709" s="49"/>
      <c r="IT709" s="49"/>
      <c r="IU709" s="49"/>
      <c r="IW709" s="49"/>
      <c r="IX709" s="49"/>
      <c r="IZ709" s="49"/>
      <c r="JA709" s="49"/>
      <c r="JC709" s="49"/>
      <c r="JD709" s="49"/>
      <c r="JF709" s="49"/>
      <c r="JG709" s="49"/>
      <c r="JI709" s="49"/>
      <c r="JJ709" s="49"/>
      <c r="JL709" s="49"/>
      <c r="JM709" s="49"/>
      <c r="JO709" s="49"/>
      <c r="JP709" s="49"/>
      <c r="JR709" s="49"/>
    </row>
    <row r="710" spans="237:278">
      <c r="IC710" s="49"/>
      <c r="IE710" s="49"/>
      <c r="IF710" s="49"/>
      <c r="IH710" s="49"/>
      <c r="II710" s="49"/>
      <c r="IK710" s="49"/>
      <c r="IL710" s="49"/>
      <c r="IN710" s="49"/>
      <c r="IO710" s="49"/>
      <c r="IQ710" s="49"/>
      <c r="IR710" s="49"/>
      <c r="IT710" s="49"/>
      <c r="IU710" s="49"/>
      <c r="IW710" s="49"/>
      <c r="IX710" s="49"/>
      <c r="IZ710" s="49"/>
      <c r="JA710" s="49"/>
      <c r="JC710" s="49"/>
      <c r="JD710" s="49"/>
      <c r="JF710" s="49"/>
      <c r="JG710" s="49"/>
      <c r="JI710" s="49"/>
      <c r="JJ710" s="49"/>
      <c r="JL710" s="49"/>
      <c r="JM710" s="49"/>
      <c r="JO710" s="49"/>
      <c r="JP710" s="49"/>
      <c r="JR710" s="49"/>
    </row>
    <row r="711" spans="237:278">
      <c r="IC711" s="49"/>
      <c r="IE711" s="49"/>
      <c r="IF711" s="49"/>
      <c r="IH711" s="49"/>
      <c r="II711" s="49"/>
      <c r="IK711" s="49"/>
      <c r="IL711" s="49"/>
      <c r="IN711" s="49"/>
      <c r="IO711" s="49"/>
      <c r="IQ711" s="49"/>
      <c r="IR711" s="49"/>
      <c r="IT711" s="49"/>
      <c r="IU711" s="49"/>
      <c r="IW711" s="49"/>
      <c r="IX711" s="49"/>
      <c r="IZ711" s="49"/>
      <c r="JA711" s="49"/>
      <c r="JC711" s="49"/>
      <c r="JD711" s="49"/>
      <c r="JF711" s="49"/>
      <c r="JG711" s="49"/>
      <c r="JI711" s="49"/>
      <c r="JJ711" s="49"/>
      <c r="JL711" s="49"/>
      <c r="JM711" s="49"/>
      <c r="JO711" s="49"/>
      <c r="JP711" s="49"/>
      <c r="JR711" s="49"/>
    </row>
    <row r="712" spans="237:278">
      <c r="IC712" s="49"/>
      <c r="IE712" s="49"/>
      <c r="IF712" s="49"/>
      <c r="IH712" s="49"/>
      <c r="II712" s="49"/>
      <c r="IK712" s="49"/>
      <c r="IL712" s="49"/>
      <c r="IN712" s="49"/>
      <c r="IO712" s="49"/>
      <c r="IQ712" s="49"/>
      <c r="IR712" s="49"/>
      <c r="IT712" s="49"/>
      <c r="IU712" s="49"/>
      <c r="IW712" s="49"/>
      <c r="IX712" s="49"/>
      <c r="IZ712" s="49"/>
      <c r="JA712" s="49"/>
      <c r="JC712" s="49"/>
      <c r="JD712" s="49"/>
      <c r="JF712" s="49"/>
      <c r="JG712" s="49"/>
      <c r="JI712" s="49"/>
      <c r="JJ712" s="49"/>
      <c r="JL712" s="49"/>
      <c r="JM712" s="49"/>
      <c r="JO712" s="49"/>
      <c r="JP712" s="49"/>
      <c r="JR712" s="49"/>
    </row>
    <row r="713" spans="237:278">
      <c r="IC713" s="49"/>
      <c r="IE713" s="49"/>
      <c r="IF713" s="49"/>
      <c r="IH713" s="49"/>
      <c r="II713" s="49"/>
      <c r="IK713" s="49"/>
      <c r="IL713" s="49"/>
      <c r="IN713" s="49"/>
      <c r="IO713" s="49"/>
      <c r="IQ713" s="49"/>
      <c r="IR713" s="49"/>
      <c r="IT713" s="49"/>
      <c r="IU713" s="49"/>
      <c r="IW713" s="49"/>
      <c r="IX713" s="49"/>
      <c r="IZ713" s="49"/>
      <c r="JA713" s="49"/>
      <c r="JC713" s="49"/>
      <c r="JD713" s="49"/>
      <c r="JF713" s="49"/>
      <c r="JG713" s="49"/>
      <c r="JI713" s="49"/>
      <c r="JJ713" s="49"/>
      <c r="JL713" s="49"/>
      <c r="JM713" s="49"/>
      <c r="JO713" s="49"/>
      <c r="JP713" s="49"/>
      <c r="JR713" s="49"/>
    </row>
    <row r="714" spans="237:278">
      <c r="IC714" s="49"/>
      <c r="IE714" s="49"/>
      <c r="IF714" s="49"/>
      <c r="IH714" s="49"/>
      <c r="II714" s="49"/>
      <c r="IK714" s="49"/>
      <c r="IL714" s="49"/>
      <c r="IN714" s="49"/>
      <c r="IO714" s="49"/>
      <c r="IQ714" s="49"/>
      <c r="IR714" s="49"/>
      <c r="IT714" s="49"/>
      <c r="IU714" s="49"/>
      <c r="IW714" s="49"/>
      <c r="IX714" s="49"/>
      <c r="IZ714" s="49"/>
      <c r="JA714" s="49"/>
      <c r="JC714" s="49"/>
      <c r="JD714" s="49"/>
      <c r="JF714" s="49"/>
      <c r="JG714" s="49"/>
      <c r="JI714" s="49"/>
      <c r="JJ714" s="49"/>
      <c r="JL714" s="49"/>
      <c r="JM714" s="49"/>
      <c r="JO714" s="49"/>
      <c r="JP714" s="49"/>
      <c r="JR714" s="49"/>
    </row>
    <row r="715" spans="237:278">
      <c r="IC715" s="49"/>
      <c r="IE715" s="49"/>
      <c r="IF715" s="49"/>
      <c r="IH715" s="49"/>
      <c r="II715" s="49"/>
      <c r="IK715" s="49"/>
      <c r="IL715" s="49"/>
      <c r="IN715" s="49"/>
      <c r="IO715" s="49"/>
      <c r="IQ715" s="49"/>
      <c r="IR715" s="49"/>
      <c r="IT715" s="49"/>
      <c r="IU715" s="49"/>
      <c r="IW715" s="49"/>
      <c r="IX715" s="49"/>
      <c r="IZ715" s="49"/>
      <c r="JA715" s="49"/>
      <c r="JC715" s="49"/>
      <c r="JD715" s="49"/>
      <c r="JF715" s="49"/>
      <c r="JG715" s="49"/>
      <c r="JI715" s="49"/>
      <c r="JJ715" s="49"/>
      <c r="JL715" s="49"/>
      <c r="JM715" s="49"/>
      <c r="JO715" s="49"/>
      <c r="JP715" s="49"/>
      <c r="JR715" s="49"/>
    </row>
    <row r="716" spans="237:278">
      <c r="IC716" s="49"/>
      <c r="IE716" s="49"/>
      <c r="IF716" s="49"/>
      <c r="IH716" s="49"/>
      <c r="II716" s="49"/>
      <c r="IK716" s="49"/>
      <c r="IL716" s="49"/>
      <c r="IN716" s="49"/>
      <c r="IO716" s="49"/>
      <c r="IQ716" s="49"/>
      <c r="IR716" s="49"/>
      <c r="IT716" s="49"/>
      <c r="IU716" s="49"/>
      <c r="IW716" s="49"/>
      <c r="IX716" s="49"/>
      <c r="IZ716" s="49"/>
      <c r="JA716" s="49"/>
      <c r="JC716" s="49"/>
      <c r="JD716" s="49"/>
      <c r="JF716" s="49"/>
      <c r="JG716" s="49"/>
      <c r="JI716" s="49"/>
      <c r="JJ716" s="49"/>
      <c r="JL716" s="49"/>
      <c r="JM716" s="49"/>
      <c r="JO716" s="49"/>
      <c r="JP716" s="49"/>
      <c r="JR716" s="49"/>
    </row>
    <row r="717" spans="237:278">
      <c r="IC717" s="49"/>
      <c r="IE717" s="49"/>
      <c r="IF717" s="49"/>
      <c r="IH717" s="49"/>
      <c r="II717" s="49"/>
      <c r="IK717" s="49"/>
      <c r="IL717" s="49"/>
      <c r="IN717" s="49"/>
      <c r="IO717" s="49"/>
      <c r="IQ717" s="49"/>
      <c r="IR717" s="49"/>
      <c r="IT717" s="49"/>
      <c r="IU717" s="49"/>
      <c r="IW717" s="49"/>
      <c r="IX717" s="49"/>
      <c r="IZ717" s="49"/>
      <c r="JA717" s="49"/>
      <c r="JC717" s="49"/>
      <c r="JD717" s="49"/>
      <c r="JF717" s="49"/>
      <c r="JG717" s="49"/>
      <c r="JI717" s="49"/>
      <c r="JJ717" s="49"/>
      <c r="JL717" s="49"/>
      <c r="JM717" s="49"/>
      <c r="JO717" s="49"/>
      <c r="JP717" s="49"/>
      <c r="JR717" s="49"/>
    </row>
    <row r="718" spans="237:278">
      <c r="IC718" s="49"/>
      <c r="IE718" s="49"/>
      <c r="IF718" s="49"/>
      <c r="IH718" s="49"/>
      <c r="II718" s="49"/>
      <c r="IK718" s="49"/>
      <c r="IL718" s="49"/>
      <c r="IN718" s="49"/>
      <c r="IO718" s="49"/>
      <c r="IQ718" s="49"/>
      <c r="IR718" s="49"/>
      <c r="IT718" s="49"/>
      <c r="IU718" s="49"/>
      <c r="IW718" s="49"/>
      <c r="IX718" s="49"/>
      <c r="IZ718" s="49"/>
      <c r="JA718" s="49"/>
      <c r="JC718" s="49"/>
      <c r="JD718" s="49"/>
      <c r="JF718" s="49"/>
      <c r="JG718" s="49"/>
      <c r="JI718" s="49"/>
      <c r="JJ718" s="49"/>
      <c r="JL718" s="49"/>
      <c r="JM718" s="49"/>
      <c r="JO718" s="49"/>
      <c r="JP718" s="49"/>
      <c r="JR718" s="49"/>
    </row>
    <row r="719" spans="237:278">
      <c r="IC719" s="49"/>
      <c r="IE719" s="49"/>
      <c r="IF719" s="49"/>
      <c r="IH719" s="49"/>
      <c r="II719" s="49"/>
      <c r="IK719" s="49"/>
      <c r="IL719" s="49"/>
      <c r="IN719" s="49"/>
      <c r="IO719" s="49"/>
      <c r="IQ719" s="49"/>
      <c r="IR719" s="49"/>
      <c r="IT719" s="49"/>
      <c r="IU719" s="49"/>
      <c r="IW719" s="49"/>
      <c r="IX719" s="49"/>
      <c r="IZ719" s="49"/>
      <c r="JA719" s="49"/>
      <c r="JC719" s="49"/>
      <c r="JD719" s="49"/>
      <c r="JF719" s="49"/>
      <c r="JG719" s="49"/>
      <c r="JI719" s="49"/>
      <c r="JJ719" s="49"/>
      <c r="JL719" s="49"/>
      <c r="JM719" s="49"/>
      <c r="JO719" s="49"/>
      <c r="JP719" s="49"/>
      <c r="JR719" s="49"/>
    </row>
    <row r="720" spans="237:278">
      <c r="IC720" s="49"/>
      <c r="IE720" s="49"/>
      <c r="IF720" s="49"/>
      <c r="IH720" s="49"/>
      <c r="II720" s="49"/>
      <c r="IK720" s="49"/>
      <c r="IL720" s="49"/>
      <c r="IN720" s="49"/>
      <c r="IO720" s="49"/>
      <c r="IQ720" s="49"/>
      <c r="IR720" s="49"/>
      <c r="IT720" s="49"/>
      <c r="IU720" s="49"/>
      <c r="IW720" s="49"/>
      <c r="IX720" s="49"/>
      <c r="IZ720" s="49"/>
      <c r="JA720" s="49"/>
      <c r="JC720" s="49"/>
      <c r="JD720" s="49"/>
      <c r="JF720" s="49"/>
      <c r="JG720" s="49"/>
      <c r="JI720" s="49"/>
      <c r="JJ720" s="49"/>
      <c r="JL720" s="49"/>
      <c r="JM720" s="49"/>
      <c r="JO720" s="49"/>
      <c r="JP720" s="49"/>
      <c r="JR720" s="49"/>
    </row>
    <row r="721" spans="237:278">
      <c r="IC721" s="49"/>
      <c r="IE721" s="49"/>
      <c r="IF721" s="49"/>
      <c r="IH721" s="49"/>
      <c r="II721" s="49"/>
      <c r="IK721" s="49"/>
      <c r="IL721" s="49"/>
      <c r="IN721" s="49"/>
      <c r="IO721" s="49"/>
      <c r="IQ721" s="49"/>
      <c r="IR721" s="49"/>
      <c r="IT721" s="49"/>
      <c r="IU721" s="49"/>
      <c r="IW721" s="49"/>
      <c r="IX721" s="49"/>
      <c r="IZ721" s="49"/>
      <c r="JA721" s="49"/>
      <c r="JC721" s="49"/>
      <c r="JD721" s="49"/>
      <c r="JF721" s="49"/>
      <c r="JG721" s="49"/>
      <c r="JI721" s="49"/>
      <c r="JJ721" s="49"/>
      <c r="JL721" s="49"/>
      <c r="JM721" s="49"/>
      <c r="JO721" s="49"/>
      <c r="JP721" s="49"/>
      <c r="JR721" s="49"/>
    </row>
    <row r="722" spans="237:278">
      <c r="IC722" s="49"/>
      <c r="IE722" s="49"/>
      <c r="IF722" s="49"/>
      <c r="IH722" s="49"/>
      <c r="II722" s="49"/>
      <c r="IK722" s="49"/>
      <c r="IL722" s="49"/>
      <c r="IN722" s="49"/>
      <c r="IO722" s="49"/>
      <c r="IQ722" s="49"/>
      <c r="IR722" s="49"/>
      <c r="IT722" s="49"/>
      <c r="IU722" s="49"/>
      <c r="IW722" s="49"/>
      <c r="IX722" s="49"/>
      <c r="IZ722" s="49"/>
      <c r="JA722" s="49"/>
      <c r="JC722" s="49"/>
      <c r="JD722" s="49"/>
      <c r="JF722" s="49"/>
      <c r="JG722" s="49"/>
      <c r="JI722" s="49"/>
      <c r="JJ722" s="49"/>
      <c r="JL722" s="49"/>
      <c r="JM722" s="49"/>
      <c r="JO722" s="49"/>
      <c r="JP722" s="49"/>
      <c r="JR722" s="49"/>
    </row>
    <row r="723" spans="237:278">
      <c r="IC723" s="49"/>
      <c r="IE723" s="49"/>
      <c r="IF723" s="49"/>
      <c r="IH723" s="49"/>
      <c r="II723" s="49"/>
      <c r="IK723" s="49"/>
      <c r="IL723" s="49"/>
      <c r="IN723" s="49"/>
      <c r="IO723" s="49"/>
      <c r="IQ723" s="49"/>
      <c r="IR723" s="49"/>
      <c r="IT723" s="49"/>
      <c r="IU723" s="49"/>
      <c r="IW723" s="49"/>
      <c r="IX723" s="49"/>
      <c r="IZ723" s="49"/>
      <c r="JA723" s="49"/>
      <c r="JC723" s="49"/>
      <c r="JD723" s="49"/>
      <c r="JF723" s="49"/>
      <c r="JG723" s="49"/>
      <c r="JI723" s="49"/>
      <c r="JJ723" s="49"/>
      <c r="JL723" s="49"/>
      <c r="JM723" s="49"/>
      <c r="JO723" s="49"/>
      <c r="JP723" s="49"/>
      <c r="JR723" s="49"/>
    </row>
    <row r="724" spans="237:278">
      <c r="IC724" s="49"/>
      <c r="IE724" s="49"/>
      <c r="IF724" s="49"/>
      <c r="IH724" s="49"/>
      <c r="II724" s="49"/>
      <c r="IK724" s="49"/>
      <c r="IL724" s="49"/>
      <c r="IN724" s="49"/>
      <c r="IO724" s="49"/>
      <c r="IQ724" s="49"/>
      <c r="IR724" s="49"/>
      <c r="IT724" s="49"/>
      <c r="IU724" s="49"/>
      <c r="IW724" s="49"/>
      <c r="IX724" s="49"/>
      <c r="IZ724" s="49"/>
      <c r="JA724" s="49"/>
      <c r="JC724" s="49"/>
      <c r="JD724" s="49"/>
      <c r="JF724" s="49"/>
      <c r="JG724" s="49"/>
      <c r="JI724" s="49"/>
      <c r="JJ724" s="49"/>
      <c r="JL724" s="49"/>
      <c r="JM724" s="49"/>
      <c r="JO724" s="49"/>
      <c r="JP724" s="49"/>
      <c r="JR724" s="49"/>
    </row>
    <row r="725" spans="237:278">
      <c r="IC725" s="49"/>
      <c r="IE725" s="49"/>
      <c r="IF725" s="49"/>
      <c r="IH725" s="49"/>
      <c r="II725" s="49"/>
      <c r="IK725" s="49"/>
      <c r="IL725" s="49"/>
      <c r="IN725" s="49"/>
      <c r="IO725" s="49"/>
      <c r="IQ725" s="49"/>
      <c r="IR725" s="49"/>
      <c r="IT725" s="49"/>
      <c r="IU725" s="49"/>
      <c r="IW725" s="49"/>
      <c r="IX725" s="49"/>
      <c r="IZ725" s="49"/>
      <c r="JA725" s="49"/>
      <c r="JC725" s="49"/>
      <c r="JD725" s="49"/>
      <c r="JF725" s="49"/>
      <c r="JG725" s="49"/>
      <c r="JI725" s="49"/>
      <c r="JJ725" s="49"/>
      <c r="JL725" s="49"/>
      <c r="JM725" s="49"/>
      <c r="JO725" s="49"/>
      <c r="JP725" s="49"/>
      <c r="JR725" s="49"/>
    </row>
    <row r="726" spans="237:278">
      <c r="IC726" s="49"/>
      <c r="IE726" s="49"/>
      <c r="IF726" s="49"/>
      <c r="IH726" s="49"/>
      <c r="II726" s="49"/>
      <c r="IK726" s="49"/>
      <c r="IL726" s="49"/>
      <c r="IN726" s="49"/>
      <c r="IO726" s="49"/>
      <c r="IQ726" s="49"/>
      <c r="IR726" s="49"/>
      <c r="IT726" s="49"/>
      <c r="IU726" s="49"/>
      <c r="IW726" s="49"/>
      <c r="IX726" s="49"/>
      <c r="IZ726" s="49"/>
      <c r="JA726" s="49"/>
      <c r="JC726" s="49"/>
      <c r="JD726" s="49"/>
      <c r="JF726" s="49"/>
      <c r="JG726" s="49"/>
      <c r="JI726" s="49"/>
      <c r="JJ726" s="49"/>
      <c r="JL726" s="49"/>
      <c r="JM726" s="49"/>
      <c r="JO726" s="49"/>
      <c r="JP726" s="49"/>
      <c r="JR726" s="49"/>
    </row>
    <row r="727" spans="237:278">
      <c r="IC727" s="49"/>
      <c r="IE727" s="49"/>
      <c r="IF727" s="49"/>
      <c r="IH727" s="49"/>
      <c r="II727" s="49"/>
      <c r="IK727" s="49"/>
      <c r="IL727" s="49"/>
      <c r="IN727" s="49"/>
      <c r="IO727" s="49"/>
      <c r="IQ727" s="49"/>
      <c r="IR727" s="49"/>
      <c r="IT727" s="49"/>
      <c r="IU727" s="49"/>
      <c r="IW727" s="49"/>
      <c r="IX727" s="49"/>
      <c r="IZ727" s="49"/>
      <c r="JA727" s="49"/>
      <c r="JC727" s="49"/>
      <c r="JD727" s="49"/>
      <c r="JF727" s="49"/>
      <c r="JG727" s="49"/>
      <c r="JI727" s="49"/>
      <c r="JJ727" s="49"/>
      <c r="JL727" s="49"/>
      <c r="JM727" s="49"/>
      <c r="JO727" s="49"/>
      <c r="JP727" s="49"/>
      <c r="JR727" s="49"/>
    </row>
    <row r="728" spans="237:278">
      <c r="IC728" s="49"/>
      <c r="IE728" s="49"/>
      <c r="IF728" s="49"/>
      <c r="IH728" s="49"/>
      <c r="II728" s="49"/>
      <c r="IK728" s="49"/>
      <c r="IL728" s="49"/>
      <c r="IN728" s="49"/>
      <c r="IO728" s="49"/>
      <c r="IQ728" s="49"/>
      <c r="IR728" s="49"/>
      <c r="IT728" s="49"/>
      <c r="IU728" s="49"/>
      <c r="IW728" s="49"/>
      <c r="IX728" s="49"/>
      <c r="IZ728" s="49"/>
      <c r="JA728" s="49"/>
      <c r="JC728" s="49"/>
      <c r="JD728" s="49"/>
      <c r="JF728" s="49"/>
      <c r="JG728" s="49"/>
      <c r="JI728" s="49"/>
      <c r="JJ728" s="49"/>
      <c r="JL728" s="49"/>
      <c r="JM728" s="49"/>
      <c r="JO728" s="49"/>
      <c r="JP728" s="49"/>
      <c r="JR728" s="49"/>
    </row>
    <row r="729" spans="237:278">
      <c r="IC729" s="49"/>
      <c r="IE729" s="49"/>
      <c r="IF729" s="49"/>
      <c r="IH729" s="49"/>
      <c r="II729" s="49"/>
      <c r="IK729" s="49"/>
      <c r="IL729" s="49"/>
      <c r="IN729" s="49"/>
      <c r="IO729" s="49"/>
      <c r="IQ729" s="49"/>
      <c r="IR729" s="49"/>
      <c r="IT729" s="49"/>
      <c r="IU729" s="49"/>
      <c r="IW729" s="49"/>
      <c r="IX729" s="49"/>
      <c r="IZ729" s="49"/>
      <c r="JA729" s="49"/>
      <c r="JC729" s="49"/>
      <c r="JD729" s="49"/>
      <c r="JF729" s="49"/>
      <c r="JG729" s="49"/>
      <c r="JI729" s="49"/>
      <c r="JJ729" s="49"/>
      <c r="JL729" s="49"/>
      <c r="JM729" s="49"/>
      <c r="JO729" s="49"/>
      <c r="JP729" s="49"/>
      <c r="JR729" s="49"/>
    </row>
    <row r="730" spans="237:278">
      <c r="IC730" s="49"/>
      <c r="IE730" s="49"/>
      <c r="IF730" s="49"/>
      <c r="IH730" s="49"/>
      <c r="II730" s="49"/>
      <c r="IK730" s="49"/>
      <c r="IL730" s="49"/>
      <c r="IN730" s="49"/>
      <c r="IO730" s="49"/>
      <c r="IQ730" s="49"/>
      <c r="IR730" s="49"/>
      <c r="IT730" s="49"/>
      <c r="IU730" s="49"/>
      <c r="IW730" s="49"/>
      <c r="IX730" s="49"/>
      <c r="IZ730" s="49"/>
      <c r="JA730" s="49"/>
      <c r="JC730" s="49"/>
      <c r="JD730" s="49"/>
      <c r="JF730" s="49"/>
      <c r="JG730" s="49"/>
      <c r="JI730" s="49"/>
      <c r="JJ730" s="49"/>
      <c r="JL730" s="49"/>
      <c r="JM730" s="49"/>
      <c r="JO730" s="49"/>
      <c r="JP730" s="49"/>
      <c r="JR730" s="49"/>
    </row>
    <row r="731" spans="237:278">
      <c r="IC731" s="49"/>
      <c r="IE731" s="49"/>
      <c r="IF731" s="49"/>
      <c r="IH731" s="49"/>
      <c r="II731" s="49"/>
      <c r="IK731" s="49"/>
      <c r="IL731" s="49"/>
      <c r="IN731" s="49"/>
      <c r="IO731" s="49"/>
      <c r="IQ731" s="49"/>
      <c r="IR731" s="49"/>
      <c r="IT731" s="49"/>
      <c r="IU731" s="49"/>
      <c r="IW731" s="49"/>
      <c r="IX731" s="49"/>
      <c r="IZ731" s="49"/>
      <c r="JA731" s="49"/>
      <c r="JC731" s="49"/>
      <c r="JD731" s="49"/>
      <c r="JF731" s="49"/>
      <c r="JG731" s="49"/>
      <c r="JI731" s="49"/>
      <c r="JJ731" s="49"/>
      <c r="JL731" s="49"/>
      <c r="JM731" s="49"/>
      <c r="JO731" s="49"/>
      <c r="JP731" s="49"/>
      <c r="JR731" s="49"/>
    </row>
    <row r="732" spans="237:278">
      <c r="IC732" s="49"/>
      <c r="IE732" s="49"/>
      <c r="IF732" s="49"/>
      <c r="IH732" s="49"/>
      <c r="II732" s="49"/>
      <c r="IK732" s="49"/>
      <c r="IL732" s="49"/>
      <c r="IN732" s="49"/>
      <c r="IO732" s="49"/>
      <c r="IQ732" s="49"/>
      <c r="IR732" s="49"/>
      <c r="IT732" s="49"/>
      <c r="IU732" s="49"/>
      <c r="IW732" s="49"/>
      <c r="IX732" s="49"/>
      <c r="IZ732" s="49"/>
      <c r="JA732" s="49"/>
      <c r="JC732" s="49"/>
      <c r="JD732" s="49"/>
      <c r="JF732" s="49"/>
      <c r="JG732" s="49"/>
      <c r="JI732" s="49"/>
      <c r="JJ732" s="49"/>
      <c r="JL732" s="49"/>
      <c r="JM732" s="49"/>
      <c r="JO732" s="49"/>
      <c r="JP732" s="49"/>
      <c r="JR732" s="49"/>
    </row>
    <row r="733" spans="237:278">
      <c r="IC733" s="49"/>
      <c r="IE733" s="49"/>
      <c r="IF733" s="49"/>
      <c r="IH733" s="49"/>
      <c r="II733" s="49"/>
      <c r="IK733" s="49"/>
      <c r="IL733" s="49"/>
      <c r="IN733" s="49"/>
      <c r="IO733" s="49"/>
      <c r="IQ733" s="49"/>
      <c r="IR733" s="49"/>
      <c r="IT733" s="49"/>
      <c r="IU733" s="49"/>
      <c r="IW733" s="49"/>
      <c r="IX733" s="49"/>
      <c r="IZ733" s="49"/>
      <c r="JA733" s="49"/>
      <c r="JC733" s="49"/>
      <c r="JD733" s="49"/>
      <c r="JF733" s="49"/>
      <c r="JG733" s="49"/>
      <c r="JI733" s="49"/>
      <c r="JJ733" s="49"/>
      <c r="JL733" s="49"/>
      <c r="JM733" s="49"/>
      <c r="JO733" s="49"/>
      <c r="JP733" s="49"/>
      <c r="JR733" s="49"/>
    </row>
    <row r="734" spans="237:278">
      <c r="IC734" s="49"/>
      <c r="IE734" s="49"/>
      <c r="IF734" s="49"/>
      <c r="IH734" s="49"/>
      <c r="II734" s="49"/>
      <c r="IK734" s="49"/>
      <c r="IL734" s="49"/>
      <c r="IN734" s="49"/>
      <c r="IO734" s="49"/>
      <c r="IQ734" s="49"/>
      <c r="IR734" s="49"/>
      <c r="IT734" s="49"/>
      <c r="IU734" s="49"/>
      <c r="IW734" s="49"/>
      <c r="IX734" s="49"/>
      <c r="IZ734" s="49"/>
      <c r="JA734" s="49"/>
      <c r="JC734" s="49"/>
      <c r="JD734" s="49"/>
      <c r="JF734" s="49"/>
      <c r="JG734" s="49"/>
      <c r="JI734" s="49"/>
      <c r="JJ734" s="49"/>
      <c r="JL734" s="49"/>
      <c r="JM734" s="49"/>
      <c r="JO734" s="49"/>
      <c r="JP734" s="49"/>
      <c r="JR734" s="49"/>
    </row>
    <row r="735" spans="237:278">
      <c r="IC735" s="49"/>
      <c r="IE735" s="49"/>
      <c r="IF735" s="49"/>
      <c r="IH735" s="49"/>
      <c r="II735" s="49"/>
      <c r="IK735" s="49"/>
      <c r="IL735" s="49"/>
      <c r="IN735" s="49"/>
      <c r="IO735" s="49"/>
      <c r="IQ735" s="49"/>
      <c r="IR735" s="49"/>
      <c r="IT735" s="49"/>
      <c r="IU735" s="49"/>
      <c r="IW735" s="49"/>
      <c r="IX735" s="49"/>
      <c r="IZ735" s="49"/>
      <c r="JA735" s="49"/>
      <c r="JC735" s="49"/>
      <c r="JD735" s="49"/>
      <c r="JF735" s="49"/>
      <c r="JG735" s="49"/>
      <c r="JI735" s="49"/>
      <c r="JJ735" s="49"/>
      <c r="JL735" s="49"/>
      <c r="JM735" s="49"/>
      <c r="JO735" s="49"/>
      <c r="JP735" s="49"/>
      <c r="JR735" s="49"/>
    </row>
    <row r="736" spans="237:278">
      <c r="IC736" s="49"/>
      <c r="IE736" s="49"/>
      <c r="IF736" s="49"/>
      <c r="IH736" s="49"/>
      <c r="II736" s="49"/>
      <c r="IK736" s="49"/>
      <c r="IL736" s="49"/>
      <c r="IN736" s="49"/>
      <c r="IO736" s="49"/>
      <c r="IQ736" s="49"/>
      <c r="IR736" s="49"/>
      <c r="IT736" s="49"/>
      <c r="IU736" s="49"/>
      <c r="IW736" s="49"/>
      <c r="IX736" s="49"/>
      <c r="IZ736" s="49"/>
      <c r="JA736" s="49"/>
      <c r="JC736" s="49"/>
      <c r="JD736" s="49"/>
      <c r="JF736" s="49"/>
      <c r="JG736" s="49"/>
      <c r="JI736" s="49"/>
      <c r="JJ736" s="49"/>
      <c r="JL736" s="49"/>
      <c r="JM736" s="49"/>
      <c r="JO736" s="49"/>
      <c r="JP736" s="49"/>
      <c r="JR736" s="49"/>
    </row>
    <row r="737" spans="237:278">
      <c r="IC737" s="49"/>
      <c r="IE737" s="49"/>
      <c r="IF737" s="49"/>
      <c r="IH737" s="49"/>
      <c r="II737" s="49"/>
      <c r="IK737" s="49"/>
      <c r="IL737" s="49"/>
      <c r="IN737" s="49"/>
      <c r="IO737" s="49"/>
      <c r="IQ737" s="49"/>
      <c r="IR737" s="49"/>
      <c r="IT737" s="49"/>
      <c r="IU737" s="49"/>
      <c r="IW737" s="49"/>
      <c r="IX737" s="49"/>
      <c r="IZ737" s="49"/>
      <c r="JA737" s="49"/>
      <c r="JC737" s="49"/>
      <c r="JD737" s="49"/>
      <c r="JF737" s="49"/>
      <c r="JG737" s="49"/>
      <c r="JI737" s="49"/>
      <c r="JJ737" s="49"/>
      <c r="JL737" s="49"/>
      <c r="JM737" s="49"/>
      <c r="JO737" s="49"/>
      <c r="JP737" s="49"/>
      <c r="JR737" s="49"/>
    </row>
    <row r="738" spans="237:278">
      <c r="IC738" s="49"/>
      <c r="IE738" s="49"/>
      <c r="IF738" s="49"/>
      <c r="IH738" s="49"/>
      <c r="II738" s="49"/>
      <c r="IK738" s="49"/>
      <c r="IL738" s="49"/>
      <c r="IN738" s="49"/>
      <c r="IO738" s="49"/>
      <c r="IQ738" s="49"/>
      <c r="IR738" s="49"/>
      <c r="IT738" s="49"/>
      <c r="IU738" s="49"/>
      <c r="IW738" s="49"/>
      <c r="IX738" s="49"/>
      <c r="IZ738" s="49"/>
      <c r="JA738" s="49"/>
      <c r="JC738" s="49"/>
      <c r="JD738" s="49"/>
      <c r="JF738" s="49"/>
      <c r="JG738" s="49"/>
      <c r="JI738" s="49"/>
      <c r="JJ738" s="49"/>
      <c r="JL738" s="49"/>
      <c r="JM738" s="49"/>
      <c r="JO738" s="49"/>
      <c r="JP738" s="49"/>
      <c r="JR738" s="49"/>
    </row>
    <row r="739" spans="237:278">
      <c r="IC739" s="49"/>
      <c r="IE739" s="49"/>
      <c r="IF739" s="49"/>
      <c r="IH739" s="49"/>
      <c r="II739" s="49"/>
      <c r="IK739" s="49"/>
      <c r="IL739" s="49"/>
      <c r="IN739" s="49"/>
      <c r="IO739" s="49"/>
      <c r="IQ739" s="49"/>
      <c r="IR739" s="49"/>
      <c r="IT739" s="49"/>
      <c r="IU739" s="49"/>
      <c r="IW739" s="49"/>
      <c r="IX739" s="49"/>
      <c r="IZ739" s="49"/>
      <c r="JA739" s="49"/>
      <c r="JC739" s="49"/>
      <c r="JD739" s="49"/>
      <c r="JF739" s="49"/>
      <c r="JG739" s="49"/>
      <c r="JI739" s="49"/>
      <c r="JJ739" s="49"/>
      <c r="JL739" s="49"/>
      <c r="JM739" s="49"/>
      <c r="JO739" s="49"/>
      <c r="JP739" s="49"/>
      <c r="JR739" s="49"/>
    </row>
    <row r="740" spans="237:278">
      <c r="IC740" s="49"/>
      <c r="IE740" s="49"/>
      <c r="IF740" s="49"/>
      <c r="IH740" s="49"/>
      <c r="II740" s="49"/>
      <c r="IK740" s="49"/>
      <c r="IL740" s="49"/>
      <c r="IN740" s="49"/>
      <c r="IO740" s="49"/>
      <c r="IQ740" s="49"/>
      <c r="IR740" s="49"/>
      <c r="IT740" s="49"/>
      <c r="IU740" s="49"/>
      <c r="IW740" s="49"/>
      <c r="IX740" s="49"/>
      <c r="IZ740" s="49"/>
      <c r="JA740" s="49"/>
      <c r="JC740" s="49"/>
      <c r="JD740" s="49"/>
      <c r="JF740" s="49"/>
      <c r="JG740" s="49"/>
      <c r="JI740" s="49"/>
      <c r="JJ740" s="49"/>
      <c r="JL740" s="49"/>
      <c r="JM740" s="49"/>
      <c r="JO740" s="49"/>
      <c r="JP740" s="49"/>
      <c r="JR740" s="49"/>
    </row>
    <row r="741" spans="237:278">
      <c r="IC741" s="49"/>
      <c r="IE741" s="49"/>
      <c r="IF741" s="49"/>
      <c r="IH741" s="49"/>
      <c r="II741" s="49"/>
      <c r="IK741" s="49"/>
      <c r="IL741" s="49"/>
      <c r="IN741" s="49"/>
      <c r="IO741" s="49"/>
      <c r="IQ741" s="49"/>
      <c r="IR741" s="49"/>
      <c r="IT741" s="49"/>
      <c r="IU741" s="49"/>
      <c r="IW741" s="49"/>
      <c r="IX741" s="49"/>
      <c r="IZ741" s="49"/>
      <c r="JA741" s="49"/>
      <c r="JC741" s="49"/>
      <c r="JD741" s="49"/>
      <c r="JF741" s="49"/>
      <c r="JG741" s="49"/>
      <c r="JI741" s="49"/>
      <c r="JJ741" s="49"/>
      <c r="JL741" s="49"/>
      <c r="JM741" s="49"/>
      <c r="JO741" s="49"/>
      <c r="JP741" s="49"/>
      <c r="JR741" s="49"/>
    </row>
    <row r="742" spans="237:278">
      <c r="IC742" s="49"/>
      <c r="IE742" s="49"/>
      <c r="IF742" s="49"/>
      <c r="IH742" s="49"/>
      <c r="II742" s="49"/>
      <c r="IK742" s="49"/>
      <c r="IL742" s="49"/>
      <c r="IN742" s="49"/>
      <c r="IO742" s="49"/>
      <c r="IQ742" s="49"/>
      <c r="IR742" s="49"/>
      <c r="IT742" s="49"/>
      <c r="IU742" s="49"/>
      <c r="IW742" s="49"/>
      <c r="IX742" s="49"/>
      <c r="IZ742" s="49"/>
      <c r="JA742" s="49"/>
      <c r="JC742" s="49"/>
      <c r="JD742" s="49"/>
      <c r="JF742" s="49"/>
      <c r="JG742" s="49"/>
      <c r="JI742" s="49"/>
      <c r="JJ742" s="49"/>
      <c r="JL742" s="49"/>
      <c r="JM742" s="49"/>
      <c r="JO742" s="49"/>
      <c r="JP742" s="49"/>
      <c r="JR742" s="49"/>
    </row>
    <row r="743" spans="237:278">
      <c r="IC743" s="49"/>
      <c r="IE743" s="49"/>
      <c r="IF743" s="49"/>
      <c r="IH743" s="49"/>
      <c r="II743" s="49"/>
      <c r="IK743" s="49"/>
      <c r="IL743" s="49"/>
      <c r="IN743" s="49"/>
      <c r="IO743" s="49"/>
      <c r="IQ743" s="49"/>
      <c r="IR743" s="49"/>
      <c r="IT743" s="49"/>
      <c r="IU743" s="49"/>
      <c r="IW743" s="49"/>
      <c r="IX743" s="49"/>
      <c r="IZ743" s="49"/>
      <c r="JA743" s="49"/>
      <c r="JC743" s="49"/>
      <c r="JD743" s="49"/>
      <c r="JF743" s="49"/>
      <c r="JG743" s="49"/>
      <c r="JI743" s="49"/>
      <c r="JJ743" s="49"/>
      <c r="JL743" s="49"/>
      <c r="JM743" s="49"/>
      <c r="JO743" s="49"/>
      <c r="JP743" s="49"/>
      <c r="JR743" s="49"/>
    </row>
    <row r="744" spans="237:278">
      <c r="IC744" s="49"/>
      <c r="IE744" s="49"/>
      <c r="IF744" s="49"/>
      <c r="IH744" s="49"/>
      <c r="II744" s="49"/>
      <c r="IK744" s="49"/>
      <c r="IL744" s="49"/>
      <c r="IN744" s="49"/>
      <c r="IO744" s="49"/>
      <c r="IQ744" s="49"/>
      <c r="IR744" s="49"/>
      <c r="IT744" s="49"/>
      <c r="IU744" s="49"/>
      <c r="IW744" s="49"/>
      <c r="IX744" s="49"/>
      <c r="IZ744" s="49"/>
      <c r="JA744" s="49"/>
      <c r="JC744" s="49"/>
      <c r="JD744" s="49"/>
      <c r="JF744" s="49"/>
      <c r="JG744" s="49"/>
      <c r="JI744" s="49"/>
      <c r="JJ744" s="49"/>
      <c r="JL744" s="49"/>
      <c r="JM744" s="49"/>
      <c r="JO744" s="49"/>
      <c r="JP744" s="49"/>
      <c r="JR744" s="49"/>
    </row>
    <row r="745" spans="237:278">
      <c r="IC745" s="49"/>
      <c r="IE745" s="49"/>
      <c r="IF745" s="49"/>
      <c r="IH745" s="49"/>
      <c r="II745" s="49"/>
      <c r="IK745" s="49"/>
      <c r="IL745" s="49"/>
      <c r="IN745" s="49"/>
      <c r="IO745" s="49"/>
      <c r="IQ745" s="49"/>
      <c r="IR745" s="49"/>
      <c r="IT745" s="49"/>
      <c r="IU745" s="49"/>
      <c r="IW745" s="49"/>
      <c r="IX745" s="49"/>
      <c r="IZ745" s="49"/>
      <c r="JA745" s="49"/>
      <c r="JC745" s="49"/>
      <c r="JD745" s="49"/>
      <c r="JF745" s="49"/>
      <c r="JG745" s="49"/>
      <c r="JI745" s="49"/>
      <c r="JJ745" s="49"/>
      <c r="JL745" s="49"/>
      <c r="JM745" s="49"/>
      <c r="JO745" s="49"/>
      <c r="JP745" s="49"/>
      <c r="JR745" s="49"/>
    </row>
    <row r="746" spans="237:278">
      <c r="IC746" s="49"/>
      <c r="IE746" s="49"/>
      <c r="IF746" s="49"/>
      <c r="IH746" s="49"/>
      <c r="II746" s="49"/>
      <c r="IK746" s="49"/>
      <c r="IL746" s="49"/>
      <c r="IN746" s="49"/>
      <c r="IO746" s="49"/>
      <c r="IQ746" s="49"/>
      <c r="IR746" s="49"/>
      <c r="IT746" s="49"/>
      <c r="IU746" s="49"/>
      <c r="IW746" s="49"/>
      <c r="IX746" s="49"/>
      <c r="IZ746" s="49"/>
      <c r="JA746" s="49"/>
      <c r="JC746" s="49"/>
      <c r="JD746" s="49"/>
      <c r="JF746" s="49"/>
      <c r="JG746" s="49"/>
      <c r="JI746" s="49"/>
      <c r="JJ746" s="49"/>
      <c r="JL746" s="49"/>
      <c r="JM746" s="49"/>
      <c r="JO746" s="49"/>
      <c r="JP746" s="49"/>
      <c r="JR746" s="49"/>
    </row>
    <row r="747" spans="237:278">
      <c r="IC747" s="49"/>
      <c r="IE747" s="49"/>
      <c r="IF747" s="49"/>
      <c r="IH747" s="49"/>
      <c r="II747" s="49"/>
      <c r="IK747" s="49"/>
      <c r="IL747" s="49"/>
      <c r="IN747" s="49"/>
      <c r="IO747" s="49"/>
      <c r="IQ747" s="49"/>
      <c r="IR747" s="49"/>
      <c r="IT747" s="49"/>
      <c r="IU747" s="49"/>
      <c r="IW747" s="49"/>
      <c r="IX747" s="49"/>
      <c r="IZ747" s="49"/>
      <c r="JA747" s="49"/>
      <c r="JC747" s="49"/>
      <c r="JD747" s="49"/>
      <c r="JF747" s="49"/>
      <c r="JG747" s="49"/>
      <c r="JI747" s="49"/>
      <c r="JJ747" s="49"/>
      <c r="JL747" s="49"/>
      <c r="JM747" s="49"/>
      <c r="JO747" s="49"/>
      <c r="JP747" s="49"/>
      <c r="JR747" s="49"/>
    </row>
    <row r="748" spans="237:278">
      <c r="IC748" s="49"/>
      <c r="IE748" s="49"/>
      <c r="IF748" s="49"/>
      <c r="IH748" s="49"/>
      <c r="II748" s="49"/>
      <c r="IK748" s="49"/>
      <c r="IL748" s="49"/>
      <c r="IN748" s="49"/>
      <c r="IO748" s="49"/>
      <c r="IQ748" s="49"/>
      <c r="IR748" s="49"/>
      <c r="IT748" s="49"/>
      <c r="IU748" s="49"/>
      <c r="IW748" s="49"/>
      <c r="IX748" s="49"/>
      <c r="IZ748" s="49"/>
      <c r="JA748" s="49"/>
      <c r="JC748" s="49"/>
      <c r="JD748" s="49"/>
      <c r="JF748" s="49"/>
      <c r="JG748" s="49"/>
      <c r="JI748" s="49"/>
      <c r="JJ748" s="49"/>
      <c r="JL748" s="49"/>
      <c r="JM748" s="49"/>
      <c r="JO748" s="49"/>
      <c r="JP748" s="49"/>
      <c r="JR748" s="49"/>
    </row>
    <row r="749" spans="237:278">
      <c r="IC749" s="49"/>
      <c r="IE749" s="49"/>
      <c r="IF749" s="49"/>
      <c r="IH749" s="49"/>
      <c r="II749" s="49"/>
      <c r="IK749" s="49"/>
      <c r="IL749" s="49"/>
      <c r="IN749" s="49"/>
      <c r="IO749" s="49"/>
      <c r="IQ749" s="49"/>
      <c r="IR749" s="49"/>
      <c r="IT749" s="49"/>
      <c r="IU749" s="49"/>
      <c r="IW749" s="49"/>
      <c r="IX749" s="49"/>
      <c r="IZ749" s="49"/>
      <c r="JA749" s="49"/>
      <c r="JC749" s="49"/>
      <c r="JD749" s="49"/>
      <c r="JF749" s="49"/>
      <c r="JG749" s="49"/>
      <c r="JI749" s="49"/>
      <c r="JJ749" s="49"/>
      <c r="JL749" s="49"/>
      <c r="JM749" s="49"/>
      <c r="JO749" s="49"/>
      <c r="JP749" s="49"/>
      <c r="JR749" s="49"/>
    </row>
    <row r="750" spans="237:278">
      <c r="IC750" s="49"/>
      <c r="IE750" s="49"/>
      <c r="IF750" s="49"/>
      <c r="IH750" s="49"/>
      <c r="II750" s="49"/>
      <c r="IK750" s="49"/>
      <c r="IL750" s="49"/>
      <c r="IN750" s="49"/>
      <c r="IO750" s="49"/>
      <c r="IQ750" s="49"/>
      <c r="IR750" s="49"/>
      <c r="IT750" s="49"/>
      <c r="IU750" s="49"/>
      <c r="IW750" s="49"/>
      <c r="IX750" s="49"/>
      <c r="IZ750" s="49"/>
      <c r="JA750" s="49"/>
      <c r="JC750" s="49"/>
      <c r="JD750" s="49"/>
      <c r="JF750" s="49"/>
      <c r="JG750" s="49"/>
      <c r="JI750" s="49"/>
      <c r="JJ750" s="49"/>
      <c r="JL750" s="49"/>
      <c r="JM750" s="49"/>
      <c r="JO750" s="49"/>
      <c r="JP750" s="49"/>
      <c r="JR750" s="49"/>
    </row>
    <row r="751" spans="237:278">
      <c r="IC751" s="49"/>
      <c r="IE751" s="49"/>
      <c r="IF751" s="49"/>
      <c r="IH751" s="49"/>
      <c r="II751" s="49"/>
      <c r="IK751" s="49"/>
      <c r="IL751" s="49"/>
      <c r="IN751" s="49"/>
      <c r="IO751" s="49"/>
      <c r="IQ751" s="49"/>
      <c r="IR751" s="49"/>
      <c r="IT751" s="49"/>
      <c r="IU751" s="49"/>
      <c r="IW751" s="49"/>
      <c r="IX751" s="49"/>
      <c r="IZ751" s="49"/>
      <c r="JA751" s="49"/>
      <c r="JC751" s="49"/>
      <c r="JD751" s="49"/>
      <c r="JF751" s="49"/>
      <c r="JG751" s="49"/>
      <c r="JI751" s="49"/>
      <c r="JJ751" s="49"/>
      <c r="JL751" s="49"/>
      <c r="JM751" s="49"/>
      <c r="JO751" s="49"/>
      <c r="JP751" s="49"/>
      <c r="JR751" s="49"/>
    </row>
    <row r="752" spans="237:278">
      <c r="IC752" s="49"/>
      <c r="IE752" s="49"/>
      <c r="IF752" s="49"/>
      <c r="IH752" s="49"/>
      <c r="II752" s="49"/>
      <c r="IK752" s="49"/>
      <c r="IL752" s="49"/>
      <c r="IN752" s="49"/>
      <c r="IO752" s="49"/>
      <c r="IQ752" s="49"/>
      <c r="IR752" s="49"/>
      <c r="IT752" s="49"/>
      <c r="IU752" s="49"/>
      <c r="IW752" s="49"/>
      <c r="IX752" s="49"/>
      <c r="IZ752" s="49"/>
      <c r="JA752" s="49"/>
      <c r="JC752" s="49"/>
      <c r="JD752" s="49"/>
      <c r="JF752" s="49"/>
      <c r="JG752" s="49"/>
      <c r="JI752" s="49"/>
      <c r="JJ752" s="49"/>
      <c r="JL752" s="49"/>
      <c r="JM752" s="49"/>
      <c r="JO752" s="49"/>
      <c r="JP752" s="49"/>
      <c r="JR752" s="49"/>
    </row>
    <row r="753" spans="237:278">
      <c r="IC753" s="49"/>
      <c r="IE753" s="49"/>
      <c r="IF753" s="49"/>
      <c r="IH753" s="49"/>
      <c r="II753" s="49"/>
      <c r="IK753" s="49"/>
      <c r="IL753" s="49"/>
      <c r="IN753" s="49"/>
      <c r="IO753" s="49"/>
      <c r="IQ753" s="49"/>
      <c r="IR753" s="49"/>
      <c r="IT753" s="49"/>
      <c r="IU753" s="49"/>
      <c r="IW753" s="49"/>
      <c r="IX753" s="49"/>
      <c r="IZ753" s="49"/>
      <c r="JA753" s="49"/>
      <c r="JC753" s="49"/>
      <c r="JD753" s="49"/>
      <c r="JF753" s="49"/>
      <c r="JG753" s="49"/>
      <c r="JI753" s="49"/>
      <c r="JJ753" s="49"/>
      <c r="JL753" s="49"/>
      <c r="JM753" s="49"/>
      <c r="JO753" s="49"/>
      <c r="JP753" s="49"/>
      <c r="JR753" s="49"/>
    </row>
    <row r="754" spans="237:278">
      <c r="IC754" s="49"/>
      <c r="IE754" s="49"/>
      <c r="IF754" s="49"/>
      <c r="IH754" s="49"/>
      <c r="II754" s="49"/>
      <c r="IK754" s="49"/>
      <c r="IL754" s="49"/>
      <c r="IN754" s="49"/>
      <c r="IO754" s="49"/>
      <c r="IQ754" s="49"/>
      <c r="IR754" s="49"/>
      <c r="IT754" s="49"/>
      <c r="IU754" s="49"/>
      <c r="IW754" s="49"/>
      <c r="IX754" s="49"/>
      <c r="IZ754" s="49"/>
      <c r="JA754" s="49"/>
      <c r="JC754" s="49"/>
      <c r="JD754" s="49"/>
      <c r="JF754" s="49"/>
      <c r="JG754" s="49"/>
      <c r="JI754" s="49"/>
      <c r="JJ754" s="49"/>
      <c r="JL754" s="49"/>
      <c r="JM754" s="49"/>
      <c r="JO754" s="49"/>
      <c r="JP754" s="49"/>
      <c r="JR754" s="49"/>
    </row>
    <row r="755" spans="237:278">
      <c r="IC755" s="49"/>
      <c r="IE755" s="49"/>
      <c r="IF755" s="49"/>
      <c r="IH755" s="49"/>
      <c r="II755" s="49"/>
      <c r="IK755" s="49"/>
      <c r="IL755" s="49"/>
      <c r="IN755" s="49"/>
      <c r="IO755" s="49"/>
      <c r="IQ755" s="49"/>
      <c r="IR755" s="49"/>
      <c r="IT755" s="49"/>
      <c r="IU755" s="49"/>
      <c r="IW755" s="49"/>
      <c r="IX755" s="49"/>
      <c r="IZ755" s="49"/>
      <c r="JA755" s="49"/>
      <c r="JC755" s="49"/>
      <c r="JD755" s="49"/>
      <c r="JF755" s="49"/>
      <c r="JG755" s="49"/>
      <c r="JI755" s="49"/>
      <c r="JJ755" s="49"/>
      <c r="JL755" s="49"/>
      <c r="JM755" s="49"/>
      <c r="JO755" s="49"/>
      <c r="JP755" s="49"/>
      <c r="JR755" s="49"/>
    </row>
    <row r="756" spans="237:278">
      <c r="IC756" s="49"/>
      <c r="IE756" s="49"/>
      <c r="IF756" s="49"/>
      <c r="IH756" s="49"/>
      <c r="II756" s="49"/>
      <c r="IK756" s="49"/>
      <c r="IL756" s="49"/>
      <c r="IN756" s="49"/>
      <c r="IO756" s="49"/>
      <c r="IQ756" s="49"/>
      <c r="IR756" s="49"/>
      <c r="IT756" s="49"/>
      <c r="IU756" s="49"/>
      <c r="IW756" s="49"/>
      <c r="IX756" s="49"/>
      <c r="IZ756" s="49"/>
      <c r="JA756" s="49"/>
      <c r="JC756" s="49"/>
      <c r="JD756" s="49"/>
      <c r="JF756" s="49"/>
      <c r="JG756" s="49"/>
      <c r="JI756" s="49"/>
      <c r="JJ756" s="49"/>
      <c r="JL756" s="49"/>
      <c r="JM756" s="49"/>
      <c r="JO756" s="49"/>
      <c r="JP756" s="49"/>
      <c r="JR756" s="49"/>
    </row>
    <row r="757" spans="237:278">
      <c r="IC757" s="49"/>
      <c r="IE757" s="49"/>
      <c r="IF757" s="49"/>
      <c r="IH757" s="49"/>
      <c r="II757" s="49"/>
      <c r="IK757" s="49"/>
      <c r="IL757" s="49"/>
      <c r="IN757" s="49"/>
      <c r="IO757" s="49"/>
      <c r="IQ757" s="49"/>
      <c r="IR757" s="49"/>
      <c r="IT757" s="49"/>
      <c r="IU757" s="49"/>
      <c r="IW757" s="49"/>
      <c r="IX757" s="49"/>
      <c r="IZ757" s="49"/>
      <c r="JA757" s="49"/>
      <c r="JC757" s="49"/>
      <c r="JD757" s="49"/>
      <c r="JF757" s="49"/>
      <c r="JG757" s="49"/>
      <c r="JI757" s="49"/>
      <c r="JJ757" s="49"/>
      <c r="JL757" s="49"/>
      <c r="JM757" s="49"/>
      <c r="JO757" s="49"/>
      <c r="JP757" s="49"/>
      <c r="JR757" s="49"/>
    </row>
    <row r="758" spans="237:278">
      <c r="IC758" s="49"/>
      <c r="IE758" s="49"/>
      <c r="IF758" s="49"/>
      <c r="IH758" s="49"/>
      <c r="II758" s="49"/>
      <c r="IK758" s="49"/>
      <c r="IL758" s="49"/>
      <c r="IN758" s="49"/>
      <c r="IO758" s="49"/>
      <c r="IQ758" s="49"/>
      <c r="IR758" s="49"/>
      <c r="IT758" s="49"/>
      <c r="IU758" s="49"/>
      <c r="IW758" s="49"/>
      <c r="IX758" s="49"/>
      <c r="IZ758" s="49"/>
      <c r="JA758" s="49"/>
      <c r="JC758" s="49"/>
      <c r="JD758" s="49"/>
      <c r="JF758" s="49"/>
      <c r="JG758" s="49"/>
      <c r="JI758" s="49"/>
      <c r="JJ758" s="49"/>
      <c r="JL758" s="49"/>
      <c r="JM758" s="49"/>
      <c r="JO758" s="49"/>
      <c r="JP758" s="49"/>
      <c r="JR758" s="49"/>
    </row>
    <row r="759" spans="237:278">
      <c r="IC759" s="49"/>
      <c r="IE759" s="49"/>
      <c r="IF759" s="49"/>
      <c r="IH759" s="49"/>
      <c r="II759" s="49"/>
      <c r="IK759" s="49"/>
      <c r="IL759" s="49"/>
      <c r="IN759" s="49"/>
      <c r="IO759" s="49"/>
      <c r="IQ759" s="49"/>
      <c r="IR759" s="49"/>
      <c r="IT759" s="49"/>
      <c r="IU759" s="49"/>
      <c r="IW759" s="49"/>
      <c r="IX759" s="49"/>
      <c r="IZ759" s="49"/>
      <c r="JA759" s="49"/>
      <c r="JC759" s="49"/>
      <c r="JD759" s="49"/>
      <c r="JF759" s="49"/>
      <c r="JG759" s="49"/>
      <c r="JI759" s="49"/>
      <c r="JJ759" s="49"/>
      <c r="JL759" s="49"/>
      <c r="JM759" s="49"/>
      <c r="JO759" s="49"/>
      <c r="JP759" s="49"/>
      <c r="JR759" s="49"/>
    </row>
    <row r="760" spans="237:278">
      <c r="IC760" s="49"/>
      <c r="IE760" s="49"/>
      <c r="IF760" s="49"/>
      <c r="IH760" s="49"/>
      <c r="II760" s="49"/>
      <c r="IK760" s="49"/>
      <c r="IL760" s="49"/>
      <c r="IN760" s="49"/>
      <c r="IO760" s="49"/>
      <c r="IQ760" s="49"/>
      <c r="IR760" s="49"/>
      <c r="IT760" s="49"/>
      <c r="IU760" s="49"/>
      <c r="IW760" s="49"/>
      <c r="IX760" s="49"/>
      <c r="IZ760" s="49"/>
      <c r="JA760" s="49"/>
      <c r="JC760" s="49"/>
      <c r="JD760" s="49"/>
      <c r="JF760" s="49"/>
      <c r="JG760" s="49"/>
      <c r="JI760" s="49"/>
      <c r="JJ760" s="49"/>
      <c r="JL760" s="49"/>
      <c r="JM760" s="49"/>
      <c r="JO760" s="49"/>
      <c r="JP760" s="49"/>
      <c r="JR760" s="49"/>
    </row>
    <row r="761" spans="237:278">
      <c r="IC761" s="49"/>
      <c r="IE761" s="49"/>
      <c r="IF761" s="49"/>
      <c r="IH761" s="49"/>
      <c r="II761" s="49"/>
      <c r="IK761" s="49"/>
      <c r="IL761" s="49"/>
      <c r="IN761" s="49"/>
      <c r="IO761" s="49"/>
      <c r="IQ761" s="49"/>
      <c r="IR761" s="49"/>
      <c r="IT761" s="49"/>
      <c r="IU761" s="49"/>
      <c r="IW761" s="49"/>
      <c r="IX761" s="49"/>
      <c r="IZ761" s="49"/>
      <c r="JA761" s="49"/>
      <c r="JC761" s="49"/>
      <c r="JD761" s="49"/>
      <c r="JF761" s="49"/>
      <c r="JG761" s="49"/>
      <c r="JI761" s="49"/>
      <c r="JJ761" s="49"/>
      <c r="JL761" s="49"/>
      <c r="JM761" s="49"/>
      <c r="JO761" s="49"/>
      <c r="JP761" s="49"/>
      <c r="JR761" s="49"/>
    </row>
    <row r="762" spans="237:278">
      <c r="IC762" s="49"/>
      <c r="IE762" s="49"/>
      <c r="IF762" s="49"/>
      <c r="IH762" s="49"/>
      <c r="II762" s="49"/>
      <c r="IK762" s="49"/>
      <c r="IL762" s="49"/>
      <c r="IN762" s="49"/>
      <c r="IO762" s="49"/>
      <c r="IQ762" s="49"/>
      <c r="IR762" s="49"/>
      <c r="IT762" s="49"/>
      <c r="IU762" s="49"/>
      <c r="IW762" s="49"/>
      <c r="IX762" s="49"/>
      <c r="IZ762" s="49"/>
      <c r="JA762" s="49"/>
      <c r="JC762" s="49"/>
      <c r="JD762" s="49"/>
      <c r="JF762" s="49"/>
      <c r="JG762" s="49"/>
      <c r="JI762" s="49"/>
      <c r="JJ762" s="49"/>
      <c r="JL762" s="49"/>
      <c r="JM762" s="49"/>
      <c r="JO762" s="49"/>
      <c r="JP762" s="49"/>
      <c r="JR762" s="49"/>
    </row>
    <row r="763" spans="237:278">
      <c r="IC763" s="49"/>
      <c r="IE763" s="49"/>
      <c r="IF763" s="49"/>
      <c r="IH763" s="49"/>
      <c r="II763" s="49"/>
      <c r="IK763" s="49"/>
      <c r="IL763" s="49"/>
      <c r="IN763" s="49"/>
      <c r="IO763" s="49"/>
      <c r="IQ763" s="49"/>
      <c r="IR763" s="49"/>
      <c r="IT763" s="49"/>
      <c r="IU763" s="49"/>
      <c r="IW763" s="49"/>
      <c r="IX763" s="49"/>
      <c r="IZ763" s="49"/>
      <c r="JA763" s="49"/>
      <c r="JC763" s="49"/>
      <c r="JD763" s="49"/>
      <c r="JF763" s="49"/>
      <c r="JG763" s="49"/>
      <c r="JI763" s="49"/>
      <c r="JJ763" s="49"/>
      <c r="JL763" s="49"/>
      <c r="JM763" s="49"/>
      <c r="JO763" s="49"/>
      <c r="JP763" s="49"/>
      <c r="JR763" s="49"/>
    </row>
    <row r="764" spans="237:278">
      <c r="IC764" s="49"/>
      <c r="IE764" s="49"/>
      <c r="IF764" s="49"/>
      <c r="IH764" s="49"/>
      <c r="II764" s="49"/>
      <c r="IK764" s="49"/>
      <c r="IL764" s="49"/>
      <c r="IN764" s="49"/>
      <c r="IO764" s="49"/>
      <c r="IQ764" s="49"/>
      <c r="IR764" s="49"/>
      <c r="IT764" s="49"/>
      <c r="IU764" s="49"/>
      <c r="IW764" s="49"/>
      <c r="IX764" s="49"/>
      <c r="IZ764" s="49"/>
      <c r="JA764" s="49"/>
      <c r="JC764" s="49"/>
      <c r="JD764" s="49"/>
      <c r="JF764" s="49"/>
      <c r="JG764" s="49"/>
      <c r="JI764" s="49"/>
      <c r="JJ764" s="49"/>
      <c r="JL764" s="49"/>
      <c r="JM764" s="49"/>
      <c r="JO764" s="49"/>
      <c r="JP764" s="49"/>
      <c r="JR764" s="49"/>
    </row>
    <row r="765" spans="237:278">
      <c r="IC765" s="49"/>
      <c r="IE765" s="49"/>
      <c r="IF765" s="49"/>
      <c r="IH765" s="49"/>
      <c r="II765" s="49"/>
      <c r="IK765" s="49"/>
      <c r="IL765" s="49"/>
      <c r="IN765" s="49"/>
      <c r="IO765" s="49"/>
      <c r="IQ765" s="49"/>
      <c r="IR765" s="49"/>
      <c r="IT765" s="49"/>
      <c r="IU765" s="49"/>
      <c r="IW765" s="49"/>
      <c r="IX765" s="49"/>
      <c r="IZ765" s="49"/>
      <c r="JA765" s="49"/>
      <c r="JC765" s="49"/>
      <c r="JD765" s="49"/>
      <c r="JF765" s="49"/>
      <c r="JG765" s="49"/>
      <c r="JI765" s="49"/>
      <c r="JJ765" s="49"/>
      <c r="JL765" s="49"/>
      <c r="JM765" s="49"/>
      <c r="JO765" s="49"/>
      <c r="JP765" s="49"/>
      <c r="JR765" s="49"/>
    </row>
    <row r="766" spans="237:278">
      <c r="IC766" s="49"/>
      <c r="IE766" s="49"/>
      <c r="IF766" s="49"/>
      <c r="IH766" s="49"/>
      <c r="II766" s="49"/>
      <c r="IK766" s="49"/>
      <c r="IL766" s="49"/>
      <c r="IN766" s="49"/>
      <c r="IO766" s="49"/>
      <c r="IQ766" s="49"/>
      <c r="IR766" s="49"/>
      <c r="IT766" s="49"/>
      <c r="IU766" s="49"/>
      <c r="IW766" s="49"/>
      <c r="IX766" s="49"/>
      <c r="IZ766" s="49"/>
      <c r="JA766" s="49"/>
      <c r="JC766" s="49"/>
      <c r="JD766" s="49"/>
      <c r="JF766" s="49"/>
      <c r="JG766" s="49"/>
      <c r="JI766" s="49"/>
      <c r="JJ766" s="49"/>
      <c r="JL766" s="49"/>
      <c r="JM766" s="49"/>
      <c r="JO766" s="49"/>
      <c r="JP766" s="49"/>
      <c r="JR766" s="49"/>
    </row>
    <row r="767" spans="237:278">
      <c r="IC767" s="49"/>
      <c r="IE767" s="49"/>
      <c r="IF767" s="49"/>
      <c r="IH767" s="49"/>
      <c r="II767" s="49"/>
      <c r="IK767" s="49"/>
      <c r="IL767" s="49"/>
      <c r="IN767" s="49"/>
      <c r="IO767" s="49"/>
      <c r="IQ767" s="49"/>
      <c r="IR767" s="49"/>
      <c r="IT767" s="49"/>
      <c r="IU767" s="49"/>
      <c r="IW767" s="49"/>
      <c r="IX767" s="49"/>
      <c r="IZ767" s="49"/>
      <c r="JA767" s="49"/>
      <c r="JC767" s="49"/>
      <c r="JD767" s="49"/>
      <c r="JF767" s="49"/>
      <c r="JG767" s="49"/>
      <c r="JI767" s="49"/>
      <c r="JJ767" s="49"/>
      <c r="JL767" s="49"/>
      <c r="JM767" s="49"/>
      <c r="JO767" s="49"/>
      <c r="JP767" s="49"/>
      <c r="JR767" s="49"/>
    </row>
    <row r="768" spans="237:278">
      <c r="IC768" s="49"/>
      <c r="IE768" s="49"/>
      <c r="IF768" s="49"/>
      <c r="IH768" s="49"/>
      <c r="II768" s="49"/>
      <c r="IK768" s="49"/>
      <c r="IL768" s="49"/>
      <c r="IN768" s="49"/>
      <c r="IO768" s="49"/>
      <c r="IQ768" s="49"/>
      <c r="IR768" s="49"/>
      <c r="IT768" s="49"/>
      <c r="IU768" s="49"/>
      <c r="IW768" s="49"/>
      <c r="IX768" s="49"/>
      <c r="IZ768" s="49"/>
      <c r="JA768" s="49"/>
      <c r="JC768" s="49"/>
      <c r="JD768" s="49"/>
      <c r="JF768" s="49"/>
      <c r="JG768" s="49"/>
      <c r="JI768" s="49"/>
      <c r="JJ768" s="49"/>
      <c r="JL768" s="49"/>
      <c r="JM768" s="49"/>
      <c r="JO768" s="49"/>
      <c r="JP768" s="49"/>
      <c r="JR768" s="49"/>
    </row>
    <row r="769" spans="237:278">
      <c r="IC769" s="49"/>
      <c r="IE769" s="49"/>
      <c r="IF769" s="49"/>
      <c r="IH769" s="49"/>
      <c r="II769" s="49"/>
      <c r="IK769" s="49"/>
      <c r="IL769" s="49"/>
      <c r="IN769" s="49"/>
      <c r="IO769" s="49"/>
      <c r="IQ769" s="49"/>
      <c r="IR769" s="49"/>
      <c r="IT769" s="49"/>
      <c r="IU769" s="49"/>
      <c r="IW769" s="49"/>
      <c r="IX769" s="49"/>
      <c r="IZ769" s="49"/>
      <c r="JA769" s="49"/>
      <c r="JC769" s="49"/>
      <c r="JD769" s="49"/>
      <c r="JF769" s="49"/>
      <c r="JG769" s="49"/>
      <c r="JI769" s="49"/>
      <c r="JJ769" s="49"/>
      <c r="JL769" s="49"/>
      <c r="JM769" s="49"/>
      <c r="JO769" s="49"/>
      <c r="JP769" s="49"/>
      <c r="JR769" s="49"/>
    </row>
    <row r="770" spans="237:278">
      <c r="IC770" s="49"/>
      <c r="IE770" s="49"/>
      <c r="IF770" s="49"/>
      <c r="IH770" s="49"/>
      <c r="II770" s="49"/>
      <c r="IK770" s="49"/>
      <c r="IL770" s="49"/>
      <c r="IN770" s="49"/>
      <c r="IO770" s="49"/>
      <c r="IQ770" s="49"/>
      <c r="IR770" s="49"/>
      <c r="IT770" s="49"/>
      <c r="IU770" s="49"/>
      <c r="IW770" s="49"/>
      <c r="IX770" s="49"/>
      <c r="IZ770" s="49"/>
      <c r="JA770" s="49"/>
      <c r="JC770" s="49"/>
      <c r="JD770" s="49"/>
      <c r="JF770" s="49"/>
      <c r="JG770" s="49"/>
      <c r="JI770" s="49"/>
      <c r="JJ770" s="49"/>
      <c r="JL770" s="49"/>
      <c r="JM770" s="49"/>
      <c r="JO770" s="49"/>
      <c r="JP770" s="49"/>
      <c r="JR770" s="49"/>
    </row>
    <row r="771" spans="237:278">
      <c r="IC771" s="49"/>
      <c r="IE771" s="49"/>
      <c r="IF771" s="49"/>
      <c r="IH771" s="49"/>
      <c r="II771" s="49"/>
      <c r="IK771" s="49"/>
      <c r="IL771" s="49"/>
      <c r="IN771" s="49"/>
      <c r="IO771" s="49"/>
      <c r="IQ771" s="49"/>
      <c r="IR771" s="49"/>
      <c r="IT771" s="49"/>
      <c r="IU771" s="49"/>
      <c r="IW771" s="49"/>
      <c r="IX771" s="49"/>
      <c r="IZ771" s="49"/>
      <c r="JA771" s="49"/>
      <c r="JC771" s="49"/>
      <c r="JD771" s="49"/>
      <c r="JF771" s="49"/>
      <c r="JG771" s="49"/>
      <c r="JI771" s="49"/>
      <c r="JJ771" s="49"/>
      <c r="JL771" s="49"/>
      <c r="JM771" s="49"/>
      <c r="JO771" s="49"/>
      <c r="JP771" s="49"/>
      <c r="JR771" s="49"/>
    </row>
    <row r="772" spans="237:278">
      <c r="IC772" s="49"/>
      <c r="IE772" s="49"/>
      <c r="IF772" s="49"/>
      <c r="IH772" s="49"/>
      <c r="II772" s="49"/>
      <c r="IK772" s="49"/>
      <c r="IL772" s="49"/>
      <c r="IN772" s="49"/>
      <c r="IO772" s="49"/>
      <c r="IQ772" s="49"/>
      <c r="IR772" s="49"/>
      <c r="IT772" s="49"/>
      <c r="IU772" s="49"/>
      <c r="IW772" s="49"/>
      <c r="IX772" s="49"/>
      <c r="IZ772" s="49"/>
      <c r="JA772" s="49"/>
      <c r="JC772" s="49"/>
      <c r="JD772" s="49"/>
      <c r="JF772" s="49"/>
      <c r="JG772" s="49"/>
      <c r="JI772" s="49"/>
      <c r="JJ772" s="49"/>
      <c r="JL772" s="49"/>
      <c r="JM772" s="49"/>
      <c r="JO772" s="49"/>
      <c r="JP772" s="49"/>
      <c r="JR772" s="49"/>
    </row>
    <row r="773" spans="237:278">
      <c r="IC773" s="49"/>
      <c r="IE773" s="49"/>
      <c r="IF773" s="49"/>
      <c r="IH773" s="49"/>
      <c r="II773" s="49"/>
      <c r="IK773" s="49"/>
      <c r="IL773" s="49"/>
      <c r="IN773" s="49"/>
      <c r="IO773" s="49"/>
      <c r="IQ773" s="49"/>
      <c r="IR773" s="49"/>
      <c r="IT773" s="49"/>
      <c r="IU773" s="49"/>
      <c r="IW773" s="49"/>
      <c r="IX773" s="49"/>
      <c r="IZ773" s="49"/>
      <c r="JA773" s="49"/>
      <c r="JC773" s="49"/>
      <c r="JD773" s="49"/>
      <c r="JF773" s="49"/>
      <c r="JG773" s="49"/>
      <c r="JI773" s="49"/>
      <c r="JJ773" s="49"/>
      <c r="JL773" s="49"/>
      <c r="JM773" s="49"/>
      <c r="JO773" s="49"/>
      <c r="JP773" s="49"/>
      <c r="JR773" s="49"/>
    </row>
    <row r="774" spans="237:278">
      <c r="IC774" s="49"/>
      <c r="IE774" s="49"/>
      <c r="IF774" s="49"/>
      <c r="IH774" s="49"/>
      <c r="II774" s="49"/>
      <c r="IK774" s="49"/>
      <c r="IL774" s="49"/>
      <c r="IN774" s="49"/>
      <c r="IO774" s="49"/>
      <c r="IQ774" s="49"/>
      <c r="IR774" s="49"/>
      <c r="IT774" s="49"/>
      <c r="IU774" s="49"/>
      <c r="IW774" s="49"/>
      <c r="IX774" s="49"/>
      <c r="IZ774" s="49"/>
      <c r="JA774" s="49"/>
      <c r="JC774" s="49"/>
      <c r="JD774" s="49"/>
      <c r="JF774" s="49"/>
      <c r="JG774" s="49"/>
      <c r="JI774" s="49"/>
      <c r="JJ774" s="49"/>
      <c r="JL774" s="49"/>
      <c r="JM774" s="49"/>
      <c r="JO774" s="49"/>
      <c r="JP774" s="49"/>
      <c r="JR774" s="49"/>
    </row>
    <row r="775" spans="237:278">
      <c r="IC775" s="49"/>
      <c r="IE775" s="49"/>
      <c r="IF775" s="49"/>
      <c r="IH775" s="49"/>
      <c r="II775" s="49"/>
      <c r="IK775" s="49"/>
      <c r="IL775" s="49"/>
      <c r="IN775" s="49"/>
      <c r="IO775" s="49"/>
      <c r="IQ775" s="49"/>
      <c r="IR775" s="49"/>
      <c r="IT775" s="49"/>
      <c r="IU775" s="49"/>
      <c r="IW775" s="49"/>
      <c r="IX775" s="49"/>
      <c r="IZ775" s="49"/>
      <c r="JA775" s="49"/>
      <c r="JC775" s="49"/>
      <c r="JD775" s="49"/>
      <c r="JF775" s="49"/>
      <c r="JG775" s="49"/>
      <c r="JI775" s="49"/>
      <c r="JJ775" s="49"/>
      <c r="JL775" s="49"/>
      <c r="JM775" s="49"/>
      <c r="JO775" s="49"/>
      <c r="JP775" s="49"/>
      <c r="JR775" s="49"/>
    </row>
    <row r="776" spans="237:278">
      <c r="IC776" s="49"/>
      <c r="IE776" s="49"/>
      <c r="IF776" s="49"/>
      <c r="IH776" s="49"/>
      <c r="II776" s="49"/>
      <c r="IK776" s="49"/>
      <c r="IL776" s="49"/>
      <c r="IN776" s="49"/>
      <c r="IO776" s="49"/>
      <c r="IQ776" s="49"/>
      <c r="IR776" s="49"/>
      <c r="IT776" s="49"/>
      <c r="IU776" s="49"/>
      <c r="IW776" s="49"/>
      <c r="IX776" s="49"/>
      <c r="IZ776" s="49"/>
      <c r="JA776" s="49"/>
      <c r="JC776" s="49"/>
      <c r="JD776" s="49"/>
      <c r="JF776" s="49"/>
      <c r="JG776" s="49"/>
      <c r="JI776" s="49"/>
      <c r="JJ776" s="49"/>
      <c r="JL776" s="49"/>
      <c r="JM776" s="49"/>
      <c r="JO776" s="49"/>
      <c r="JP776" s="49"/>
      <c r="JR776" s="49"/>
    </row>
    <row r="777" spans="237:278">
      <c r="IC777" s="49"/>
      <c r="IE777" s="49"/>
      <c r="IF777" s="49"/>
      <c r="IH777" s="49"/>
      <c r="II777" s="49"/>
      <c r="IK777" s="49"/>
      <c r="IL777" s="49"/>
      <c r="IN777" s="49"/>
      <c r="IO777" s="49"/>
      <c r="IQ777" s="49"/>
      <c r="IR777" s="49"/>
      <c r="IT777" s="49"/>
      <c r="IU777" s="49"/>
      <c r="IW777" s="49"/>
      <c r="IX777" s="49"/>
      <c r="IZ777" s="49"/>
      <c r="JA777" s="49"/>
      <c r="JC777" s="49"/>
      <c r="JD777" s="49"/>
      <c r="JF777" s="49"/>
      <c r="JG777" s="49"/>
      <c r="JI777" s="49"/>
      <c r="JJ777" s="49"/>
      <c r="JL777" s="49"/>
      <c r="JM777" s="49"/>
      <c r="JO777" s="49"/>
      <c r="JP777" s="49"/>
      <c r="JR777" s="49"/>
    </row>
    <row r="778" spans="237:278">
      <c r="IC778" s="49"/>
      <c r="IE778" s="49"/>
      <c r="IF778" s="49"/>
      <c r="IH778" s="49"/>
      <c r="II778" s="49"/>
      <c r="IK778" s="49"/>
      <c r="IL778" s="49"/>
      <c r="IN778" s="49"/>
      <c r="IO778" s="49"/>
      <c r="IQ778" s="49"/>
      <c r="IR778" s="49"/>
      <c r="IT778" s="49"/>
      <c r="IU778" s="49"/>
      <c r="IW778" s="49"/>
      <c r="IX778" s="49"/>
      <c r="IZ778" s="49"/>
      <c r="JA778" s="49"/>
      <c r="JC778" s="49"/>
      <c r="JD778" s="49"/>
      <c r="JF778" s="49"/>
      <c r="JG778" s="49"/>
      <c r="JI778" s="49"/>
      <c r="JJ778" s="49"/>
      <c r="JL778" s="49"/>
      <c r="JM778" s="49"/>
      <c r="JO778" s="49"/>
      <c r="JP778" s="49"/>
      <c r="JR778" s="49"/>
    </row>
    <row r="779" spans="237:278">
      <c r="IC779" s="49"/>
      <c r="IE779" s="49"/>
      <c r="IF779" s="49"/>
      <c r="IH779" s="49"/>
      <c r="II779" s="49"/>
      <c r="IK779" s="49"/>
      <c r="IL779" s="49"/>
      <c r="IN779" s="49"/>
      <c r="IO779" s="49"/>
      <c r="IQ779" s="49"/>
      <c r="IR779" s="49"/>
      <c r="IT779" s="49"/>
      <c r="IU779" s="49"/>
      <c r="IW779" s="49"/>
      <c r="IX779" s="49"/>
      <c r="IZ779" s="49"/>
      <c r="JA779" s="49"/>
      <c r="JC779" s="49"/>
      <c r="JD779" s="49"/>
      <c r="JF779" s="49"/>
      <c r="JG779" s="49"/>
      <c r="JI779" s="49"/>
      <c r="JJ779" s="49"/>
      <c r="JL779" s="49"/>
      <c r="JM779" s="49"/>
      <c r="JO779" s="49"/>
      <c r="JP779" s="49"/>
      <c r="JR779" s="49"/>
    </row>
    <row r="780" spans="237:278">
      <c r="IC780" s="49"/>
      <c r="IE780" s="49"/>
      <c r="IF780" s="49"/>
      <c r="IH780" s="49"/>
      <c r="II780" s="49"/>
      <c r="IK780" s="49"/>
      <c r="IL780" s="49"/>
      <c r="IN780" s="49"/>
      <c r="IO780" s="49"/>
      <c r="IQ780" s="49"/>
      <c r="IR780" s="49"/>
      <c r="IT780" s="49"/>
      <c r="IU780" s="49"/>
      <c r="IW780" s="49"/>
      <c r="IX780" s="49"/>
      <c r="IZ780" s="49"/>
      <c r="JA780" s="49"/>
      <c r="JC780" s="49"/>
      <c r="JD780" s="49"/>
      <c r="JF780" s="49"/>
      <c r="JG780" s="49"/>
      <c r="JI780" s="49"/>
      <c r="JJ780" s="49"/>
      <c r="JL780" s="49"/>
      <c r="JM780" s="49"/>
      <c r="JO780" s="49"/>
      <c r="JP780" s="49"/>
      <c r="JR780" s="49"/>
    </row>
    <row r="781" spans="237:278">
      <c r="IC781" s="49"/>
      <c r="IE781" s="49"/>
      <c r="IF781" s="49"/>
      <c r="IH781" s="49"/>
      <c r="II781" s="49"/>
      <c r="IK781" s="49"/>
      <c r="IL781" s="49"/>
      <c r="IN781" s="49"/>
      <c r="IO781" s="49"/>
      <c r="IQ781" s="49"/>
      <c r="IR781" s="49"/>
      <c r="IT781" s="49"/>
      <c r="IU781" s="49"/>
      <c r="IW781" s="49"/>
      <c r="IX781" s="49"/>
      <c r="IZ781" s="49"/>
      <c r="JA781" s="49"/>
      <c r="JC781" s="49"/>
      <c r="JD781" s="49"/>
      <c r="JF781" s="49"/>
      <c r="JG781" s="49"/>
      <c r="JI781" s="49"/>
      <c r="JJ781" s="49"/>
      <c r="JL781" s="49"/>
      <c r="JM781" s="49"/>
      <c r="JO781" s="49"/>
      <c r="JP781" s="49"/>
      <c r="JR781" s="49"/>
    </row>
    <row r="782" spans="237:278">
      <c r="IC782" s="49"/>
      <c r="IE782" s="49"/>
      <c r="IF782" s="49"/>
      <c r="IH782" s="49"/>
      <c r="II782" s="49"/>
      <c r="IK782" s="49"/>
      <c r="IL782" s="49"/>
      <c r="IN782" s="49"/>
      <c r="IO782" s="49"/>
      <c r="IQ782" s="49"/>
      <c r="IR782" s="49"/>
      <c r="IT782" s="49"/>
      <c r="IU782" s="49"/>
      <c r="IW782" s="49"/>
      <c r="IX782" s="49"/>
      <c r="IZ782" s="49"/>
      <c r="JA782" s="49"/>
      <c r="JC782" s="49"/>
      <c r="JD782" s="49"/>
      <c r="JF782" s="49"/>
      <c r="JG782" s="49"/>
      <c r="JI782" s="49"/>
      <c r="JJ782" s="49"/>
      <c r="JL782" s="49"/>
      <c r="JM782" s="49"/>
      <c r="JO782" s="49"/>
      <c r="JP782" s="49"/>
      <c r="JR782" s="49"/>
    </row>
    <row r="783" spans="237:278">
      <c r="IC783" s="49"/>
      <c r="IE783" s="49"/>
      <c r="IF783" s="49"/>
      <c r="IH783" s="49"/>
      <c r="II783" s="49"/>
      <c r="IK783" s="49"/>
      <c r="IL783" s="49"/>
      <c r="IN783" s="49"/>
      <c r="IO783" s="49"/>
      <c r="IQ783" s="49"/>
      <c r="IR783" s="49"/>
      <c r="IT783" s="49"/>
      <c r="IU783" s="49"/>
      <c r="IW783" s="49"/>
      <c r="IX783" s="49"/>
      <c r="IZ783" s="49"/>
      <c r="JA783" s="49"/>
      <c r="JC783" s="49"/>
      <c r="JD783" s="49"/>
      <c r="JF783" s="49"/>
      <c r="JG783" s="49"/>
      <c r="JI783" s="49"/>
      <c r="JJ783" s="49"/>
      <c r="JL783" s="49"/>
      <c r="JM783" s="49"/>
      <c r="JO783" s="49"/>
      <c r="JP783" s="49"/>
      <c r="JR783" s="49"/>
    </row>
  </sheetData>
  <mergeCells count="163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O3"/>
    <mergeCell ref="BP3:BS3"/>
    <mergeCell ref="BT3:BW3"/>
    <mergeCell ref="BX3:BZ3"/>
    <mergeCell ref="CA3:CC3"/>
    <mergeCell ref="CD3:CF3"/>
    <mergeCell ref="CG3:CJ3"/>
    <mergeCell ref="CK3:CN3"/>
    <mergeCell ref="CO3:CR3"/>
    <mergeCell ref="CS3:CV3"/>
    <mergeCell ref="CW3:CY3"/>
    <mergeCell ref="CZ3:DB3"/>
    <mergeCell ref="DC3:DE3"/>
    <mergeCell ref="DF3:DI3"/>
    <mergeCell ref="DJ3:DL3"/>
    <mergeCell ref="DM3:DO3"/>
    <mergeCell ref="DP3:DR3"/>
    <mergeCell ref="DS3:DU3"/>
    <mergeCell ref="DV3:DX3"/>
    <mergeCell ref="DY3:EA3"/>
    <mergeCell ref="EB3:ED3"/>
    <mergeCell ref="EE3:EG3"/>
    <mergeCell ref="EH3:EJ3"/>
    <mergeCell ref="EK3:EM3"/>
    <mergeCell ref="EN3:EP3"/>
    <mergeCell ref="EQ3:ES3"/>
    <mergeCell ref="ET3:EV3"/>
    <mergeCell ref="EW3:EY3"/>
    <mergeCell ref="EZ3:FB3"/>
    <mergeCell ref="FC3:FE3"/>
    <mergeCell ref="FF3:FH3"/>
    <mergeCell ref="FI3:FK3"/>
    <mergeCell ref="FL3:FN3"/>
    <mergeCell ref="FO3:FQ3"/>
    <mergeCell ref="FR3:FT3"/>
    <mergeCell ref="FU3:FW3"/>
    <mergeCell ref="FX3:FZ3"/>
    <mergeCell ref="GA3:GC3"/>
    <mergeCell ref="GD3:GF3"/>
    <mergeCell ref="GG3:GI3"/>
    <mergeCell ref="GJ3:GL3"/>
    <mergeCell ref="GM3:GO3"/>
    <mergeCell ref="GP3:GR3"/>
    <mergeCell ref="GS3:GU3"/>
    <mergeCell ref="GV3:GX3"/>
    <mergeCell ref="GY3:HA3"/>
    <mergeCell ref="HB3:HD3"/>
    <mergeCell ref="HE3:HG3"/>
    <mergeCell ref="HH3:HJ3"/>
    <mergeCell ref="HK3:HM3"/>
    <mergeCell ref="HN3:HP3"/>
    <mergeCell ref="HQ3:HS3"/>
    <mergeCell ref="JS3:JU3"/>
    <mergeCell ref="HT3:HV3"/>
    <mergeCell ref="HW3:HY3"/>
    <mergeCell ref="HZ3:IB3"/>
    <mergeCell ref="IC3:IE3"/>
    <mergeCell ref="IF3:IH3"/>
    <mergeCell ref="II3:IK3"/>
    <mergeCell ref="IL3:IN3"/>
    <mergeCell ref="IO3:IQ3"/>
    <mergeCell ref="IR3:IT3"/>
    <mergeCell ref="NO3:NQ3"/>
    <mergeCell ref="NR3:NT3"/>
    <mergeCell ref="NU3:NW3"/>
    <mergeCell ref="A23:C23"/>
    <mergeCell ref="LX3:LZ3"/>
    <mergeCell ref="MA3:MC3"/>
    <mergeCell ref="ME3:MG3"/>
    <mergeCell ref="MH3:MJ3"/>
    <mergeCell ref="MK3:MM3"/>
    <mergeCell ref="MN3:MP3"/>
    <mergeCell ref="MQ3:MS3"/>
    <mergeCell ref="MT3:MV3"/>
    <mergeCell ref="MW3:MY3"/>
    <mergeCell ref="KW3:KY3"/>
    <mergeCell ref="KZ3:LB3"/>
    <mergeCell ref="LC3:LE3"/>
    <mergeCell ref="LF3:LH3"/>
    <mergeCell ref="LI3:LK3"/>
    <mergeCell ref="LL3:LN3"/>
    <mergeCell ref="LO3:LQ3"/>
    <mergeCell ref="LR3:LT3"/>
    <mergeCell ref="LU3:LW3"/>
    <mergeCell ref="JV3:JX3"/>
    <mergeCell ref="JY3:KA3"/>
    <mergeCell ref="A3:A4"/>
    <mergeCell ref="A5:A22"/>
    <mergeCell ref="A25:A41"/>
    <mergeCell ref="A44:A61"/>
    <mergeCell ref="MZ3:NB3"/>
    <mergeCell ref="NC3:NE3"/>
    <mergeCell ref="NF3:NH3"/>
    <mergeCell ref="NI3:NK3"/>
    <mergeCell ref="NL3:NN3"/>
    <mergeCell ref="KB3:KD3"/>
    <mergeCell ref="KE3:KG3"/>
    <mergeCell ref="KH3:KJ3"/>
    <mergeCell ref="KK3:KM3"/>
    <mergeCell ref="KN3:KP3"/>
    <mergeCell ref="KQ3:KS3"/>
    <mergeCell ref="KT3:KV3"/>
    <mergeCell ref="IU3:IW3"/>
    <mergeCell ref="IX3:IZ3"/>
    <mergeCell ref="JA3:JC3"/>
    <mergeCell ref="JD3:JF3"/>
    <mergeCell ref="JG3:JI3"/>
    <mergeCell ref="JJ3:JL3"/>
    <mergeCell ref="JM3:JO3"/>
    <mergeCell ref="JP3:JR3"/>
    <mergeCell ref="C57:C61"/>
    <mergeCell ref="C64:C71"/>
    <mergeCell ref="C72:C78"/>
    <mergeCell ref="C79:C84"/>
    <mergeCell ref="A24:C24"/>
    <mergeCell ref="A42:C42"/>
    <mergeCell ref="A43:C43"/>
    <mergeCell ref="A62:C62"/>
    <mergeCell ref="A63:C63"/>
    <mergeCell ref="AT26:AT27"/>
    <mergeCell ref="AW46:AW47"/>
    <mergeCell ref="BT46:BT47"/>
    <mergeCell ref="FT74:FT75"/>
    <mergeCell ref="GO51:GO56"/>
    <mergeCell ref="GU31:GU34"/>
    <mergeCell ref="HJ16:HJ17"/>
    <mergeCell ref="HJ45:HJ48"/>
    <mergeCell ref="A1:OB2"/>
    <mergeCell ref="A64:A84"/>
    <mergeCell ref="B3:B4"/>
    <mergeCell ref="B5:B22"/>
    <mergeCell ref="B25:B41"/>
    <mergeCell ref="B44:B61"/>
    <mergeCell ref="B64:B84"/>
    <mergeCell ref="C3:C4"/>
    <mergeCell ref="C5:C12"/>
    <mergeCell ref="C13:C18"/>
    <mergeCell ref="C19:C22"/>
    <mergeCell ref="C25:C30"/>
    <mergeCell ref="C31:C35"/>
    <mergeCell ref="C36:C41"/>
    <mergeCell ref="C44:C50"/>
    <mergeCell ref="C51:C56"/>
  </mergeCells>
  <pageMargins left="0.75" right="0.75" top="1" bottom="1" header="0.51180555555555596" footer="0.51180555555555596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U472"/>
  <sheetViews>
    <sheetView workbookViewId="0">
      <pane xSplit="2" ySplit="3" topLeftCell="C190" activePane="bottomRight" state="frozen"/>
      <selection pane="topRight"/>
      <selection pane="bottomLeft"/>
      <selection pane="bottomRight" activeCell="E208" sqref="E208"/>
    </sheetView>
  </sheetViews>
  <sheetFormatPr defaultColWidth="9.109375" defaultRowHeight="14.4"/>
  <cols>
    <col min="1" max="1" width="6.77734375" customWidth="1"/>
    <col min="2" max="2" width="22.77734375" customWidth="1"/>
    <col min="3" max="3" width="18.44140625" style="14" customWidth="1"/>
    <col min="4" max="4" width="16.44140625" customWidth="1"/>
    <col min="5" max="5" width="19.109375" style="14" customWidth="1"/>
    <col min="6" max="6" width="16.44140625" customWidth="1"/>
    <col min="7" max="7" width="71.77734375" customWidth="1"/>
    <col min="8" max="8" width="59.33203125" customWidth="1"/>
    <col min="9" max="14" width="9.109375" customWidth="1"/>
    <col min="15" max="15" width="21.109375" customWidth="1"/>
    <col min="16" max="16" width="20.44140625" customWidth="1"/>
    <col min="17" max="17" width="9.109375" customWidth="1"/>
  </cols>
  <sheetData>
    <row r="1" spans="1:21" ht="15.6">
      <c r="A1" s="1717" t="s">
        <v>7117</v>
      </c>
      <c r="B1" s="1713" t="s">
        <v>7118</v>
      </c>
      <c r="C1" s="1713"/>
      <c r="D1" s="1713"/>
      <c r="E1" s="1713"/>
      <c r="F1" s="1713"/>
      <c r="G1" s="1714"/>
      <c r="H1" s="17" t="s">
        <v>7119</v>
      </c>
    </row>
    <row r="2" spans="1:21" ht="15.6">
      <c r="A2" s="1717"/>
      <c r="B2" s="1718" t="s">
        <v>44</v>
      </c>
      <c r="C2" s="1715" t="s">
        <v>7120</v>
      </c>
      <c r="D2" s="1716"/>
      <c r="E2" s="1715" t="s">
        <v>7121</v>
      </c>
      <c r="F2" s="1716"/>
      <c r="G2" s="16"/>
      <c r="H2" s="17"/>
    </row>
    <row r="3" spans="1:21" ht="15.6">
      <c r="A3" s="1717"/>
      <c r="B3" s="1719"/>
      <c r="C3" s="18" t="s">
        <v>7122</v>
      </c>
      <c r="D3" s="15" t="s">
        <v>7123</v>
      </c>
      <c r="E3" s="18" t="s">
        <v>7122</v>
      </c>
      <c r="F3" s="15" t="s">
        <v>7123</v>
      </c>
      <c r="G3" s="19" t="s">
        <v>27</v>
      </c>
      <c r="H3" s="4"/>
    </row>
    <row r="4" spans="1:21">
      <c r="A4" s="1712">
        <v>1</v>
      </c>
      <c r="B4" s="1710" t="s">
        <v>7124</v>
      </c>
      <c r="C4" s="22">
        <v>45055</v>
      </c>
      <c r="D4" s="23" t="s">
        <v>7125</v>
      </c>
      <c r="E4" s="24">
        <v>45055</v>
      </c>
      <c r="F4" s="23" t="s">
        <v>7126</v>
      </c>
      <c r="G4" s="25" t="s">
        <v>7127</v>
      </c>
      <c r="H4" s="4" t="s">
        <v>7128</v>
      </c>
      <c r="L4" s="1"/>
    </row>
    <row r="5" spans="1:21">
      <c r="A5" s="1712"/>
      <c r="B5" s="1710"/>
      <c r="C5" s="22">
        <v>45097</v>
      </c>
      <c r="D5" s="20" t="s">
        <v>7129</v>
      </c>
      <c r="E5" s="22">
        <v>45097</v>
      </c>
      <c r="F5" s="20" t="s">
        <v>7130</v>
      </c>
      <c r="G5" s="25" t="s">
        <v>7131</v>
      </c>
      <c r="H5" s="4" t="s">
        <v>7128</v>
      </c>
      <c r="L5" s="1"/>
      <c r="M5" s="1"/>
    </row>
    <row r="6" spans="1:21">
      <c r="A6" s="20"/>
      <c r="B6" s="21"/>
      <c r="C6" s="22">
        <v>45146</v>
      </c>
      <c r="D6" s="23" t="s">
        <v>7132</v>
      </c>
      <c r="E6" s="22">
        <v>45146</v>
      </c>
      <c r="F6" s="23" t="s">
        <v>7133</v>
      </c>
      <c r="G6" s="25" t="s">
        <v>7134</v>
      </c>
      <c r="H6" s="4" t="s">
        <v>7128</v>
      </c>
      <c r="L6" s="1"/>
      <c r="M6" s="1"/>
    </row>
    <row r="7" spans="1:21">
      <c r="A7" s="20"/>
      <c r="B7" s="21"/>
      <c r="C7" s="22">
        <v>45166</v>
      </c>
      <c r="D7" s="23" t="s">
        <v>7132</v>
      </c>
      <c r="E7" s="22">
        <v>45166</v>
      </c>
      <c r="F7" s="20" t="s">
        <v>7135</v>
      </c>
      <c r="G7" s="26" t="s">
        <v>7136</v>
      </c>
      <c r="H7" s="4" t="s">
        <v>7128</v>
      </c>
      <c r="L7" s="1"/>
      <c r="M7" s="1"/>
    </row>
    <row r="8" spans="1:21">
      <c r="A8" s="20"/>
      <c r="B8" s="21"/>
      <c r="C8" s="22">
        <v>45209</v>
      </c>
      <c r="D8" s="20" t="s">
        <v>7137</v>
      </c>
      <c r="E8" s="22">
        <v>45209</v>
      </c>
      <c r="F8" s="20" t="s">
        <v>7138</v>
      </c>
      <c r="G8" s="25" t="s">
        <v>7139</v>
      </c>
      <c r="H8" s="4" t="s">
        <v>7128</v>
      </c>
      <c r="M8" s="1"/>
    </row>
    <row r="9" spans="1:21">
      <c r="A9" s="20"/>
      <c r="B9" s="21"/>
      <c r="C9" s="22">
        <v>45210</v>
      </c>
      <c r="D9" s="20" t="s">
        <v>7132</v>
      </c>
      <c r="E9" s="22">
        <v>45210</v>
      </c>
      <c r="F9" s="20" t="s">
        <v>7138</v>
      </c>
      <c r="G9" s="26" t="s">
        <v>7140</v>
      </c>
      <c r="H9" s="4" t="s">
        <v>7128</v>
      </c>
      <c r="M9" s="1"/>
    </row>
    <row r="10" spans="1:21">
      <c r="A10" s="20"/>
      <c r="B10" s="21"/>
      <c r="C10" s="22">
        <v>45261</v>
      </c>
      <c r="D10" s="20" t="s">
        <v>7132</v>
      </c>
      <c r="E10" s="22">
        <v>45261</v>
      </c>
      <c r="F10" s="27">
        <v>0.625</v>
      </c>
      <c r="G10" s="26" t="s">
        <v>7141</v>
      </c>
      <c r="H10" s="4" t="s">
        <v>7128</v>
      </c>
      <c r="M10" s="1"/>
    </row>
    <row r="11" spans="1:21">
      <c r="A11" s="20"/>
      <c r="B11" s="21"/>
      <c r="C11" s="22">
        <v>45369</v>
      </c>
      <c r="D11" s="20" t="s">
        <v>7142</v>
      </c>
      <c r="E11" s="22">
        <v>45369</v>
      </c>
      <c r="F11" s="20" t="s">
        <v>7143</v>
      </c>
      <c r="G11" s="25" t="s">
        <v>7144</v>
      </c>
      <c r="H11" s="4" t="s">
        <v>7128</v>
      </c>
      <c r="U11" s="1"/>
    </row>
    <row r="12" spans="1:21">
      <c r="A12" s="20"/>
      <c r="B12" s="21"/>
      <c r="C12" s="22"/>
      <c r="D12" s="20"/>
      <c r="E12" s="22"/>
      <c r="F12" s="20"/>
      <c r="G12" s="26"/>
      <c r="H12" s="4"/>
      <c r="U12" s="1"/>
    </row>
    <row r="13" spans="1:21">
      <c r="A13" s="20"/>
      <c r="B13" s="21"/>
      <c r="C13" s="22"/>
      <c r="D13" s="20"/>
      <c r="E13" s="22"/>
      <c r="F13" s="20"/>
      <c r="G13" s="25"/>
      <c r="H13" s="4"/>
      <c r="U13" s="1"/>
    </row>
    <row r="14" spans="1:21">
      <c r="A14" s="20"/>
      <c r="B14" s="21"/>
      <c r="C14" s="22"/>
      <c r="D14" s="20"/>
      <c r="E14" s="22"/>
      <c r="F14" s="20"/>
      <c r="G14" s="26"/>
      <c r="H14" s="4"/>
      <c r="U14" s="1"/>
    </row>
    <row r="15" spans="1:21">
      <c r="A15" s="28"/>
      <c r="B15" s="21"/>
      <c r="C15" s="22"/>
      <c r="D15" s="20"/>
      <c r="E15" s="22"/>
      <c r="F15" s="20"/>
      <c r="G15" s="29"/>
      <c r="H15" s="4"/>
      <c r="U15" s="1"/>
    </row>
    <row r="16" spans="1:21">
      <c r="A16" s="28"/>
      <c r="B16" s="21"/>
      <c r="C16" s="22"/>
      <c r="D16" s="20"/>
      <c r="E16" s="22"/>
      <c r="F16" s="20"/>
      <c r="G16" s="29"/>
      <c r="H16" s="4"/>
      <c r="U16" s="1"/>
    </row>
    <row r="17" spans="1:21">
      <c r="A17" s="28"/>
      <c r="B17" s="21"/>
      <c r="C17" s="22"/>
      <c r="D17" s="20"/>
      <c r="E17" s="22"/>
      <c r="F17" s="20"/>
      <c r="G17" s="29"/>
      <c r="H17" s="4"/>
      <c r="U17" s="1"/>
    </row>
    <row r="18" spans="1:21">
      <c r="A18" s="28"/>
      <c r="B18" s="21"/>
      <c r="C18" s="22"/>
      <c r="D18" s="20"/>
      <c r="E18" s="22"/>
      <c r="F18" s="20"/>
      <c r="G18" s="29"/>
      <c r="H18" s="4"/>
      <c r="U18" s="1"/>
    </row>
    <row r="19" spans="1:21">
      <c r="A19" s="28"/>
      <c r="B19" s="21"/>
      <c r="C19" s="22"/>
      <c r="D19" s="20"/>
      <c r="E19" s="22"/>
      <c r="F19" s="20"/>
      <c r="G19" s="25"/>
      <c r="H19" s="4"/>
      <c r="U19" s="1"/>
    </row>
    <row r="20" spans="1:21">
      <c r="A20" s="28"/>
      <c r="B20" s="21"/>
      <c r="C20" s="22"/>
      <c r="D20" s="20"/>
      <c r="E20" s="22"/>
      <c r="F20" s="20"/>
      <c r="G20" s="25"/>
      <c r="H20" s="4"/>
      <c r="U20" s="1"/>
    </row>
    <row r="21" spans="1:21">
      <c r="A21" s="28"/>
      <c r="B21" s="21"/>
      <c r="C21" s="22"/>
      <c r="D21" s="20"/>
      <c r="E21" s="22"/>
      <c r="F21" s="20"/>
      <c r="G21" s="29"/>
      <c r="H21" s="4"/>
      <c r="U21" s="1"/>
    </row>
    <row r="22" spans="1:21">
      <c r="A22" s="28"/>
      <c r="B22" s="21"/>
      <c r="C22" s="22"/>
      <c r="D22" s="20"/>
      <c r="E22" s="22"/>
      <c r="F22" s="20"/>
      <c r="G22" s="29"/>
      <c r="H22" s="4"/>
      <c r="U22" s="1"/>
    </row>
    <row r="23" spans="1:21">
      <c r="A23" s="28"/>
      <c r="B23" s="21"/>
      <c r="C23" s="22"/>
      <c r="D23" s="20"/>
      <c r="E23" s="22"/>
      <c r="F23" s="20"/>
      <c r="G23" s="29"/>
      <c r="H23" s="4"/>
      <c r="U23" s="1"/>
    </row>
    <row r="24" spans="1:21">
      <c r="A24" s="28"/>
      <c r="B24" s="21"/>
      <c r="C24" s="22"/>
      <c r="D24" s="20"/>
      <c r="E24" s="22"/>
      <c r="F24" s="20"/>
      <c r="G24" s="29"/>
      <c r="H24" s="4"/>
      <c r="U24" s="1"/>
    </row>
    <row r="25" spans="1:21">
      <c r="A25" s="28"/>
      <c r="B25" s="21"/>
      <c r="C25" s="22"/>
      <c r="D25" s="20"/>
      <c r="E25" s="22"/>
      <c r="F25" s="20"/>
      <c r="G25" s="29"/>
      <c r="H25" s="4"/>
    </row>
    <row r="26" spans="1:21">
      <c r="A26" s="28"/>
      <c r="B26" s="21"/>
      <c r="C26" s="22"/>
      <c r="D26" s="20"/>
      <c r="E26" s="22"/>
      <c r="F26" s="20"/>
      <c r="G26" s="29"/>
      <c r="H26" s="4"/>
    </row>
    <row r="27" spans="1:21">
      <c r="A27" s="28"/>
      <c r="B27" s="21"/>
      <c r="C27" s="22"/>
      <c r="D27" s="20"/>
      <c r="E27" s="22"/>
      <c r="F27" s="20"/>
      <c r="G27" s="29"/>
      <c r="H27" s="4"/>
    </row>
    <row r="28" spans="1:21">
      <c r="A28" s="28"/>
      <c r="B28" s="21"/>
      <c r="C28" s="22"/>
      <c r="D28" s="20"/>
      <c r="E28" s="22"/>
      <c r="F28" s="20"/>
      <c r="G28" s="29"/>
      <c r="H28" s="4"/>
    </row>
    <row r="29" spans="1:21">
      <c r="A29" s="28"/>
      <c r="B29" s="21"/>
      <c r="C29" s="22"/>
      <c r="D29" s="20"/>
      <c r="E29" s="22"/>
      <c r="F29" s="20"/>
      <c r="G29" s="29"/>
      <c r="H29" s="4"/>
    </row>
    <row r="30" spans="1:21">
      <c r="A30" s="28"/>
      <c r="B30" s="21"/>
      <c r="C30" s="22"/>
      <c r="D30" s="20"/>
      <c r="E30" s="22"/>
      <c r="F30" s="20"/>
      <c r="G30" s="29"/>
      <c r="H30" s="4"/>
    </row>
    <row r="31" spans="1:21">
      <c r="A31" s="28"/>
      <c r="B31" s="21"/>
      <c r="C31" s="22"/>
      <c r="D31" s="20"/>
      <c r="E31" s="22"/>
      <c r="F31" s="20"/>
      <c r="G31" s="29"/>
      <c r="H31" s="4"/>
    </row>
    <row r="32" spans="1:21">
      <c r="A32" s="28"/>
      <c r="B32" s="21"/>
      <c r="C32" s="22"/>
      <c r="D32" s="20"/>
      <c r="E32" s="22"/>
      <c r="F32" s="20"/>
      <c r="G32" s="29"/>
      <c r="H32" s="4"/>
    </row>
    <row r="33" spans="1:8">
      <c r="A33" s="28"/>
      <c r="B33" s="21"/>
      <c r="C33" s="22"/>
      <c r="D33" s="20"/>
      <c r="E33" s="22"/>
      <c r="F33" s="20"/>
      <c r="G33" s="29"/>
      <c r="H33" s="4"/>
    </row>
    <row r="34" spans="1:8">
      <c r="A34" s="28"/>
      <c r="B34" s="21"/>
      <c r="C34" s="22"/>
      <c r="D34" s="20"/>
      <c r="E34" s="22"/>
      <c r="F34" s="20"/>
      <c r="G34" s="29"/>
      <c r="H34" s="4"/>
    </row>
    <row r="35" spans="1:8">
      <c r="A35" s="28"/>
      <c r="B35" s="21"/>
      <c r="C35" s="22"/>
      <c r="D35" s="20"/>
      <c r="E35" s="22"/>
      <c r="F35" s="20"/>
      <c r="G35" s="29"/>
      <c r="H35" s="4"/>
    </row>
    <row r="36" spans="1:8">
      <c r="A36" s="28"/>
      <c r="B36" s="21"/>
      <c r="C36" s="22"/>
      <c r="D36" s="20"/>
      <c r="E36" s="22"/>
      <c r="F36" s="20"/>
      <c r="G36" s="29"/>
      <c r="H36" s="4"/>
    </row>
    <row r="37" spans="1:8">
      <c r="A37" s="28"/>
      <c r="B37" s="21"/>
      <c r="C37" s="22"/>
      <c r="D37" s="20"/>
      <c r="E37" s="22"/>
      <c r="F37" s="20"/>
      <c r="G37" s="29"/>
      <c r="H37" s="4"/>
    </row>
    <row r="38" spans="1:8">
      <c r="A38" s="28"/>
      <c r="B38" s="21"/>
      <c r="C38" s="22"/>
      <c r="D38" s="20"/>
      <c r="E38" s="22"/>
      <c r="F38" s="20"/>
      <c r="G38" s="29"/>
      <c r="H38" s="4"/>
    </row>
    <row r="39" spans="1:8">
      <c r="A39" s="28"/>
      <c r="B39" s="21"/>
      <c r="C39" s="22"/>
      <c r="D39" s="20"/>
      <c r="E39" s="22"/>
      <c r="F39" s="20"/>
      <c r="G39" s="29"/>
      <c r="H39" s="4"/>
    </row>
    <row r="40" spans="1:8">
      <c r="A40" s="28"/>
      <c r="B40" s="21"/>
      <c r="C40" s="22"/>
      <c r="D40" s="20"/>
      <c r="E40" s="22"/>
      <c r="F40" s="20"/>
      <c r="G40" s="29"/>
      <c r="H40" s="4"/>
    </row>
    <row r="41" spans="1:8">
      <c r="A41" s="28"/>
      <c r="B41" s="21"/>
      <c r="C41" s="22"/>
      <c r="D41" s="20"/>
      <c r="E41" s="22"/>
      <c r="F41" s="20"/>
      <c r="G41" s="29"/>
      <c r="H41" s="4"/>
    </row>
    <row r="42" spans="1:8">
      <c r="A42" s="28"/>
      <c r="B42" s="21"/>
      <c r="C42" s="22"/>
      <c r="D42" s="20"/>
      <c r="E42" s="22"/>
      <c r="F42" s="20"/>
      <c r="G42" s="29"/>
      <c r="H42" s="4"/>
    </row>
    <row r="43" spans="1:8">
      <c r="A43" s="28"/>
      <c r="B43" s="21"/>
      <c r="C43" s="22"/>
      <c r="D43" s="20"/>
      <c r="E43" s="22"/>
      <c r="F43" s="20"/>
      <c r="G43" s="29"/>
      <c r="H43" s="4"/>
    </row>
    <row r="44" spans="1:8">
      <c r="A44" s="28"/>
      <c r="B44" s="21"/>
      <c r="C44" s="22"/>
      <c r="D44" s="20"/>
      <c r="E44" s="22"/>
      <c r="F44" s="20"/>
      <c r="G44" s="29"/>
      <c r="H44" s="4"/>
    </row>
    <row r="45" spans="1:8">
      <c r="A45" s="28"/>
      <c r="B45" s="21"/>
      <c r="C45" s="22"/>
      <c r="D45" s="20"/>
      <c r="E45" s="22"/>
      <c r="F45" s="20"/>
      <c r="G45" s="29"/>
      <c r="H45" s="4"/>
    </row>
    <row r="46" spans="1:8">
      <c r="A46" s="28"/>
      <c r="B46" s="21"/>
      <c r="C46" s="22"/>
      <c r="D46" s="20"/>
      <c r="E46" s="22"/>
      <c r="F46" s="20"/>
      <c r="G46" s="29"/>
      <c r="H46" s="4"/>
    </row>
    <row r="47" spans="1:8">
      <c r="A47" s="28"/>
      <c r="B47" s="21"/>
      <c r="C47" s="22"/>
      <c r="D47" s="20"/>
      <c r="E47" s="22"/>
      <c r="F47" s="20"/>
      <c r="G47" s="29"/>
      <c r="H47" s="4"/>
    </row>
    <row r="48" spans="1:8">
      <c r="A48" s="28"/>
      <c r="B48" s="21"/>
      <c r="C48" s="22"/>
      <c r="D48" s="20"/>
      <c r="E48" s="22"/>
      <c r="F48" s="20"/>
      <c r="G48" s="29"/>
      <c r="H48" s="4"/>
    </row>
    <row r="49" spans="1:8">
      <c r="A49" s="28"/>
      <c r="B49" s="21"/>
      <c r="C49" s="22"/>
      <c r="D49" s="20"/>
      <c r="E49" s="22"/>
      <c r="F49" s="20"/>
      <c r="G49" s="29"/>
      <c r="H49" s="4"/>
    </row>
    <row r="50" spans="1:8">
      <c r="A50" s="28"/>
      <c r="B50" s="21"/>
      <c r="C50" s="22"/>
      <c r="D50" s="20"/>
      <c r="E50" s="22"/>
      <c r="F50" s="20"/>
      <c r="G50" s="29"/>
      <c r="H50" s="4"/>
    </row>
    <row r="51" spans="1:8">
      <c r="A51" s="28"/>
      <c r="B51" s="21"/>
      <c r="C51" s="22"/>
      <c r="D51" s="20"/>
      <c r="E51" s="22"/>
      <c r="F51" s="20"/>
      <c r="G51" s="29"/>
      <c r="H51" s="4"/>
    </row>
    <row r="52" spans="1:8">
      <c r="A52" s="28"/>
      <c r="B52" s="21"/>
      <c r="C52" s="22"/>
      <c r="D52" s="20"/>
      <c r="E52" s="22"/>
      <c r="F52" s="20"/>
      <c r="G52" s="29"/>
      <c r="H52" s="4"/>
    </row>
    <row r="53" spans="1:8">
      <c r="A53" s="28"/>
      <c r="B53" s="21"/>
      <c r="C53" s="22"/>
      <c r="D53" s="20"/>
      <c r="E53" s="22"/>
      <c r="F53" s="20"/>
      <c r="G53" s="29"/>
      <c r="H53" s="4"/>
    </row>
    <row r="54" spans="1:8">
      <c r="A54" s="28"/>
      <c r="B54" s="30"/>
      <c r="C54" s="31"/>
      <c r="D54" s="32"/>
      <c r="E54" s="31"/>
      <c r="F54" s="32"/>
      <c r="G54" s="29"/>
      <c r="H54" s="4"/>
    </row>
    <row r="55" spans="1:8">
      <c r="A55" s="1712">
        <v>2</v>
      </c>
      <c r="B55" s="1710" t="s">
        <v>7145</v>
      </c>
      <c r="C55" s="1706">
        <v>44938</v>
      </c>
      <c r="D55" s="1709" t="s">
        <v>7132</v>
      </c>
      <c r="E55" s="22" t="s">
        <v>1735</v>
      </c>
      <c r="F55" s="33" t="s">
        <v>1735</v>
      </c>
      <c r="G55" s="25" t="s">
        <v>7146</v>
      </c>
      <c r="H55" s="4" t="s">
        <v>7128</v>
      </c>
    </row>
    <row r="56" spans="1:8">
      <c r="A56" s="1712"/>
      <c r="B56" s="1710"/>
      <c r="C56" s="1707"/>
      <c r="D56" s="1707"/>
      <c r="E56" s="22">
        <v>44948</v>
      </c>
      <c r="F56" s="33" t="s">
        <v>1735</v>
      </c>
      <c r="G56" s="25" t="s">
        <v>7147</v>
      </c>
      <c r="H56" s="4" t="s">
        <v>7128</v>
      </c>
    </row>
    <row r="57" spans="1:8">
      <c r="A57" s="34"/>
      <c r="B57" s="21"/>
      <c r="C57" s="1708"/>
      <c r="D57" s="1708"/>
      <c r="E57" s="22">
        <v>44949</v>
      </c>
      <c r="F57" s="33" t="s">
        <v>7138</v>
      </c>
      <c r="G57" s="25" t="s">
        <v>7148</v>
      </c>
      <c r="H57" s="4" t="s">
        <v>7128</v>
      </c>
    </row>
    <row r="58" spans="1:8">
      <c r="A58" s="34"/>
      <c r="B58" s="21"/>
      <c r="C58" s="22">
        <v>44978</v>
      </c>
      <c r="D58" s="33" t="s">
        <v>7149</v>
      </c>
      <c r="E58" s="22">
        <v>44980</v>
      </c>
      <c r="F58" s="33" t="s">
        <v>7150</v>
      </c>
      <c r="G58" s="25" t="s">
        <v>7151</v>
      </c>
      <c r="H58" s="4" t="s">
        <v>7128</v>
      </c>
    </row>
    <row r="59" spans="1:8">
      <c r="A59" s="34"/>
      <c r="B59" s="21"/>
      <c r="C59" s="22">
        <v>44984</v>
      </c>
      <c r="D59" s="33"/>
      <c r="E59" s="22">
        <v>44984</v>
      </c>
      <c r="F59" s="33"/>
      <c r="G59" s="25" t="s">
        <v>7152</v>
      </c>
      <c r="H59" s="4" t="s">
        <v>7128</v>
      </c>
    </row>
    <row r="60" spans="1:8">
      <c r="A60" s="34"/>
      <c r="B60" s="21"/>
      <c r="C60" s="22">
        <v>44994</v>
      </c>
      <c r="D60" s="33" t="s">
        <v>7153</v>
      </c>
      <c r="E60" s="22">
        <v>44994</v>
      </c>
      <c r="F60" s="33"/>
      <c r="G60" s="25" t="s">
        <v>7154</v>
      </c>
      <c r="H60" s="4" t="s">
        <v>7128</v>
      </c>
    </row>
    <row r="61" spans="1:8">
      <c r="A61" s="34"/>
      <c r="B61" s="21"/>
      <c r="C61" s="22">
        <v>45075</v>
      </c>
      <c r="D61" s="33" t="s">
        <v>7153</v>
      </c>
      <c r="E61" s="22">
        <v>45075</v>
      </c>
      <c r="F61" s="33" t="s">
        <v>7155</v>
      </c>
      <c r="G61" s="25" t="s">
        <v>7156</v>
      </c>
      <c r="H61" s="4" t="s">
        <v>7128</v>
      </c>
    </row>
    <row r="62" spans="1:8">
      <c r="A62" s="34"/>
      <c r="B62" s="21"/>
      <c r="C62" s="22">
        <v>45118</v>
      </c>
      <c r="D62" s="33" t="s">
        <v>7157</v>
      </c>
      <c r="E62" s="22">
        <v>45118</v>
      </c>
      <c r="F62" s="33" t="s">
        <v>7158</v>
      </c>
      <c r="G62" s="25" t="s">
        <v>7159</v>
      </c>
      <c r="H62" s="4" t="s">
        <v>7160</v>
      </c>
    </row>
    <row r="63" spans="1:8">
      <c r="A63" s="34"/>
      <c r="B63" s="21"/>
      <c r="C63" s="22">
        <v>45119</v>
      </c>
      <c r="D63" s="33" t="s">
        <v>7161</v>
      </c>
      <c r="E63" s="22">
        <v>45119</v>
      </c>
      <c r="F63" s="33" t="s">
        <v>7162</v>
      </c>
      <c r="G63" s="25" t="s">
        <v>7163</v>
      </c>
      <c r="H63" s="4" t="s">
        <v>7160</v>
      </c>
    </row>
    <row r="64" spans="1:8">
      <c r="A64" s="34"/>
      <c r="B64" s="21"/>
      <c r="C64" s="22">
        <v>45120</v>
      </c>
      <c r="D64" s="20"/>
      <c r="E64" s="22">
        <v>45120</v>
      </c>
      <c r="F64" s="20"/>
      <c r="G64" s="25" t="s">
        <v>7163</v>
      </c>
      <c r="H64" s="4" t="s">
        <v>7128</v>
      </c>
    </row>
    <row r="65" spans="1:8">
      <c r="A65" s="34"/>
      <c r="B65" s="21"/>
      <c r="C65" s="22">
        <v>45139</v>
      </c>
      <c r="D65" s="20" t="s">
        <v>7164</v>
      </c>
      <c r="E65" s="22">
        <v>45139</v>
      </c>
      <c r="F65" s="20" t="s">
        <v>7165</v>
      </c>
      <c r="G65" s="29" t="s">
        <v>7166</v>
      </c>
      <c r="H65" s="4" t="s">
        <v>7160</v>
      </c>
    </row>
    <row r="66" spans="1:8">
      <c r="A66" s="34"/>
      <c r="B66" s="21"/>
      <c r="C66" s="22">
        <v>45140</v>
      </c>
      <c r="D66" s="20" t="s">
        <v>7161</v>
      </c>
      <c r="E66" s="22">
        <v>45140</v>
      </c>
      <c r="F66" s="20" t="s">
        <v>7167</v>
      </c>
      <c r="G66" s="29" t="s">
        <v>7166</v>
      </c>
      <c r="H66" s="4" t="s">
        <v>7128</v>
      </c>
    </row>
    <row r="67" spans="1:8">
      <c r="A67" s="34"/>
      <c r="B67" s="21"/>
      <c r="C67" s="22">
        <v>45173</v>
      </c>
      <c r="D67" s="20" t="s">
        <v>7137</v>
      </c>
      <c r="E67" s="22">
        <v>45173</v>
      </c>
      <c r="F67" s="20" t="s">
        <v>7167</v>
      </c>
      <c r="G67" s="29" t="s">
        <v>7168</v>
      </c>
      <c r="H67" s="4" t="s">
        <v>7128</v>
      </c>
    </row>
    <row r="68" spans="1:8">
      <c r="A68" s="34"/>
      <c r="B68" s="21"/>
      <c r="C68" s="22">
        <v>45175</v>
      </c>
      <c r="D68" s="20" t="s">
        <v>7132</v>
      </c>
      <c r="E68" s="22">
        <v>45175</v>
      </c>
      <c r="F68" s="20" t="s">
        <v>7161</v>
      </c>
      <c r="G68" s="29" t="s">
        <v>7169</v>
      </c>
      <c r="H68" s="4" t="s">
        <v>7128</v>
      </c>
    </row>
    <row r="69" spans="1:8">
      <c r="A69" s="34"/>
      <c r="B69" s="21"/>
      <c r="C69" s="22">
        <v>45180</v>
      </c>
      <c r="D69" s="20" t="s">
        <v>7170</v>
      </c>
      <c r="E69" s="22">
        <v>45180</v>
      </c>
      <c r="F69" s="20" t="s">
        <v>7171</v>
      </c>
      <c r="G69" s="29" t="s">
        <v>7134</v>
      </c>
      <c r="H69" s="4" t="s">
        <v>7128</v>
      </c>
    </row>
    <row r="70" spans="1:8">
      <c r="A70" s="34"/>
      <c r="B70" s="21"/>
      <c r="C70" s="22"/>
      <c r="D70" s="20"/>
      <c r="E70" s="22"/>
      <c r="F70" s="20"/>
      <c r="G70" s="29"/>
      <c r="H70" s="4"/>
    </row>
    <row r="71" spans="1:8">
      <c r="A71" s="34"/>
      <c r="B71" s="21"/>
      <c r="C71" s="22"/>
      <c r="D71" s="20"/>
      <c r="E71" s="22"/>
      <c r="F71" s="20"/>
      <c r="G71" s="29"/>
      <c r="H71" s="4"/>
    </row>
    <row r="72" spans="1:8">
      <c r="A72" s="34"/>
      <c r="B72" s="21"/>
      <c r="C72" s="22"/>
      <c r="D72" s="20"/>
      <c r="E72" s="22"/>
      <c r="F72" s="20"/>
      <c r="G72" s="29"/>
      <c r="H72" s="4"/>
    </row>
    <row r="73" spans="1:8">
      <c r="A73" s="34"/>
      <c r="B73" s="21"/>
      <c r="C73" s="22"/>
      <c r="D73" s="20"/>
      <c r="E73" s="22"/>
      <c r="F73" s="20"/>
      <c r="G73" s="29"/>
      <c r="H73" s="4"/>
    </row>
    <row r="74" spans="1:8">
      <c r="A74" s="34"/>
      <c r="B74" s="21"/>
      <c r="C74" s="22"/>
      <c r="D74" s="20"/>
      <c r="E74" s="22"/>
      <c r="F74" s="20"/>
      <c r="G74" s="29"/>
      <c r="H74" s="4"/>
    </row>
    <row r="75" spans="1:8">
      <c r="A75" s="34"/>
      <c r="B75" s="21"/>
      <c r="C75" s="22"/>
      <c r="D75" s="20"/>
      <c r="E75" s="22"/>
      <c r="F75" s="20"/>
      <c r="G75" s="29"/>
      <c r="H75" s="4"/>
    </row>
    <row r="76" spans="1:8">
      <c r="A76" s="34"/>
      <c r="B76" s="21"/>
      <c r="C76" s="22"/>
      <c r="D76" s="20"/>
      <c r="E76" s="22"/>
      <c r="F76" s="20"/>
      <c r="G76" s="29"/>
      <c r="H76" s="4"/>
    </row>
    <row r="77" spans="1:8">
      <c r="A77" s="34"/>
      <c r="B77" s="21"/>
      <c r="C77" s="22"/>
      <c r="D77" s="20"/>
      <c r="E77" s="22"/>
      <c r="F77" s="20"/>
      <c r="G77" s="29"/>
      <c r="H77" s="4"/>
    </row>
    <row r="78" spans="1:8">
      <c r="A78" s="34"/>
      <c r="B78" s="21"/>
      <c r="C78" s="22"/>
      <c r="D78" s="20"/>
      <c r="E78" s="22"/>
      <c r="F78" s="20"/>
      <c r="G78" s="29"/>
      <c r="H78" s="4"/>
    </row>
    <row r="79" spans="1:8">
      <c r="A79" s="34"/>
      <c r="B79" s="21"/>
      <c r="C79" s="22"/>
      <c r="D79" s="20"/>
      <c r="E79" s="22"/>
      <c r="F79" s="20"/>
      <c r="G79" s="29"/>
      <c r="H79" s="4"/>
    </row>
    <row r="80" spans="1:8">
      <c r="A80" s="34"/>
      <c r="B80" s="21"/>
      <c r="C80" s="22"/>
      <c r="D80" s="20"/>
      <c r="E80" s="22"/>
      <c r="F80" s="20"/>
      <c r="G80" s="29"/>
      <c r="H80" s="4"/>
    </row>
    <row r="81" spans="1:8">
      <c r="A81" s="34"/>
      <c r="B81" s="21"/>
      <c r="C81" s="22"/>
      <c r="D81" s="20"/>
      <c r="E81" s="22"/>
      <c r="F81" s="20"/>
      <c r="G81" s="29"/>
      <c r="H81" s="4"/>
    </row>
    <row r="82" spans="1:8">
      <c r="A82" s="34"/>
      <c r="B82" s="21"/>
      <c r="C82" s="22"/>
      <c r="D82" s="20"/>
      <c r="E82" s="22"/>
      <c r="F82" s="20"/>
      <c r="G82" s="29"/>
      <c r="H82" s="4"/>
    </row>
    <row r="83" spans="1:8">
      <c r="A83" s="34"/>
      <c r="B83" s="21"/>
      <c r="C83" s="22"/>
      <c r="D83" s="20"/>
      <c r="E83" s="22"/>
      <c r="F83" s="20"/>
      <c r="G83" s="29"/>
      <c r="H83" s="4"/>
    </row>
    <row r="84" spans="1:8">
      <c r="A84" s="34"/>
      <c r="B84" s="21"/>
      <c r="C84" s="22"/>
      <c r="D84" s="20"/>
      <c r="E84" s="22"/>
      <c r="F84" s="20"/>
      <c r="G84" s="29"/>
      <c r="H84" s="4"/>
    </row>
    <row r="85" spans="1:8">
      <c r="A85" s="34"/>
      <c r="B85" s="21"/>
      <c r="C85" s="22"/>
      <c r="D85" s="20"/>
      <c r="E85" s="22"/>
      <c r="F85" s="20"/>
      <c r="G85" s="29"/>
      <c r="H85" s="4"/>
    </row>
    <row r="86" spans="1:8">
      <c r="A86" s="34"/>
      <c r="B86" s="21"/>
      <c r="C86" s="22"/>
      <c r="D86" s="20"/>
      <c r="E86" s="22"/>
      <c r="F86" s="20"/>
      <c r="G86" s="29"/>
      <c r="H86" s="4"/>
    </row>
    <row r="87" spans="1:8">
      <c r="A87" s="34"/>
      <c r="B87" s="21"/>
      <c r="C87" s="22"/>
      <c r="D87" s="20"/>
      <c r="E87" s="22"/>
      <c r="F87" s="20"/>
      <c r="G87" s="29"/>
      <c r="H87" s="4"/>
    </row>
    <row r="88" spans="1:8">
      <c r="A88" s="34"/>
      <c r="B88" s="21"/>
      <c r="C88" s="22"/>
      <c r="D88" s="20"/>
      <c r="E88" s="22"/>
      <c r="F88" s="20"/>
      <c r="G88" s="29"/>
      <c r="H88" s="4"/>
    </row>
    <row r="89" spans="1:8">
      <c r="A89" s="34"/>
      <c r="B89" s="21"/>
      <c r="C89" s="22"/>
      <c r="D89" s="20"/>
      <c r="E89" s="22"/>
      <c r="F89" s="20"/>
      <c r="G89" s="29"/>
      <c r="H89" s="4"/>
    </row>
    <row r="90" spans="1:8">
      <c r="A90" s="34"/>
      <c r="B90" s="21"/>
      <c r="C90" s="22"/>
      <c r="D90" s="20"/>
      <c r="E90" s="22"/>
      <c r="F90" s="20"/>
      <c r="G90" s="29"/>
      <c r="H90" s="4"/>
    </row>
    <row r="91" spans="1:8">
      <c r="A91" s="34"/>
      <c r="B91" s="21"/>
      <c r="C91" s="22"/>
      <c r="D91" s="20"/>
      <c r="E91" s="22"/>
      <c r="F91" s="20"/>
      <c r="G91" s="29"/>
      <c r="H91" s="4"/>
    </row>
    <row r="92" spans="1:8">
      <c r="A92" s="34"/>
      <c r="B92" s="21"/>
      <c r="C92" s="22"/>
      <c r="D92" s="20"/>
      <c r="E92" s="22"/>
      <c r="F92" s="20"/>
      <c r="G92" s="29"/>
      <c r="H92" s="4"/>
    </row>
    <row r="93" spans="1:8">
      <c r="A93" s="34"/>
      <c r="B93" s="21"/>
      <c r="C93" s="22"/>
      <c r="D93" s="20"/>
      <c r="E93" s="22"/>
      <c r="F93" s="20"/>
      <c r="G93" s="29"/>
      <c r="H93" s="4"/>
    </row>
    <row r="94" spans="1:8">
      <c r="A94" s="34"/>
      <c r="B94" s="21"/>
      <c r="C94" s="22"/>
      <c r="D94" s="20"/>
      <c r="E94" s="22"/>
      <c r="F94" s="20"/>
      <c r="G94" s="29"/>
      <c r="H94" s="4"/>
    </row>
    <row r="95" spans="1:8">
      <c r="A95" s="34"/>
      <c r="B95" s="21"/>
      <c r="C95" s="22"/>
      <c r="D95" s="20"/>
      <c r="E95" s="22"/>
      <c r="F95" s="20"/>
      <c r="G95" s="29"/>
      <c r="H95" s="4"/>
    </row>
    <row r="96" spans="1:8">
      <c r="A96" s="34"/>
      <c r="B96" s="21"/>
      <c r="C96" s="22"/>
      <c r="D96" s="20"/>
      <c r="E96" s="22"/>
      <c r="F96" s="20"/>
      <c r="G96" s="29"/>
      <c r="H96" s="4"/>
    </row>
    <row r="97" spans="1:8">
      <c r="A97" s="34"/>
      <c r="B97" s="21"/>
      <c r="C97" s="22"/>
      <c r="D97" s="20"/>
      <c r="E97" s="22"/>
      <c r="F97" s="20"/>
      <c r="G97" s="29"/>
      <c r="H97" s="4"/>
    </row>
    <row r="98" spans="1:8">
      <c r="A98" s="34"/>
      <c r="B98" s="21"/>
      <c r="C98" s="22"/>
      <c r="D98" s="20"/>
      <c r="E98" s="22"/>
      <c r="F98" s="20"/>
      <c r="G98" s="29"/>
      <c r="H98" s="4"/>
    </row>
    <row r="99" spans="1:8">
      <c r="A99" s="34"/>
      <c r="B99" s="21"/>
      <c r="C99" s="22"/>
      <c r="D99" s="20"/>
      <c r="E99" s="22"/>
      <c r="F99" s="20"/>
      <c r="G99" s="29"/>
      <c r="H99" s="4"/>
    </row>
    <row r="100" spans="1:8">
      <c r="A100" s="34"/>
      <c r="B100" s="21"/>
      <c r="C100" s="22"/>
      <c r="D100" s="20"/>
      <c r="E100" s="22"/>
      <c r="F100" s="20"/>
      <c r="G100" s="29"/>
      <c r="H100" s="4"/>
    </row>
    <row r="101" spans="1:8">
      <c r="A101" s="34"/>
      <c r="B101" s="21"/>
      <c r="C101" s="22"/>
      <c r="D101" s="20"/>
      <c r="E101" s="22"/>
      <c r="F101" s="20"/>
      <c r="G101" s="29"/>
      <c r="H101" s="4"/>
    </row>
    <row r="102" spans="1:8">
      <c r="A102" s="34"/>
      <c r="B102" s="21"/>
      <c r="C102" s="22"/>
      <c r="D102" s="20"/>
      <c r="E102" s="22"/>
      <c r="F102" s="20"/>
      <c r="G102" s="29"/>
      <c r="H102" s="4"/>
    </row>
    <row r="103" spans="1:8">
      <c r="A103" s="34"/>
      <c r="B103" s="21"/>
      <c r="C103" s="22"/>
      <c r="D103" s="20"/>
      <c r="E103" s="22"/>
      <c r="F103" s="20"/>
      <c r="G103" s="29"/>
      <c r="H103" s="4"/>
    </row>
    <row r="104" spans="1:8">
      <c r="A104" s="34"/>
      <c r="B104" s="21"/>
      <c r="C104" s="22"/>
      <c r="D104" s="20"/>
      <c r="E104" s="22"/>
      <c r="F104" s="20"/>
      <c r="G104" s="29"/>
      <c r="H104" s="4"/>
    </row>
    <row r="105" spans="1:8" ht="33" customHeight="1">
      <c r="A105" s="1712">
        <v>3</v>
      </c>
      <c r="B105" s="1710" t="s">
        <v>7172</v>
      </c>
      <c r="C105" s="22">
        <v>44946</v>
      </c>
      <c r="D105" s="36" t="s">
        <v>7173</v>
      </c>
      <c r="E105" s="22">
        <v>44946</v>
      </c>
      <c r="F105" s="23" t="s">
        <v>7174</v>
      </c>
      <c r="G105" s="37" t="s">
        <v>7175</v>
      </c>
      <c r="H105" s="4" t="s">
        <v>7128</v>
      </c>
    </row>
    <row r="106" spans="1:8" ht="36" customHeight="1">
      <c r="A106" s="1712"/>
      <c r="B106" s="1710"/>
      <c r="C106" s="38">
        <v>44951</v>
      </c>
      <c r="D106" s="39" t="s">
        <v>7176</v>
      </c>
      <c r="E106" s="22">
        <v>44951</v>
      </c>
      <c r="F106" s="20" t="s">
        <v>7177</v>
      </c>
      <c r="G106" s="37" t="s">
        <v>7178</v>
      </c>
      <c r="H106" s="4" t="s">
        <v>7128</v>
      </c>
    </row>
    <row r="107" spans="1:8">
      <c r="A107" s="34"/>
      <c r="B107" s="21"/>
      <c r="C107" s="22">
        <v>44970</v>
      </c>
      <c r="D107" s="20" t="s">
        <v>7132</v>
      </c>
      <c r="E107" s="22">
        <v>44971</v>
      </c>
      <c r="F107" s="20" t="s">
        <v>7132</v>
      </c>
      <c r="G107" s="40" t="s">
        <v>7179</v>
      </c>
      <c r="H107" s="4" t="s">
        <v>7128</v>
      </c>
    </row>
    <row r="108" spans="1:8">
      <c r="A108" s="34"/>
      <c r="B108" s="21"/>
      <c r="C108" s="22">
        <v>44977</v>
      </c>
      <c r="D108" s="20" t="s">
        <v>7180</v>
      </c>
      <c r="E108" s="22">
        <v>44979</v>
      </c>
      <c r="F108" s="20" t="s">
        <v>7149</v>
      </c>
      <c r="G108" s="40" t="s">
        <v>7181</v>
      </c>
      <c r="H108" s="4" t="s">
        <v>7128</v>
      </c>
    </row>
    <row r="109" spans="1:8">
      <c r="A109" s="34"/>
      <c r="B109" s="21"/>
      <c r="C109" s="22">
        <v>44981</v>
      </c>
      <c r="D109" s="20" t="s">
        <v>7182</v>
      </c>
      <c r="E109" s="22">
        <v>44981</v>
      </c>
      <c r="F109" s="20" t="s">
        <v>7183</v>
      </c>
      <c r="G109" s="37" t="s">
        <v>7184</v>
      </c>
      <c r="H109" s="4" t="s">
        <v>7128</v>
      </c>
    </row>
    <row r="110" spans="1:8">
      <c r="A110" s="34"/>
      <c r="B110" s="21"/>
      <c r="C110" s="22">
        <v>44981</v>
      </c>
      <c r="D110" s="23" t="s">
        <v>7185</v>
      </c>
      <c r="E110" s="22">
        <v>44981</v>
      </c>
      <c r="F110" s="23" t="s">
        <v>7186</v>
      </c>
      <c r="G110" s="37" t="s">
        <v>7184</v>
      </c>
      <c r="H110" s="4" t="s">
        <v>7128</v>
      </c>
    </row>
    <row r="111" spans="1:8">
      <c r="A111" s="34"/>
      <c r="B111" s="21"/>
      <c r="C111" s="22">
        <v>44984</v>
      </c>
      <c r="D111" s="23" t="s">
        <v>7133</v>
      </c>
      <c r="E111" s="22">
        <v>44984</v>
      </c>
      <c r="F111" s="23" t="s">
        <v>7150</v>
      </c>
      <c r="G111" s="25" t="s">
        <v>7187</v>
      </c>
      <c r="H111" s="4" t="s">
        <v>7128</v>
      </c>
    </row>
    <row r="112" spans="1:8">
      <c r="A112" s="34"/>
      <c r="B112" s="21"/>
      <c r="C112" s="22">
        <v>45013</v>
      </c>
      <c r="D112" s="20" t="s">
        <v>7188</v>
      </c>
      <c r="E112" s="22">
        <v>45014</v>
      </c>
      <c r="F112" s="20" t="s">
        <v>7189</v>
      </c>
      <c r="G112" s="40" t="s">
        <v>7190</v>
      </c>
      <c r="H112" s="4" t="s">
        <v>7128</v>
      </c>
    </row>
    <row r="113" spans="1:8" ht="28.8">
      <c r="A113" s="34"/>
      <c r="B113" s="21"/>
      <c r="C113" s="22">
        <v>45019</v>
      </c>
      <c r="D113" s="20" t="s">
        <v>7191</v>
      </c>
      <c r="E113" s="22">
        <v>45019</v>
      </c>
      <c r="F113" s="20" t="s">
        <v>7192</v>
      </c>
      <c r="G113" s="37" t="s">
        <v>7193</v>
      </c>
      <c r="H113" s="4" t="s">
        <v>7128</v>
      </c>
    </row>
    <row r="114" spans="1:8">
      <c r="A114" s="34"/>
      <c r="B114" s="21"/>
      <c r="C114" s="22">
        <v>45042</v>
      </c>
      <c r="D114" s="20" t="s">
        <v>7158</v>
      </c>
      <c r="E114" s="22">
        <v>45042</v>
      </c>
      <c r="F114" s="20" t="s">
        <v>7194</v>
      </c>
      <c r="G114" s="40" t="s">
        <v>7195</v>
      </c>
      <c r="H114" s="4" t="s">
        <v>7128</v>
      </c>
    </row>
    <row r="115" spans="1:8">
      <c r="A115" s="34"/>
      <c r="B115" s="21"/>
      <c r="C115" s="22">
        <v>45076</v>
      </c>
      <c r="D115" s="20" t="s">
        <v>7196</v>
      </c>
      <c r="E115" s="22">
        <v>45076</v>
      </c>
      <c r="F115" s="20" t="s">
        <v>7197</v>
      </c>
      <c r="G115" s="40" t="s">
        <v>7198</v>
      </c>
      <c r="H115" s="4" t="s">
        <v>7128</v>
      </c>
    </row>
    <row r="116" spans="1:8">
      <c r="A116" s="34"/>
      <c r="B116" s="21"/>
      <c r="C116" s="22">
        <v>45110</v>
      </c>
      <c r="D116" s="23" t="s">
        <v>7191</v>
      </c>
      <c r="E116" s="22">
        <v>45110</v>
      </c>
      <c r="F116" s="23" t="s">
        <v>7199</v>
      </c>
      <c r="G116" s="40" t="s">
        <v>7200</v>
      </c>
      <c r="H116" s="4" t="s">
        <v>7128</v>
      </c>
    </row>
    <row r="117" spans="1:8">
      <c r="A117" s="34"/>
      <c r="B117" s="21"/>
      <c r="C117" s="22">
        <v>45166</v>
      </c>
      <c r="D117" s="23" t="s">
        <v>7132</v>
      </c>
      <c r="E117" s="22">
        <v>45166</v>
      </c>
      <c r="F117" s="23" t="s">
        <v>7201</v>
      </c>
      <c r="G117" s="25" t="s">
        <v>7202</v>
      </c>
      <c r="H117" s="4" t="s">
        <v>7128</v>
      </c>
    </row>
    <row r="118" spans="1:8">
      <c r="A118" s="34"/>
      <c r="B118" s="21"/>
      <c r="C118" s="22">
        <v>45173</v>
      </c>
      <c r="D118" s="20" t="s">
        <v>7129</v>
      </c>
      <c r="E118" s="22">
        <v>45173</v>
      </c>
      <c r="F118" s="20" t="s">
        <v>7167</v>
      </c>
      <c r="G118" s="40" t="s">
        <v>7203</v>
      </c>
      <c r="H118" s="4" t="s">
        <v>7128</v>
      </c>
    </row>
    <row r="119" spans="1:8">
      <c r="A119" s="34"/>
      <c r="B119" s="21"/>
      <c r="C119" s="22">
        <v>45177</v>
      </c>
      <c r="D119" s="20" t="s">
        <v>7204</v>
      </c>
      <c r="E119" s="22">
        <v>45177</v>
      </c>
      <c r="F119" s="20" t="s">
        <v>7192</v>
      </c>
      <c r="G119" s="25" t="s">
        <v>7205</v>
      </c>
      <c r="H119" s="4" t="s">
        <v>7128</v>
      </c>
    </row>
    <row r="120" spans="1:8">
      <c r="A120" s="34"/>
      <c r="B120" s="21"/>
      <c r="C120" s="22">
        <v>45189</v>
      </c>
      <c r="D120" s="20" t="s">
        <v>7206</v>
      </c>
      <c r="E120" s="22">
        <v>45189</v>
      </c>
      <c r="F120" s="20" t="s">
        <v>7207</v>
      </c>
      <c r="G120" s="40" t="s">
        <v>7208</v>
      </c>
      <c r="H120" s="4" t="s">
        <v>7128</v>
      </c>
    </row>
    <row r="121" spans="1:8">
      <c r="A121" s="34"/>
      <c r="B121" s="21"/>
      <c r="C121" s="22">
        <v>45345</v>
      </c>
      <c r="D121" s="20" t="s">
        <v>7191</v>
      </c>
      <c r="E121" s="22">
        <v>45345</v>
      </c>
      <c r="F121" s="20" t="s">
        <v>7209</v>
      </c>
      <c r="G121" s="25" t="s">
        <v>7210</v>
      </c>
      <c r="H121" s="4" t="s">
        <v>7128</v>
      </c>
    </row>
    <row r="122" spans="1:8">
      <c r="A122" s="34"/>
      <c r="B122" s="21"/>
      <c r="C122" s="22">
        <v>45397</v>
      </c>
      <c r="D122" s="23" t="s">
        <v>7150</v>
      </c>
      <c r="E122" s="22">
        <v>45399</v>
      </c>
      <c r="F122" s="23" t="s">
        <v>7211</v>
      </c>
      <c r="G122" s="40" t="s">
        <v>7212</v>
      </c>
      <c r="H122" s="4" t="s">
        <v>7213</v>
      </c>
    </row>
    <row r="123" spans="1:8">
      <c r="A123" s="34"/>
      <c r="B123" s="21"/>
      <c r="C123" s="22"/>
      <c r="D123" s="20"/>
      <c r="E123" s="22"/>
      <c r="F123" s="20"/>
      <c r="G123" s="25"/>
      <c r="H123" s="4"/>
    </row>
    <row r="124" spans="1:8">
      <c r="A124" s="34"/>
      <c r="B124" s="21"/>
      <c r="C124" s="22"/>
      <c r="D124" s="20"/>
      <c r="E124" s="22"/>
      <c r="F124" s="20"/>
      <c r="G124" s="25"/>
      <c r="H124" s="4"/>
    </row>
    <row r="125" spans="1:8">
      <c r="A125" s="34"/>
      <c r="B125" s="21"/>
      <c r="C125" s="22"/>
      <c r="D125" s="20"/>
      <c r="E125" s="22"/>
      <c r="F125" s="20"/>
      <c r="G125" s="25"/>
      <c r="H125" s="4"/>
    </row>
    <row r="126" spans="1:8">
      <c r="A126" s="34"/>
      <c r="B126" s="21"/>
      <c r="C126" s="22"/>
      <c r="D126" s="20"/>
      <c r="E126" s="22"/>
      <c r="F126" s="20"/>
      <c r="G126" s="25"/>
      <c r="H126" s="4"/>
    </row>
    <row r="127" spans="1:8">
      <c r="A127" s="34"/>
      <c r="B127" s="21"/>
      <c r="C127" s="22"/>
      <c r="D127" s="20"/>
      <c r="E127" s="22"/>
      <c r="F127" s="20"/>
      <c r="G127" s="40"/>
      <c r="H127" s="4"/>
    </row>
    <row r="128" spans="1:8">
      <c r="A128" s="34"/>
      <c r="B128" s="21"/>
      <c r="C128" s="22"/>
      <c r="D128" s="20"/>
      <c r="E128" s="22"/>
      <c r="F128" s="20"/>
      <c r="G128" s="40"/>
      <c r="H128" s="4"/>
    </row>
    <row r="129" spans="1:8">
      <c r="A129" s="34"/>
      <c r="B129" s="21"/>
      <c r="C129" s="22"/>
      <c r="D129" s="20"/>
      <c r="E129" s="22"/>
      <c r="F129" s="20"/>
      <c r="G129" s="25"/>
      <c r="H129" s="4"/>
    </row>
    <row r="130" spans="1:8">
      <c r="A130" s="34"/>
      <c r="B130" s="21"/>
      <c r="C130" s="22"/>
      <c r="D130" s="20"/>
      <c r="E130" s="22"/>
      <c r="F130" s="20"/>
      <c r="G130" s="40"/>
      <c r="H130" s="4"/>
    </row>
    <row r="131" spans="1:8">
      <c r="A131" s="34"/>
      <c r="B131" s="21"/>
      <c r="C131" s="22"/>
      <c r="D131" s="20"/>
      <c r="E131" s="22"/>
      <c r="F131" s="20"/>
      <c r="G131" s="40"/>
      <c r="H131" s="4"/>
    </row>
    <row r="132" spans="1:8">
      <c r="A132" s="34"/>
      <c r="B132" s="21"/>
      <c r="C132" s="22"/>
      <c r="D132" s="20"/>
      <c r="E132" s="22"/>
      <c r="F132" s="20"/>
      <c r="G132" s="40"/>
      <c r="H132" s="4"/>
    </row>
    <row r="133" spans="1:8">
      <c r="A133" s="34"/>
      <c r="B133" s="21"/>
      <c r="C133" s="22"/>
      <c r="D133" s="20"/>
      <c r="E133" s="22"/>
      <c r="F133" s="20"/>
      <c r="G133" s="40"/>
      <c r="H133" s="4"/>
    </row>
    <row r="134" spans="1:8">
      <c r="A134" s="34"/>
      <c r="B134" s="21"/>
      <c r="C134" s="22"/>
      <c r="D134" s="20"/>
      <c r="E134" s="22"/>
      <c r="F134" s="20"/>
      <c r="G134" s="40"/>
      <c r="H134" s="4"/>
    </row>
    <row r="135" spans="1:8">
      <c r="A135" s="34"/>
      <c r="B135" s="21"/>
      <c r="C135" s="22"/>
      <c r="D135" s="20"/>
      <c r="E135" s="22"/>
      <c r="F135" s="20"/>
      <c r="G135" s="40"/>
      <c r="H135" s="4"/>
    </row>
    <row r="136" spans="1:8">
      <c r="A136" s="34"/>
      <c r="B136" s="21"/>
      <c r="C136" s="22"/>
      <c r="D136" s="20"/>
      <c r="E136" s="22"/>
      <c r="F136" s="20"/>
      <c r="G136" s="40"/>
      <c r="H136" s="4"/>
    </row>
    <row r="137" spans="1:8">
      <c r="A137" s="34"/>
      <c r="B137" s="21"/>
      <c r="C137" s="22"/>
      <c r="D137" s="20"/>
      <c r="E137" s="22"/>
      <c r="F137" s="20"/>
      <c r="G137" s="25"/>
      <c r="H137" s="4"/>
    </row>
    <row r="138" spans="1:8">
      <c r="A138" s="34"/>
      <c r="B138" s="21"/>
      <c r="C138" s="22"/>
      <c r="D138" s="20"/>
      <c r="E138" s="22"/>
      <c r="F138" s="20"/>
      <c r="G138" s="40"/>
      <c r="H138" s="4"/>
    </row>
    <row r="139" spans="1:8">
      <c r="A139" s="34"/>
      <c r="B139" s="21"/>
      <c r="C139" s="22"/>
      <c r="D139" s="20"/>
      <c r="E139" s="22"/>
      <c r="F139" s="20"/>
      <c r="G139" s="40"/>
      <c r="H139" s="4"/>
    </row>
    <row r="140" spans="1:8">
      <c r="A140" s="34"/>
      <c r="B140" s="21"/>
      <c r="C140" s="22"/>
      <c r="D140" s="20"/>
      <c r="E140" s="22"/>
      <c r="F140" s="20"/>
      <c r="G140" s="40"/>
      <c r="H140" s="4"/>
    </row>
    <row r="141" spans="1:8">
      <c r="A141" s="34"/>
      <c r="B141" s="21"/>
      <c r="C141" s="22"/>
      <c r="D141" s="20"/>
      <c r="E141" s="22"/>
      <c r="F141" s="20"/>
      <c r="G141" s="25"/>
      <c r="H141" s="4"/>
    </row>
    <row r="142" spans="1:8">
      <c r="A142" s="34"/>
      <c r="B142" s="21"/>
      <c r="C142" s="22"/>
      <c r="D142" s="20"/>
      <c r="E142" s="22"/>
      <c r="F142" s="20"/>
      <c r="G142" s="40"/>
      <c r="H142" s="4"/>
    </row>
    <row r="143" spans="1:8">
      <c r="A143" s="34"/>
      <c r="B143" s="21"/>
      <c r="C143" s="22"/>
      <c r="D143" s="20"/>
      <c r="E143" s="22"/>
      <c r="F143" s="20"/>
      <c r="G143" s="25"/>
      <c r="H143" s="4"/>
    </row>
    <row r="144" spans="1:8">
      <c r="A144" s="34"/>
      <c r="B144" s="21"/>
      <c r="C144" s="22"/>
      <c r="D144" s="20"/>
      <c r="E144" s="22"/>
      <c r="F144" s="20"/>
      <c r="G144" s="40"/>
      <c r="H144" s="4"/>
    </row>
    <row r="145" spans="1:8">
      <c r="A145" s="34"/>
      <c r="B145" s="21"/>
      <c r="C145" s="22"/>
      <c r="D145" s="20"/>
      <c r="E145" s="22"/>
      <c r="F145" s="20"/>
      <c r="G145" s="40"/>
      <c r="H145" s="4"/>
    </row>
    <row r="146" spans="1:8">
      <c r="A146" s="34"/>
      <c r="B146" s="21"/>
      <c r="C146" s="22"/>
      <c r="D146" s="20"/>
      <c r="E146" s="22"/>
      <c r="F146" s="20"/>
      <c r="G146" s="40"/>
      <c r="H146" s="4"/>
    </row>
    <row r="147" spans="1:8">
      <c r="A147" s="34"/>
      <c r="B147" s="21"/>
      <c r="C147" s="22"/>
      <c r="D147" s="20"/>
      <c r="E147" s="22"/>
      <c r="F147" s="20"/>
      <c r="G147" s="40"/>
      <c r="H147" s="4"/>
    </row>
    <row r="148" spans="1:8">
      <c r="A148" s="34"/>
      <c r="B148" s="21"/>
      <c r="C148" s="22"/>
      <c r="D148" s="20"/>
      <c r="E148" s="22"/>
      <c r="F148" s="20"/>
      <c r="G148" s="40"/>
      <c r="H148" s="4"/>
    </row>
    <row r="149" spans="1:8">
      <c r="A149" s="34"/>
      <c r="B149" s="21"/>
      <c r="C149" s="22"/>
      <c r="D149" s="20"/>
      <c r="E149" s="22"/>
      <c r="F149" s="20"/>
      <c r="G149" s="40"/>
      <c r="H149" s="4"/>
    </row>
    <row r="150" spans="1:8">
      <c r="A150" s="34"/>
      <c r="B150" s="21"/>
      <c r="C150" s="22"/>
      <c r="D150" s="20"/>
      <c r="E150" s="22"/>
      <c r="F150" s="20"/>
      <c r="G150" s="40"/>
      <c r="H150" s="4"/>
    </row>
    <row r="151" spans="1:8">
      <c r="A151" s="34"/>
      <c r="B151" s="21"/>
      <c r="C151" s="22"/>
      <c r="D151" s="20"/>
      <c r="E151" s="22"/>
      <c r="F151" s="20"/>
      <c r="G151" s="40"/>
      <c r="H151" s="4"/>
    </row>
    <row r="152" spans="1:8">
      <c r="A152" s="34"/>
      <c r="B152" s="21"/>
      <c r="C152" s="22"/>
      <c r="D152" s="20"/>
      <c r="E152" s="22"/>
      <c r="F152" s="20"/>
      <c r="G152" s="40"/>
      <c r="H152" s="4"/>
    </row>
    <row r="153" spans="1:8">
      <c r="A153" s="34"/>
      <c r="B153" s="21"/>
      <c r="C153" s="22"/>
      <c r="D153" s="20"/>
      <c r="E153" s="22"/>
      <c r="F153" s="20"/>
      <c r="G153" s="40"/>
      <c r="H153" s="4"/>
    </row>
    <row r="154" spans="1:8">
      <c r="A154" s="34"/>
      <c r="B154" s="21"/>
      <c r="C154" s="22"/>
      <c r="D154" s="20"/>
      <c r="E154" s="22"/>
      <c r="F154" s="20"/>
      <c r="G154" s="40"/>
      <c r="H154" s="4"/>
    </row>
    <row r="155" spans="1:8">
      <c r="A155" s="34"/>
      <c r="B155" s="21"/>
      <c r="C155" s="22"/>
      <c r="D155" s="20"/>
      <c r="E155" s="22"/>
      <c r="F155" s="20"/>
      <c r="G155" s="28"/>
      <c r="H155" s="4"/>
    </row>
    <row r="156" spans="1:8">
      <c r="A156" s="34"/>
      <c r="B156" s="21"/>
      <c r="C156" s="22"/>
      <c r="D156" s="20"/>
      <c r="E156" s="22"/>
      <c r="F156" s="20"/>
      <c r="G156" s="40"/>
      <c r="H156" s="4"/>
    </row>
    <row r="157" spans="1:8">
      <c r="A157" s="34"/>
      <c r="B157" s="21"/>
      <c r="C157" s="22"/>
      <c r="D157" s="20"/>
      <c r="E157" s="22"/>
      <c r="F157" s="20"/>
      <c r="G157" s="25"/>
      <c r="H157" s="4"/>
    </row>
    <row r="158" spans="1:8">
      <c r="A158" s="34"/>
      <c r="B158" s="21"/>
      <c r="C158" s="22"/>
      <c r="D158" s="20"/>
      <c r="E158" s="22"/>
      <c r="F158" s="20"/>
      <c r="G158" s="40"/>
      <c r="H158" s="4"/>
    </row>
    <row r="159" spans="1:8">
      <c r="A159" s="34"/>
      <c r="B159" s="21"/>
      <c r="C159" s="22"/>
      <c r="D159" s="20"/>
      <c r="E159" s="22"/>
      <c r="F159" s="20"/>
      <c r="G159" s="40"/>
      <c r="H159" s="4"/>
    </row>
    <row r="160" spans="1:8">
      <c r="A160" s="34"/>
      <c r="B160" s="21"/>
      <c r="C160" s="22"/>
      <c r="D160" s="20"/>
      <c r="E160" s="22"/>
      <c r="F160" s="20"/>
      <c r="G160" s="25"/>
      <c r="H160" s="4"/>
    </row>
    <row r="161" spans="1:8">
      <c r="A161" s="34"/>
      <c r="B161" s="21"/>
      <c r="C161" s="22"/>
      <c r="D161" s="20"/>
      <c r="E161" s="22"/>
      <c r="F161" s="20"/>
      <c r="G161" s="25"/>
      <c r="H161" s="4"/>
    </row>
    <row r="162" spans="1:8">
      <c r="A162" s="34"/>
      <c r="B162" s="21"/>
      <c r="C162" s="22"/>
      <c r="D162" s="20"/>
      <c r="E162" s="22"/>
      <c r="F162" s="20"/>
      <c r="G162" s="25"/>
      <c r="H162" s="4"/>
    </row>
    <row r="163" spans="1:8">
      <c r="A163" s="34"/>
      <c r="B163" s="21"/>
      <c r="C163" s="22"/>
      <c r="D163" s="20"/>
      <c r="E163" s="22"/>
      <c r="F163" s="20"/>
      <c r="G163" s="25"/>
      <c r="H163" s="4"/>
    </row>
    <row r="164" spans="1:8">
      <c r="A164" s="34"/>
      <c r="B164" s="21"/>
      <c r="C164" s="22"/>
      <c r="D164" s="20"/>
      <c r="E164" s="22"/>
      <c r="F164" s="20"/>
      <c r="G164" s="40"/>
      <c r="H164" s="4"/>
    </row>
    <row r="165" spans="1:8">
      <c r="A165" s="34"/>
      <c r="B165" s="21"/>
      <c r="C165" s="22"/>
      <c r="D165" s="20"/>
      <c r="E165" s="22"/>
      <c r="F165" s="20"/>
      <c r="G165" s="25"/>
      <c r="H165" s="4"/>
    </row>
    <row r="166" spans="1:8">
      <c r="A166" s="34"/>
      <c r="B166" s="21"/>
      <c r="C166" s="22"/>
      <c r="D166" s="20"/>
      <c r="E166" s="22"/>
      <c r="F166" s="20"/>
      <c r="G166" s="25"/>
      <c r="H166" s="4"/>
    </row>
    <row r="167" spans="1:8">
      <c r="A167" s="34"/>
      <c r="B167" s="21"/>
      <c r="C167" s="22"/>
      <c r="D167" s="20"/>
      <c r="E167" s="22"/>
      <c r="F167" s="20"/>
      <c r="G167" s="40"/>
      <c r="H167" s="4"/>
    </row>
    <row r="168" spans="1:8">
      <c r="A168" s="34"/>
      <c r="B168" s="21"/>
      <c r="C168" s="22"/>
      <c r="D168" s="20"/>
      <c r="E168" s="22"/>
      <c r="F168" s="20"/>
      <c r="G168" s="25"/>
      <c r="H168" s="4"/>
    </row>
    <row r="169" spans="1:8">
      <c r="A169" s="34"/>
      <c r="B169" s="21"/>
      <c r="C169" s="22"/>
      <c r="D169" s="20"/>
      <c r="E169" s="22"/>
      <c r="F169" s="20"/>
      <c r="G169" s="25"/>
      <c r="H169" s="4"/>
    </row>
    <row r="170" spans="1:8">
      <c r="A170" s="34"/>
      <c r="B170" s="21"/>
      <c r="C170" s="22"/>
      <c r="D170" s="20"/>
      <c r="E170" s="22"/>
      <c r="F170" s="20"/>
      <c r="G170" s="25"/>
      <c r="H170" s="4"/>
    </row>
    <row r="171" spans="1:8">
      <c r="A171" s="34"/>
      <c r="B171" s="21"/>
      <c r="C171" s="22"/>
      <c r="D171" s="20"/>
      <c r="E171" s="22"/>
      <c r="F171" s="20"/>
      <c r="G171" s="25"/>
      <c r="H171" s="4"/>
    </row>
    <row r="172" spans="1:8">
      <c r="A172" s="34"/>
      <c r="B172" s="21"/>
      <c r="C172" s="22"/>
      <c r="D172" s="20"/>
      <c r="E172" s="22"/>
      <c r="F172" s="20"/>
      <c r="G172" s="25"/>
      <c r="H172" s="4"/>
    </row>
    <row r="173" spans="1:8">
      <c r="A173" s="34"/>
      <c r="B173" s="21"/>
      <c r="C173" s="22"/>
      <c r="D173" s="20"/>
      <c r="E173" s="22"/>
      <c r="F173" s="20"/>
      <c r="G173" s="25"/>
      <c r="H173" s="4"/>
    </row>
    <row r="174" spans="1:8">
      <c r="A174" s="34"/>
      <c r="B174" s="21"/>
      <c r="C174" s="22"/>
      <c r="D174" s="20"/>
      <c r="E174" s="22"/>
      <c r="F174" s="20"/>
      <c r="G174" s="25"/>
      <c r="H174" s="4"/>
    </row>
    <row r="175" spans="1:8">
      <c r="A175" s="34"/>
      <c r="B175" s="21"/>
      <c r="C175" s="22"/>
      <c r="D175" s="20"/>
      <c r="E175" s="22"/>
      <c r="F175" s="20"/>
      <c r="G175" s="25"/>
      <c r="H175" s="4"/>
    </row>
    <row r="176" spans="1:8">
      <c r="A176" s="34"/>
      <c r="B176" s="21"/>
      <c r="C176" s="22"/>
      <c r="D176" s="20"/>
      <c r="E176" s="22"/>
      <c r="F176" s="20"/>
      <c r="G176" s="25"/>
      <c r="H176" s="4"/>
    </row>
    <row r="177" spans="1:8">
      <c r="A177" s="34"/>
      <c r="B177" s="21"/>
      <c r="C177" s="22"/>
      <c r="D177" s="20"/>
      <c r="E177" s="22"/>
      <c r="F177" s="20"/>
      <c r="G177" s="25"/>
      <c r="H177" s="4"/>
    </row>
    <row r="178" spans="1:8">
      <c r="A178" s="34"/>
      <c r="B178" s="21"/>
      <c r="C178" s="22"/>
      <c r="D178" s="20"/>
      <c r="E178" s="22"/>
      <c r="F178" s="20"/>
      <c r="G178" s="25"/>
      <c r="H178" s="4"/>
    </row>
    <row r="179" spans="1:8">
      <c r="A179" s="34"/>
      <c r="B179" s="21"/>
      <c r="C179" s="22"/>
      <c r="D179" s="20"/>
      <c r="E179" s="22"/>
      <c r="F179" s="20"/>
      <c r="G179" s="25"/>
      <c r="H179" s="4"/>
    </row>
    <row r="180" spans="1:8">
      <c r="A180" s="34"/>
      <c r="B180" s="21"/>
      <c r="C180" s="22"/>
      <c r="D180" s="20"/>
      <c r="E180" s="22"/>
      <c r="F180" s="20"/>
      <c r="G180" s="25"/>
      <c r="H180" s="4"/>
    </row>
    <row r="181" spans="1:8">
      <c r="A181" s="34"/>
      <c r="B181" s="21"/>
      <c r="C181" s="22"/>
      <c r="D181" s="20"/>
      <c r="E181" s="22"/>
      <c r="F181" s="20"/>
      <c r="G181" s="25"/>
      <c r="H181" s="4"/>
    </row>
    <row r="182" spans="1:8">
      <c r="A182" s="34"/>
      <c r="B182" s="21"/>
      <c r="C182" s="22"/>
      <c r="D182" s="20"/>
      <c r="E182" s="22"/>
      <c r="F182" s="20"/>
      <c r="G182" s="25"/>
      <c r="H182" s="4"/>
    </row>
    <row r="183" spans="1:8">
      <c r="A183" s="34"/>
      <c r="B183" s="21"/>
      <c r="C183" s="22"/>
      <c r="D183" s="20"/>
      <c r="E183" s="22"/>
      <c r="F183" s="20"/>
      <c r="G183" s="25"/>
      <c r="H183" s="4"/>
    </row>
    <row r="184" spans="1:8">
      <c r="A184" s="34"/>
      <c r="B184" s="21"/>
      <c r="C184" s="22"/>
      <c r="D184" s="20"/>
      <c r="E184" s="22"/>
      <c r="F184" s="20"/>
      <c r="G184" s="25"/>
      <c r="H184" s="4"/>
    </row>
    <row r="185" spans="1:8">
      <c r="A185" s="34"/>
      <c r="B185" s="21"/>
      <c r="C185" s="22"/>
      <c r="D185" s="20"/>
      <c r="E185" s="22"/>
      <c r="F185" s="20"/>
      <c r="G185" s="25"/>
      <c r="H185" s="4"/>
    </row>
    <row r="186" spans="1:8">
      <c r="A186" s="34"/>
      <c r="B186" s="21"/>
      <c r="C186" s="22"/>
      <c r="D186" s="20"/>
      <c r="E186" s="22"/>
      <c r="F186" s="20"/>
      <c r="G186" s="25"/>
      <c r="H186" s="4"/>
    </row>
    <row r="187" spans="1:8">
      <c r="A187" s="34"/>
      <c r="B187" s="21"/>
      <c r="C187" s="22"/>
      <c r="D187" s="20"/>
      <c r="E187" s="22"/>
      <c r="F187" s="20"/>
      <c r="G187" s="25"/>
      <c r="H187" s="4"/>
    </row>
    <row r="188" spans="1:8">
      <c r="A188" s="34"/>
      <c r="B188" s="21"/>
      <c r="C188" s="22"/>
      <c r="D188" s="20"/>
      <c r="E188" s="22"/>
      <c r="F188" s="20"/>
      <c r="G188" s="25"/>
      <c r="H188" s="4"/>
    </row>
    <row r="189" spans="1:8">
      <c r="A189" s="34"/>
      <c r="B189" s="21"/>
      <c r="C189" s="22"/>
      <c r="D189" s="20"/>
      <c r="E189" s="22"/>
      <c r="F189" s="20"/>
      <c r="G189" s="25"/>
      <c r="H189" s="4"/>
    </row>
    <row r="190" spans="1:8">
      <c r="A190" s="34"/>
      <c r="B190" s="30"/>
      <c r="C190" s="31"/>
      <c r="D190" s="32"/>
      <c r="E190" s="31"/>
      <c r="F190" s="32"/>
      <c r="G190" s="25"/>
      <c r="H190" s="4"/>
    </row>
    <row r="191" spans="1:8">
      <c r="A191" s="1712">
        <v>4</v>
      </c>
      <c r="B191" s="1711" t="s">
        <v>7214</v>
      </c>
      <c r="C191" s="31">
        <v>44980</v>
      </c>
      <c r="D191" s="32" t="s">
        <v>7126</v>
      </c>
      <c r="E191" s="31">
        <v>44980</v>
      </c>
      <c r="F191" s="32" t="s">
        <v>7215</v>
      </c>
      <c r="G191" s="41" t="s">
        <v>7216</v>
      </c>
      <c r="H191" s="4" t="s">
        <v>7128</v>
      </c>
    </row>
    <row r="192" spans="1:8">
      <c r="A192" s="1712"/>
      <c r="B192" s="1711"/>
      <c r="C192" s="31">
        <v>45125</v>
      </c>
      <c r="D192" s="32" t="s">
        <v>7217</v>
      </c>
      <c r="E192" s="31">
        <v>45127</v>
      </c>
      <c r="F192" s="32" t="s">
        <v>7188</v>
      </c>
      <c r="G192" s="41" t="s">
        <v>7218</v>
      </c>
      <c r="H192" s="4" t="s">
        <v>7128</v>
      </c>
    </row>
    <row r="193" spans="1:8">
      <c r="A193" s="34"/>
      <c r="B193" s="30"/>
      <c r="C193" s="31">
        <v>45152</v>
      </c>
      <c r="D193" s="32" t="s">
        <v>7217</v>
      </c>
      <c r="E193" s="31">
        <v>45153</v>
      </c>
      <c r="F193" s="32" t="s">
        <v>7138</v>
      </c>
      <c r="G193" s="41" t="s">
        <v>7219</v>
      </c>
      <c r="H193" s="4" t="s">
        <v>7220</v>
      </c>
    </row>
    <row r="194" spans="1:8">
      <c r="A194" s="34"/>
      <c r="B194" s="30"/>
      <c r="C194" s="31">
        <v>45261</v>
      </c>
      <c r="D194" s="32" t="s">
        <v>7132</v>
      </c>
      <c r="E194" s="31">
        <v>45261</v>
      </c>
      <c r="F194" s="42">
        <v>0.625</v>
      </c>
      <c r="G194" s="41" t="s">
        <v>7221</v>
      </c>
      <c r="H194" s="4" t="s">
        <v>7220</v>
      </c>
    </row>
    <row r="195" spans="1:8">
      <c r="A195" s="34"/>
      <c r="B195" s="30"/>
      <c r="C195" s="31">
        <v>45295</v>
      </c>
      <c r="D195" s="43" t="s">
        <v>7222</v>
      </c>
      <c r="E195" s="31">
        <v>45295</v>
      </c>
      <c r="F195" s="43" t="s">
        <v>7223</v>
      </c>
      <c r="G195" s="41" t="s">
        <v>7224</v>
      </c>
      <c r="H195" s="4" t="s">
        <v>7225</v>
      </c>
    </row>
    <row r="196" spans="1:8">
      <c r="A196" s="34"/>
      <c r="B196" s="30"/>
      <c r="C196" s="31">
        <v>45301</v>
      </c>
      <c r="D196" s="32" t="s">
        <v>7226</v>
      </c>
      <c r="E196" s="31">
        <v>45301</v>
      </c>
      <c r="F196" s="32" t="s">
        <v>7125</v>
      </c>
      <c r="G196" s="41" t="s">
        <v>7227</v>
      </c>
      <c r="H196" s="4" t="s">
        <v>7225</v>
      </c>
    </row>
    <row r="197" spans="1:8">
      <c r="A197" s="34"/>
      <c r="B197" s="30"/>
      <c r="C197" s="31"/>
      <c r="D197" s="43"/>
      <c r="E197" s="31"/>
      <c r="F197" s="43"/>
      <c r="G197" s="41"/>
      <c r="H197" s="4"/>
    </row>
    <row r="198" spans="1:8">
      <c r="A198" s="34"/>
      <c r="B198" s="30"/>
      <c r="C198" s="31"/>
      <c r="D198" s="32"/>
      <c r="E198" s="31"/>
      <c r="F198" s="32"/>
      <c r="G198" s="41"/>
      <c r="H198" s="4"/>
    </row>
    <row r="199" spans="1:8">
      <c r="A199" s="34"/>
      <c r="B199" s="30"/>
      <c r="C199" s="31"/>
      <c r="D199" s="32"/>
      <c r="E199" s="31"/>
      <c r="F199" s="32"/>
      <c r="G199" s="29"/>
      <c r="H199" s="4"/>
    </row>
    <row r="200" spans="1:8">
      <c r="A200" s="34"/>
      <c r="B200" s="30"/>
      <c r="C200" s="31"/>
      <c r="D200" s="32"/>
      <c r="E200" s="31"/>
      <c r="F200" s="32"/>
      <c r="G200" s="41"/>
      <c r="H200" s="4"/>
    </row>
    <row r="201" spans="1:8">
      <c r="A201" s="28"/>
      <c r="B201" s="30"/>
      <c r="C201" s="31"/>
      <c r="D201" s="32"/>
      <c r="E201" s="31"/>
      <c r="F201" s="32"/>
      <c r="G201" s="29"/>
      <c r="H201" s="4"/>
    </row>
    <row r="202" spans="1:8">
      <c r="A202" s="28"/>
      <c r="B202" s="30"/>
      <c r="C202" s="31"/>
      <c r="D202" s="32"/>
      <c r="E202" s="31"/>
      <c r="F202" s="32"/>
      <c r="G202" s="41"/>
      <c r="H202" s="4"/>
    </row>
    <row r="203" spans="1:8">
      <c r="A203" s="28"/>
      <c r="B203" s="30"/>
      <c r="C203" s="31"/>
      <c r="D203" s="32"/>
      <c r="E203" s="31"/>
      <c r="F203" s="32"/>
      <c r="G203" s="29"/>
      <c r="H203" s="4"/>
    </row>
    <row r="204" spans="1:8">
      <c r="A204" s="28"/>
      <c r="B204" s="30"/>
      <c r="C204" s="31"/>
      <c r="D204" s="32"/>
      <c r="E204" s="31"/>
      <c r="F204" s="32"/>
      <c r="G204" s="41"/>
      <c r="H204" s="4"/>
    </row>
    <row r="205" spans="1:8">
      <c r="A205" s="28"/>
      <c r="B205" s="30"/>
      <c r="C205" s="31"/>
      <c r="D205" s="43"/>
      <c r="E205" s="31"/>
      <c r="F205" s="43"/>
      <c r="G205" s="29"/>
      <c r="H205" s="4"/>
    </row>
    <row r="206" spans="1:8">
      <c r="A206" s="28"/>
      <c r="B206" s="30"/>
      <c r="C206" s="31"/>
      <c r="D206" s="32"/>
      <c r="E206" s="31"/>
      <c r="F206" s="32"/>
      <c r="G206" s="41"/>
      <c r="H206" s="4"/>
    </row>
    <row r="207" spans="1:8">
      <c r="A207" s="28"/>
      <c r="B207" s="30"/>
      <c r="C207" s="31"/>
      <c r="D207" s="43"/>
      <c r="E207" s="31"/>
      <c r="F207" s="43"/>
      <c r="G207" s="29"/>
      <c r="H207" s="4"/>
    </row>
    <row r="208" spans="1:8">
      <c r="A208" s="28"/>
      <c r="B208" s="30"/>
      <c r="C208" s="31"/>
      <c r="D208" s="32"/>
      <c r="E208" s="31"/>
      <c r="F208" s="32"/>
      <c r="G208" s="41"/>
      <c r="H208" s="4"/>
    </row>
    <row r="209" spans="1:8">
      <c r="A209" s="28"/>
      <c r="B209" s="30"/>
      <c r="C209" s="31"/>
      <c r="D209" s="32"/>
      <c r="E209" s="31"/>
      <c r="F209" s="32"/>
      <c r="G209" s="29"/>
      <c r="H209" s="4"/>
    </row>
    <row r="210" spans="1:8">
      <c r="A210" s="28"/>
      <c r="B210" s="30"/>
      <c r="C210" s="31"/>
      <c r="D210" s="44"/>
      <c r="E210" s="31"/>
      <c r="F210" s="44"/>
      <c r="G210" s="41"/>
      <c r="H210" s="4"/>
    </row>
    <row r="211" spans="1:8">
      <c r="A211" s="28"/>
      <c r="B211" s="30"/>
      <c r="C211" s="31"/>
      <c r="D211" s="32"/>
      <c r="E211" s="31"/>
      <c r="F211" s="32"/>
      <c r="G211" s="29"/>
      <c r="H211" s="4"/>
    </row>
    <row r="212" spans="1:8">
      <c r="A212" s="28"/>
      <c r="B212" s="30"/>
      <c r="C212" s="31"/>
      <c r="D212" s="32"/>
      <c r="E212" s="31"/>
      <c r="F212" s="32"/>
      <c r="G212" s="29"/>
      <c r="H212" s="4"/>
    </row>
    <row r="213" spans="1:8">
      <c r="A213" s="28"/>
      <c r="B213" s="30"/>
      <c r="C213" s="31"/>
      <c r="D213" s="32"/>
      <c r="E213" s="31"/>
      <c r="F213" s="32"/>
      <c r="G213" s="45"/>
      <c r="H213" s="4"/>
    </row>
    <row r="214" spans="1:8">
      <c r="A214" s="28"/>
      <c r="B214" s="30"/>
      <c r="C214" s="31"/>
      <c r="D214" s="32"/>
      <c r="E214" s="31"/>
      <c r="F214" s="32"/>
      <c r="G214" s="41"/>
      <c r="H214" s="4"/>
    </row>
    <row r="215" spans="1:8">
      <c r="A215" s="28"/>
      <c r="B215" s="30"/>
      <c r="C215" s="31"/>
      <c r="D215" s="32"/>
      <c r="E215" s="31"/>
      <c r="F215" s="32"/>
      <c r="G215" s="41"/>
      <c r="H215" s="4"/>
    </row>
    <row r="216" spans="1:8">
      <c r="A216" s="28"/>
      <c r="B216" s="30"/>
      <c r="C216" s="31"/>
      <c r="D216" s="32"/>
      <c r="E216" s="31"/>
      <c r="F216" s="32"/>
      <c r="G216" s="41"/>
      <c r="H216" s="4"/>
    </row>
    <row r="217" spans="1:8">
      <c r="A217" s="28"/>
      <c r="B217" s="30"/>
      <c r="C217" s="31"/>
      <c r="D217" s="32"/>
      <c r="E217" s="31"/>
      <c r="F217" s="32"/>
      <c r="G217" s="41"/>
      <c r="H217" s="4"/>
    </row>
    <row r="218" spans="1:8">
      <c r="A218" s="28"/>
      <c r="B218" s="30"/>
      <c r="C218" s="31"/>
      <c r="D218" s="32"/>
      <c r="E218" s="31"/>
      <c r="F218" s="32"/>
      <c r="G218" s="41"/>
      <c r="H218" s="4"/>
    </row>
    <row r="219" spans="1:8">
      <c r="A219" s="28"/>
      <c r="B219" s="30"/>
      <c r="C219" s="31"/>
      <c r="D219" s="32"/>
      <c r="E219" s="31"/>
      <c r="F219" s="32"/>
      <c r="G219" s="29"/>
      <c r="H219" s="4"/>
    </row>
    <row r="220" spans="1:8">
      <c r="A220" s="28"/>
      <c r="B220" s="30"/>
      <c r="C220" s="31"/>
      <c r="D220" s="32"/>
      <c r="E220" s="31"/>
      <c r="F220" s="32"/>
      <c r="G220" s="41"/>
      <c r="H220" s="4"/>
    </row>
    <row r="221" spans="1:8">
      <c r="A221" s="28"/>
      <c r="B221" s="30"/>
      <c r="C221" s="31"/>
      <c r="D221" s="32"/>
      <c r="E221" s="31"/>
      <c r="F221" s="32"/>
      <c r="G221" s="29"/>
      <c r="H221" s="4"/>
    </row>
    <row r="222" spans="1:8">
      <c r="A222" s="28"/>
      <c r="B222" s="30"/>
      <c r="C222" s="31"/>
      <c r="D222" s="32"/>
      <c r="E222" s="31"/>
      <c r="F222" s="32"/>
      <c r="G222" s="41"/>
      <c r="H222" s="4"/>
    </row>
    <row r="223" spans="1:8">
      <c r="A223" s="28"/>
      <c r="B223" s="30"/>
      <c r="C223" s="31"/>
      <c r="D223" s="32"/>
      <c r="E223" s="31"/>
      <c r="F223" s="32"/>
      <c r="G223" s="41"/>
      <c r="H223" s="4"/>
    </row>
    <row r="224" spans="1:8">
      <c r="A224" s="28"/>
      <c r="B224" s="30"/>
      <c r="C224" s="31"/>
      <c r="D224" s="32"/>
      <c r="E224" s="31"/>
      <c r="F224" s="32"/>
      <c r="G224" s="41"/>
      <c r="H224" s="4"/>
    </row>
    <row r="225" spans="1:8">
      <c r="A225" s="28"/>
      <c r="B225" s="30"/>
      <c r="C225" s="31"/>
      <c r="D225" s="32"/>
      <c r="E225" s="31"/>
      <c r="F225" s="32"/>
      <c r="G225" s="41"/>
      <c r="H225" s="4"/>
    </row>
    <row r="226" spans="1:8">
      <c r="A226" s="28"/>
      <c r="B226" s="30"/>
      <c r="C226" s="31"/>
      <c r="D226" s="32"/>
      <c r="E226" s="31"/>
      <c r="F226" s="32"/>
      <c r="G226" s="41"/>
      <c r="H226" s="4"/>
    </row>
    <row r="227" spans="1:8">
      <c r="A227" s="28"/>
      <c r="B227" s="30"/>
      <c r="C227" s="31"/>
      <c r="D227" s="32"/>
      <c r="E227" s="31"/>
      <c r="F227" s="32"/>
      <c r="G227" s="41"/>
      <c r="H227" s="4"/>
    </row>
    <row r="228" spans="1:8">
      <c r="A228" s="28"/>
      <c r="B228" s="30"/>
      <c r="C228" s="31"/>
      <c r="D228" s="32"/>
      <c r="E228" s="31"/>
      <c r="F228" s="32"/>
      <c r="G228" s="41"/>
      <c r="H228" s="4"/>
    </row>
    <row r="229" spans="1:8">
      <c r="A229" s="28"/>
      <c r="B229" s="30"/>
      <c r="C229" s="22"/>
      <c r="D229" s="20"/>
      <c r="E229" s="22"/>
      <c r="F229" s="20"/>
      <c r="G229" s="29"/>
      <c r="H229" s="4"/>
    </row>
    <row r="230" spans="1:8">
      <c r="A230" s="28"/>
      <c r="B230" s="30"/>
      <c r="C230" s="31"/>
      <c r="D230" s="32"/>
      <c r="E230" s="31"/>
      <c r="F230" s="32"/>
      <c r="G230" s="41"/>
      <c r="H230" s="4"/>
    </row>
    <row r="231" spans="1:8">
      <c r="A231" s="28"/>
      <c r="B231" s="30"/>
      <c r="C231" s="31"/>
      <c r="D231" s="32"/>
      <c r="E231" s="31"/>
      <c r="F231" s="32"/>
      <c r="G231" s="29"/>
      <c r="H231" s="4"/>
    </row>
    <row r="232" spans="1:8">
      <c r="A232" s="28"/>
      <c r="B232" s="30"/>
      <c r="C232" s="31"/>
      <c r="D232" s="32"/>
      <c r="E232" s="31"/>
      <c r="F232" s="32"/>
      <c r="G232" s="41"/>
      <c r="H232" s="4"/>
    </row>
    <row r="233" spans="1:8">
      <c r="A233" s="28"/>
      <c r="B233" s="30"/>
      <c r="C233" s="31"/>
      <c r="D233" s="32"/>
      <c r="E233" s="31"/>
      <c r="F233" s="32"/>
      <c r="G233" s="45"/>
      <c r="H233" s="4"/>
    </row>
    <row r="234" spans="1:8">
      <c r="A234" s="28"/>
      <c r="B234" s="30"/>
      <c r="C234" s="31"/>
      <c r="D234" s="32"/>
      <c r="E234" s="31"/>
      <c r="F234" s="32"/>
      <c r="G234" s="41"/>
      <c r="H234" s="4"/>
    </row>
    <row r="235" spans="1:8">
      <c r="A235" s="28"/>
      <c r="B235" s="30"/>
      <c r="C235" s="31"/>
      <c r="D235" s="32"/>
      <c r="E235" s="31"/>
      <c r="F235" s="32"/>
      <c r="G235" s="45"/>
      <c r="H235" s="4"/>
    </row>
    <row r="236" spans="1:8">
      <c r="A236" s="28"/>
      <c r="B236" s="30"/>
      <c r="C236" s="31"/>
      <c r="D236" s="32"/>
      <c r="E236" s="31"/>
      <c r="F236" s="32"/>
      <c r="G236" s="41"/>
      <c r="H236" s="4"/>
    </row>
    <row r="237" spans="1:8">
      <c r="A237" s="28"/>
      <c r="B237" s="30"/>
      <c r="C237" s="31"/>
      <c r="D237" s="32"/>
      <c r="E237" s="31"/>
      <c r="F237" s="32"/>
      <c r="G237" s="29"/>
      <c r="H237" s="4"/>
    </row>
    <row r="238" spans="1:8">
      <c r="A238" s="28"/>
      <c r="B238" s="30"/>
      <c r="C238" s="31"/>
      <c r="D238" s="32"/>
      <c r="E238" s="31"/>
      <c r="F238" s="32"/>
      <c r="G238" s="45"/>
      <c r="H238" s="4"/>
    </row>
    <row r="239" spans="1:8">
      <c r="A239" s="28"/>
      <c r="B239" s="30"/>
      <c r="C239" s="31"/>
      <c r="D239" s="32"/>
      <c r="E239" s="31"/>
      <c r="F239" s="32"/>
      <c r="G239" s="45"/>
      <c r="H239" s="4"/>
    </row>
    <row r="240" spans="1:8">
      <c r="A240" s="28"/>
      <c r="B240" s="30"/>
      <c r="C240" s="31"/>
      <c r="D240" s="32"/>
      <c r="E240" s="31"/>
      <c r="F240" s="32"/>
      <c r="G240" s="29"/>
      <c r="H240" s="4"/>
    </row>
    <row r="241" spans="1:8">
      <c r="A241" s="28"/>
      <c r="B241" s="30"/>
      <c r="C241" s="31"/>
      <c r="D241" s="32"/>
      <c r="E241" s="31"/>
      <c r="F241" s="32"/>
      <c r="G241" s="45"/>
      <c r="H241" s="4"/>
    </row>
    <row r="242" spans="1:8">
      <c r="A242" s="28"/>
      <c r="B242" s="30"/>
      <c r="C242" s="31"/>
      <c r="D242" s="32"/>
      <c r="E242" s="31"/>
      <c r="F242" s="32"/>
      <c r="G242" s="29"/>
      <c r="H242" s="4"/>
    </row>
    <row r="243" spans="1:8">
      <c r="A243" s="28"/>
      <c r="B243" s="30"/>
      <c r="C243" s="31"/>
      <c r="D243" s="32"/>
      <c r="E243" s="31"/>
      <c r="F243" s="32"/>
      <c r="G243" s="45"/>
      <c r="H243" s="4"/>
    </row>
    <row r="244" spans="1:8">
      <c r="A244" s="28"/>
      <c r="B244" s="30"/>
      <c r="C244" s="31"/>
      <c r="D244" s="32"/>
      <c r="E244" s="31"/>
      <c r="F244" s="32"/>
      <c r="G244" s="29"/>
      <c r="H244" s="4"/>
    </row>
    <row r="245" spans="1:8">
      <c r="A245" s="28"/>
      <c r="B245" s="30"/>
      <c r="C245" s="31"/>
      <c r="D245" s="32"/>
      <c r="E245" s="31"/>
      <c r="F245" s="32"/>
      <c r="G245" s="41"/>
      <c r="H245" s="4"/>
    </row>
    <row r="246" spans="1:8">
      <c r="A246" s="28"/>
      <c r="B246" s="30"/>
      <c r="C246" s="31"/>
      <c r="D246" s="32"/>
      <c r="E246" s="31"/>
      <c r="F246" s="32"/>
      <c r="G246" s="45"/>
      <c r="H246" s="4"/>
    </row>
    <row r="247" spans="1:8">
      <c r="A247" s="28"/>
      <c r="B247" s="30"/>
      <c r="C247" s="31"/>
      <c r="D247" s="32"/>
      <c r="E247" s="31"/>
      <c r="F247" s="32"/>
      <c r="G247" s="45"/>
      <c r="H247" s="4"/>
    </row>
    <row r="248" spans="1:8">
      <c r="A248" s="28"/>
      <c r="B248" s="30"/>
      <c r="C248" s="31"/>
      <c r="D248" s="32"/>
      <c r="E248" s="31"/>
      <c r="F248" s="32"/>
      <c r="G248" s="45"/>
      <c r="H248" s="4"/>
    </row>
    <row r="249" spans="1:8">
      <c r="A249" s="28"/>
      <c r="B249" s="30"/>
      <c r="C249" s="31"/>
      <c r="D249" s="32"/>
      <c r="E249" s="31"/>
      <c r="F249" s="32"/>
      <c r="G249" s="40"/>
      <c r="H249" s="4"/>
    </row>
    <row r="250" spans="1:8">
      <c r="A250" s="28"/>
      <c r="B250" s="30"/>
      <c r="C250" s="31"/>
      <c r="D250" s="32"/>
      <c r="E250" s="31"/>
      <c r="F250" s="32"/>
      <c r="G250" s="45"/>
      <c r="H250" s="4"/>
    </row>
    <row r="251" spans="1:8">
      <c r="A251" s="28"/>
      <c r="B251" s="30"/>
      <c r="C251" s="31"/>
      <c r="D251" s="32"/>
      <c r="E251" s="31"/>
      <c r="F251" s="32"/>
      <c r="G251" s="45"/>
      <c r="H251" s="4"/>
    </row>
    <row r="252" spans="1:8">
      <c r="A252" s="28"/>
      <c r="B252" s="30"/>
      <c r="C252" s="31"/>
      <c r="D252" s="32"/>
      <c r="E252" s="31"/>
      <c r="F252" s="32"/>
      <c r="G252" s="45"/>
      <c r="H252" s="4"/>
    </row>
    <row r="253" spans="1:8">
      <c r="A253" s="28"/>
      <c r="B253" s="30"/>
      <c r="C253" s="31"/>
      <c r="D253" s="32"/>
      <c r="E253" s="31"/>
      <c r="F253" s="32"/>
      <c r="G253" s="45"/>
      <c r="H253" s="4"/>
    </row>
    <row r="254" spans="1:8">
      <c r="A254" s="28"/>
      <c r="B254" s="30"/>
      <c r="C254" s="31"/>
      <c r="D254" s="32"/>
      <c r="E254" s="31"/>
      <c r="F254" s="32"/>
      <c r="G254" s="45"/>
      <c r="H254" s="4"/>
    </row>
    <row r="255" spans="1:8">
      <c r="A255" s="28"/>
      <c r="B255" s="30"/>
      <c r="C255" s="31"/>
      <c r="D255" s="32"/>
      <c r="E255" s="31"/>
      <c r="F255" s="32"/>
      <c r="G255" s="41"/>
      <c r="H255" s="4"/>
    </row>
    <row r="256" spans="1:8">
      <c r="A256" s="28"/>
      <c r="B256" s="30"/>
      <c r="C256" s="31"/>
      <c r="D256" s="32"/>
      <c r="E256" s="31"/>
      <c r="F256" s="32"/>
      <c r="G256" s="45"/>
      <c r="H256" s="4"/>
    </row>
    <row r="257" spans="1:8">
      <c r="A257" s="28"/>
      <c r="B257" s="30"/>
      <c r="C257" s="31"/>
      <c r="D257" s="32"/>
      <c r="E257" s="31"/>
      <c r="F257" s="32"/>
      <c r="G257" s="45"/>
      <c r="H257" s="4"/>
    </row>
    <row r="258" spans="1:8">
      <c r="A258" s="28"/>
      <c r="B258" s="30"/>
      <c r="C258" s="31"/>
      <c r="D258" s="32"/>
      <c r="E258" s="31"/>
      <c r="F258" s="32"/>
      <c r="G258" s="45"/>
      <c r="H258" s="4"/>
    </row>
    <row r="259" spans="1:8">
      <c r="A259" s="28"/>
      <c r="B259" s="30"/>
      <c r="C259" s="31"/>
      <c r="D259" s="32"/>
      <c r="E259" s="31"/>
      <c r="F259" s="32"/>
      <c r="G259" s="45"/>
      <c r="H259" s="4"/>
    </row>
    <row r="260" spans="1:8">
      <c r="A260" s="28"/>
      <c r="B260" s="30"/>
      <c r="C260" s="31"/>
      <c r="D260" s="32"/>
      <c r="E260" s="31"/>
      <c r="F260" s="32"/>
      <c r="G260" s="45"/>
      <c r="H260" s="4"/>
    </row>
    <row r="261" spans="1:8">
      <c r="A261" s="28"/>
      <c r="B261" s="30"/>
      <c r="C261" s="31"/>
      <c r="D261" s="32"/>
      <c r="E261" s="31"/>
      <c r="F261" s="32"/>
      <c r="G261" s="45"/>
      <c r="H261" s="4"/>
    </row>
    <row r="262" spans="1:8">
      <c r="A262" s="28"/>
      <c r="B262" s="30"/>
      <c r="C262" s="31"/>
      <c r="D262" s="32"/>
      <c r="E262" s="31"/>
      <c r="F262" s="32"/>
      <c r="G262" s="41"/>
      <c r="H262" s="4"/>
    </row>
    <row r="263" spans="1:8">
      <c r="A263" s="28"/>
      <c r="B263" s="21"/>
      <c r="C263" s="22"/>
      <c r="D263" s="20"/>
      <c r="E263" s="22"/>
      <c r="F263" s="20"/>
      <c r="G263" s="25"/>
      <c r="H263" s="4"/>
    </row>
    <row r="264" spans="1:8">
      <c r="A264" s="28"/>
      <c r="B264" s="21"/>
      <c r="C264" s="22"/>
      <c r="D264" s="20"/>
      <c r="E264" s="22"/>
      <c r="F264" s="20"/>
      <c r="G264" s="41"/>
      <c r="H264" s="4"/>
    </row>
    <row r="265" spans="1:8">
      <c r="A265" s="28"/>
      <c r="B265" s="21"/>
      <c r="C265" s="22"/>
      <c r="D265" s="20"/>
      <c r="E265" s="22"/>
      <c r="F265" s="20"/>
      <c r="G265" s="41"/>
      <c r="H265" s="4"/>
    </row>
    <row r="266" spans="1:8">
      <c r="A266" s="28"/>
      <c r="B266" s="21"/>
      <c r="C266" s="22"/>
      <c r="D266" s="20"/>
      <c r="E266" s="22"/>
      <c r="F266" s="20"/>
      <c r="G266" s="41"/>
      <c r="H266" s="4"/>
    </row>
    <row r="267" spans="1:8">
      <c r="A267" s="28"/>
      <c r="B267" s="21"/>
      <c r="C267" s="22"/>
      <c r="D267" s="20"/>
      <c r="E267" s="22"/>
      <c r="F267" s="20"/>
      <c r="G267" s="41"/>
      <c r="H267" s="4"/>
    </row>
    <row r="268" spans="1:8">
      <c r="A268" s="28"/>
      <c r="B268" s="21"/>
      <c r="C268" s="22"/>
      <c r="D268" s="23"/>
      <c r="E268" s="22"/>
      <c r="F268" s="23"/>
      <c r="G268" s="41"/>
      <c r="H268" s="4"/>
    </row>
    <row r="269" spans="1:8">
      <c r="A269" s="28"/>
      <c r="B269" s="21"/>
      <c r="C269" s="22"/>
      <c r="D269" s="20"/>
      <c r="E269" s="22"/>
      <c r="F269" s="20"/>
      <c r="G269" s="40"/>
      <c r="H269" s="4"/>
    </row>
    <row r="270" spans="1:8">
      <c r="A270" s="28"/>
      <c r="B270" s="21"/>
      <c r="C270" s="22"/>
      <c r="D270" s="20"/>
      <c r="E270" s="22"/>
      <c r="F270" s="20"/>
      <c r="G270" s="41"/>
      <c r="H270" s="4"/>
    </row>
    <row r="271" spans="1:8">
      <c r="A271" s="28"/>
      <c r="B271" s="21"/>
      <c r="C271" s="22"/>
      <c r="D271" s="20"/>
      <c r="E271" s="22"/>
      <c r="F271" s="20"/>
      <c r="G271" s="41"/>
      <c r="H271" s="4"/>
    </row>
    <row r="272" spans="1:8">
      <c r="A272" s="28"/>
      <c r="B272" s="21"/>
      <c r="C272" s="22"/>
      <c r="D272" s="20"/>
      <c r="E272" s="22"/>
      <c r="F272" s="20"/>
      <c r="G272" s="41"/>
      <c r="H272" s="4"/>
    </row>
    <row r="273" spans="1:8">
      <c r="A273" s="28"/>
      <c r="B273" s="21"/>
      <c r="C273" s="22"/>
      <c r="D273" s="20"/>
      <c r="E273" s="22"/>
      <c r="F273" s="20"/>
      <c r="G273" s="41"/>
      <c r="H273" s="4"/>
    </row>
    <row r="274" spans="1:8">
      <c r="A274" s="28"/>
      <c r="B274" s="21"/>
      <c r="C274" s="22"/>
      <c r="D274" s="20"/>
      <c r="E274" s="22"/>
      <c r="F274" s="20"/>
      <c r="G274" s="41"/>
      <c r="H274" s="4"/>
    </row>
    <row r="275" spans="1:8">
      <c r="A275" s="28"/>
      <c r="B275" s="21"/>
      <c r="C275" s="22"/>
      <c r="D275" s="20"/>
      <c r="E275" s="22"/>
      <c r="F275" s="20"/>
      <c r="G275" s="41"/>
      <c r="H275" s="4"/>
    </row>
    <row r="276" spans="1:8">
      <c r="A276" s="28"/>
      <c r="B276" s="21"/>
      <c r="C276" s="22"/>
      <c r="D276" s="20"/>
      <c r="E276" s="22"/>
      <c r="F276" s="20"/>
      <c r="G276" s="40"/>
      <c r="H276" s="4"/>
    </row>
    <row r="277" spans="1:8">
      <c r="A277" s="28"/>
      <c r="B277" s="21"/>
      <c r="C277" s="22"/>
      <c r="D277" s="20"/>
      <c r="E277" s="22"/>
      <c r="F277" s="20"/>
      <c r="G277" s="41"/>
      <c r="H277" s="4"/>
    </row>
    <row r="278" spans="1:8">
      <c r="A278" s="28"/>
      <c r="B278" s="21"/>
      <c r="C278" s="22"/>
      <c r="D278" s="20"/>
      <c r="E278" s="22"/>
      <c r="F278" s="20"/>
      <c r="G278" s="41"/>
      <c r="H278" s="4"/>
    </row>
    <row r="279" spans="1:8">
      <c r="A279" s="28"/>
      <c r="B279" s="21"/>
      <c r="C279" s="22"/>
      <c r="D279" s="20"/>
      <c r="E279" s="22"/>
      <c r="F279" s="20"/>
      <c r="G279" s="40"/>
      <c r="H279" s="4"/>
    </row>
    <row r="280" spans="1:8">
      <c r="A280" s="28"/>
      <c r="B280" s="21"/>
      <c r="C280" s="22"/>
      <c r="D280" s="20"/>
      <c r="E280" s="22"/>
      <c r="F280" s="20"/>
      <c r="G280" s="41"/>
      <c r="H280" s="4"/>
    </row>
    <row r="281" spans="1:8">
      <c r="A281" s="28"/>
      <c r="B281" s="21"/>
      <c r="C281" s="22"/>
      <c r="D281" s="20"/>
      <c r="E281" s="22"/>
      <c r="F281" s="20"/>
      <c r="G281" s="41"/>
      <c r="H281" s="4"/>
    </row>
    <row r="282" spans="1:8">
      <c r="A282" s="28"/>
      <c r="B282" s="21"/>
      <c r="C282" s="22"/>
      <c r="D282" s="20"/>
      <c r="E282" s="22"/>
      <c r="F282" s="20"/>
      <c r="G282" s="41"/>
      <c r="H282" s="4"/>
    </row>
    <row r="283" spans="1:8">
      <c r="A283" s="28"/>
      <c r="B283" s="21"/>
      <c r="C283" s="22"/>
      <c r="D283" s="20"/>
      <c r="E283" s="22"/>
      <c r="F283" s="20"/>
      <c r="G283" s="41"/>
      <c r="H283" s="4"/>
    </row>
    <row r="284" spans="1:8">
      <c r="A284" s="28"/>
      <c r="B284" s="21"/>
      <c r="C284" s="22"/>
      <c r="D284" s="20"/>
      <c r="E284" s="22"/>
      <c r="F284" s="20"/>
      <c r="G284" s="41"/>
      <c r="H284" s="4"/>
    </row>
    <row r="285" spans="1:8">
      <c r="A285" s="28"/>
      <c r="B285" s="21"/>
      <c r="C285" s="22"/>
      <c r="D285" s="20"/>
      <c r="E285" s="22"/>
      <c r="F285" s="20"/>
      <c r="G285" s="41"/>
      <c r="H285" s="4"/>
    </row>
    <row r="286" spans="1:8">
      <c r="A286" s="28"/>
      <c r="B286" s="21"/>
      <c r="C286" s="22"/>
      <c r="D286" s="20"/>
      <c r="E286" s="22"/>
      <c r="F286" s="20"/>
      <c r="G286" s="41"/>
      <c r="H286" s="4"/>
    </row>
    <row r="287" spans="1:8">
      <c r="A287" s="28"/>
      <c r="B287" s="21"/>
      <c r="C287" s="22"/>
      <c r="D287" s="20"/>
      <c r="E287" s="22"/>
      <c r="F287" s="20"/>
      <c r="G287" s="41"/>
      <c r="H287" s="4"/>
    </row>
    <row r="288" spans="1:8">
      <c r="A288" s="28"/>
      <c r="B288" s="21"/>
      <c r="C288" s="22"/>
      <c r="D288" s="20"/>
      <c r="E288" s="22"/>
      <c r="F288" s="20"/>
      <c r="G288" s="41"/>
      <c r="H288" s="4"/>
    </row>
    <row r="289" spans="1:8">
      <c r="A289" s="28"/>
      <c r="B289" s="21"/>
      <c r="C289" s="22"/>
      <c r="D289" s="20"/>
      <c r="E289" s="22"/>
      <c r="F289" s="20"/>
      <c r="G289" s="41"/>
      <c r="H289" s="4"/>
    </row>
    <row r="290" spans="1:8">
      <c r="A290" s="28"/>
      <c r="B290" s="21"/>
      <c r="C290" s="22"/>
      <c r="D290" s="20"/>
      <c r="E290" s="22"/>
      <c r="F290" s="20"/>
      <c r="G290" s="41"/>
      <c r="H290" s="4"/>
    </row>
    <row r="291" spans="1:8">
      <c r="A291" s="28"/>
      <c r="B291" s="21"/>
      <c r="C291" s="22"/>
      <c r="D291" s="20"/>
      <c r="E291" s="22"/>
      <c r="F291" s="20"/>
      <c r="G291" s="41"/>
      <c r="H291" s="4"/>
    </row>
    <row r="292" spans="1:8">
      <c r="A292" s="28"/>
      <c r="B292" s="21"/>
      <c r="C292" s="22"/>
      <c r="D292" s="20"/>
      <c r="E292" s="22"/>
      <c r="F292" s="20"/>
      <c r="G292" s="41"/>
      <c r="H292" s="4"/>
    </row>
    <row r="293" spans="1:8">
      <c r="A293" s="28"/>
      <c r="B293" s="21"/>
      <c r="C293" s="22"/>
      <c r="D293" s="20"/>
      <c r="E293" s="22"/>
      <c r="F293" s="20"/>
      <c r="G293" s="41"/>
      <c r="H293" s="4"/>
    </row>
    <row r="294" spans="1:8">
      <c r="A294" s="28"/>
      <c r="B294" s="21"/>
      <c r="C294" s="22"/>
      <c r="D294" s="20"/>
      <c r="E294" s="22"/>
      <c r="F294" s="20"/>
      <c r="G294" s="41"/>
      <c r="H294" s="4"/>
    </row>
    <row r="295" spans="1:8">
      <c r="A295" s="28"/>
      <c r="B295" s="21"/>
      <c r="C295" s="22"/>
      <c r="D295" s="20"/>
      <c r="E295" s="22"/>
      <c r="F295" s="20"/>
      <c r="G295" s="41"/>
      <c r="H295" s="4"/>
    </row>
    <row r="296" spans="1:8">
      <c r="A296" s="28"/>
      <c r="B296" s="21"/>
      <c r="C296" s="22"/>
      <c r="D296" s="20"/>
      <c r="E296" s="22"/>
      <c r="F296" s="20"/>
      <c r="G296" s="41"/>
      <c r="H296" s="4"/>
    </row>
    <row r="297" spans="1:8">
      <c r="A297" s="28"/>
      <c r="B297" s="21"/>
      <c r="C297" s="22"/>
      <c r="D297" s="20"/>
      <c r="E297" s="22"/>
      <c r="F297" s="20"/>
      <c r="G297" s="41"/>
      <c r="H297" s="4"/>
    </row>
    <row r="298" spans="1:8">
      <c r="A298" s="28"/>
      <c r="B298" s="21"/>
      <c r="C298" s="22"/>
      <c r="D298" s="20"/>
      <c r="E298" s="22"/>
      <c r="F298" s="20"/>
      <c r="G298" s="41"/>
      <c r="H298" s="4"/>
    </row>
    <row r="299" spans="1:8">
      <c r="A299" s="28"/>
      <c r="B299" s="21"/>
      <c r="C299" s="22"/>
      <c r="D299" s="20"/>
      <c r="E299" s="22"/>
      <c r="F299" s="20"/>
      <c r="G299" s="41"/>
      <c r="H299" s="4"/>
    </row>
    <row r="300" spans="1:8">
      <c r="A300" s="28"/>
      <c r="B300" s="21"/>
      <c r="C300" s="22"/>
      <c r="D300" s="20"/>
      <c r="E300" s="22"/>
      <c r="F300" s="20"/>
      <c r="G300" s="41"/>
      <c r="H300" s="4"/>
    </row>
    <row r="301" spans="1:8">
      <c r="A301" s="28"/>
      <c r="B301" s="21"/>
      <c r="C301" s="22"/>
      <c r="D301" s="20"/>
      <c r="E301" s="22"/>
      <c r="F301" s="20"/>
      <c r="G301" s="41"/>
      <c r="H301" s="4"/>
    </row>
    <row r="302" spans="1:8">
      <c r="A302" s="28"/>
      <c r="B302" s="21"/>
      <c r="C302" s="22"/>
      <c r="D302" s="20"/>
      <c r="E302" s="22"/>
      <c r="F302" s="20"/>
      <c r="G302" s="41"/>
      <c r="H302" s="4"/>
    </row>
    <row r="303" spans="1:8">
      <c r="A303" s="28"/>
      <c r="B303" s="21"/>
      <c r="C303" s="22"/>
      <c r="D303" s="20"/>
      <c r="E303" s="22"/>
      <c r="F303" s="20"/>
      <c r="G303" s="41"/>
      <c r="H303" s="4"/>
    </row>
    <row r="304" spans="1:8">
      <c r="A304" s="28"/>
      <c r="B304" s="21"/>
      <c r="C304" s="22"/>
      <c r="D304" s="20"/>
      <c r="E304" s="22"/>
      <c r="F304" s="20"/>
      <c r="G304" s="41"/>
      <c r="H304" s="4"/>
    </row>
    <row r="305" spans="1:8">
      <c r="A305" s="28"/>
      <c r="B305" s="21"/>
      <c r="C305" s="22"/>
      <c r="D305" s="20"/>
      <c r="E305" s="22"/>
      <c r="F305" s="20"/>
      <c r="G305" s="41"/>
      <c r="H305" s="4"/>
    </row>
    <row r="306" spans="1:8">
      <c r="A306" s="28"/>
      <c r="B306" s="21"/>
      <c r="C306" s="22"/>
      <c r="D306" s="20"/>
      <c r="E306" s="22"/>
      <c r="F306" s="20"/>
      <c r="G306" s="41"/>
      <c r="H306" s="4"/>
    </row>
    <row r="307" spans="1:8">
      <c r="A307" s="28"/>
      <c r="B307" s="21"/>
      <c r="C307" s="22"/>
      <c r="D307" s="20"/>
      <c r="E307" s="22"/>
      <c r="F307" s="20"/>
      <c r="G307" s="41"/>
      <c r="H307" s="4"/>
    </row>
    <row r="308" spans="1:8">
      <c r="A308" s="28"/>
      <c r="B308" s="21"/>
      <c r="C308" s="22"/>
      <c r="D308" s="20"/>
      <c r="E308" s="22"/>
      <c r="F308" s="20"/>
      <c r="G308" s="41"/>
      <c r="H308" s="4"/>
    </row>
    <row r="309" spans="1:8">
      <c r="A309" s="28"/>
      <c r="B309" s="21"/>
      <c r="C309" s="22"/>
      <c r="D309" s="20"/>
      <c r="E309" s="22"/>
      <c r="F309" s="20"/>
      <c r="G309" s="41"/>
      <c r="H309" s="4"/>
    </row>
    <row r="310" spans="1:8">
      <c r="A310" s="28"/>
      <c r="B310" s="21"/>
      <c r="C310" s="22"/>
      <c r="D310" s="20"/>
      <c r="E310" s="22"/>
      <c r="F310" s="20"/>
      <c r="G310" s="41"/>
      <c r="H310" s="4"/>
    </row>
    <row r="311" spans="1:8">
      <c r="A311" s="28"/>
      <c r="B311" s="21"/>
      <c r="C311" s="22"/>
      <c r="D311" s="20"/>
      <c r="E311" s="22"/>
      <c r="F311" s="20"/>
      <c r="G311" s="41"/>
      <c r="H311" s="4"/>
    </row>
    <row r="312" spans="1:8">
      <c r="A312" s="28"/>
      <c r="B312" s="21"/>
      <c r="C312" s="22"/>
      <c r="D312" s="20"/>
      <c r="E312" s="22"/>
      <c r="F312" s="20"/>
      <c r="G312" s="41"/>
      <c r="H312" s="4"/>
    </row>
    <row r="313" spans="1:8">
      <c r="A313" s="28"/>
      <c r="B313" s="21"/>
      <c r="C313" s="22"/>
      <c r="D313" s="20"/>
      <c r="E313" s="22"/>
      <c r="F313" s="20"/>
      <c r="G313" s="41"/>
      <c r="H313" s="4"/>
    </row>
    <row r="314" spans="1:8">
      <c r="A314" s="28"/>
      <c r="B314" s="21"/>
      <c r="C314" s="22"/>
      <c r="D314" s="20"/>
      <c r="E314" s="22"/>
      <c r="F314" s="20"/>
      <c r="G314" s="41"/>
      <c r="H314" s="4"/>
    </row>
    <row r="315" spans="1:8">
      <c r="A315" s="28"/>
      <c r="B315" s="21"/>
      <c r="C315" s="22"/>
      <c r="D315" s="20"/>
      <c r="E315" s="22"/>
      <c r="F315" s="20"/>
      <c r="G315" s="41"/>
      <c r="H315" s="4"/>
    </row>
    <row r="316" spans="1:8">
      <c r="A316" s="28"/>
      <c r="B316" s="21"/>
      <c r="C316" s="22"/>
      <c r="D316" s="20"/>
      <c r="E316" s="22"/>
      <c r="F316" s="20"/>
      <c r="G316" s="41"/>
      <c r="H316" s="4"/>
    </row>
    <row r="317" spans="1:8">
      <c r="A317" s="28"/>
      <c r="B317" s="21"/>
      <c r="C317" s="22"/>
      <c r="D317" s="20"/>
      <c r="E317" s="22"/>
      <c r="F317" s="20"/>
      <c r="G317" s="41"/>
      <c r="H317" s="4"/>
    </row>
    <row r="318" spans="1:8">
      <c r="A318" s="28"/>
      <c r="B318" s="30"/>
      <c r="C318" s="31"/>
      <c r="D318" s="32"/>
      <c r="E318" s="31"/>
      <c r="F318" s="32"/>
      <c r="G318" s="41"/>
      <c r="H318" s="4"/>
    </row>
    <row r="319" spans="1:8">
      <c r="A319" s="1712">
        <v>5</v>
      </c>
      <c r="B319" s="1710" t="s">
        <v>7228</v>
      </c>
      <c r="C319" s="22">
        <v>44945</v>
      </c>
      <c r="D319" s="20" t="s">
        <v>7186</v>
      </c>
      <c r="E319" s="22"/>
      <c r="F319" s="20"/>
      <c r="G319" s="41" t="s">
        <v>7229</v>
      </c>
      <c r="H319" s="4"/>
    </row>
    <row r="320" spans="1:8">
      <c r="A320" s="1712"/>
      <c r="B320" s="1710"/>
      <c r="C320" s="22"/>
      <c r="D320" s="20"/>
      <c r="E320" s="22"/>
      <c r="F320" s="20"/>
      <c r="G320" s="25"/>
      <c r="H320" s="4"/>
    </row>
    <row r="321" spans="1:8">
      <c r="A321" s="28"/>
      <c r="B321" s="21"/>
      <c r="C321" s="22"/>
      <c r="D321" s="20"/>
      <c r="E321" s="22"/>
      <c r="F321" s="20"/>
      <c r="G321" s="41"/>
      <c r="H321" s="4"/>
    </row>
    <row r="322" spans="1:8">
      <c r="A322" s="28"/>
      <c r="B322" s="21"/>
      <c r="C322" s="22"/>
      <c r="D322" s="20"/>
      <c r="E322" s="22"/>
      <c r="F322" s="20"/>
      <c r="G322" s="25"/>
      <c r="H322" s="4"/>
    </row>
    <row r="323" spans="1:8">
      <c r="A323" s="28"/>
      <c r="B323" s="21"/>
      <c r="C323" s="22"/>
      <c r="D323" s="20"/>
      <c r="E323" s="22"/>
      <c r="F323" s="20"/>
      <c r="G323" s="41"/>
      <c r="H323" s="4"/>
    </row>
    <row r="324" spans="1:8">
      <c r="A324" s="28"/>
      <c r="B324" s="21"/>
      <c r="C324" s="22"/>
      <c r="D324" s="20"/>
      <c r="E324" s="22"/>
      <c r="F324" s="20"/>
      <c r="G324" s="25"/>
      <c r="H324" s="4"/>
    </row>
    <row r="325" spans="1:8">
      <c r="A325" s="28"/>
      <c r="B325" s="21"/>
      <c r="C325" s="22"/>
      <c r="D325" s="20"/>
      <c r="E325" s="22"/>
      <c r="F325" s="20"/>
      <c r="G325" s="25"/>
      <c r="H325" s="4"/>
    </row>
    <row r="326" spans="1:8">
      <c r="A326" s="28"/>
      <c r="B326" s="21"/>
      <c r="C326" s="22"/>
      <c r="D326" s="20"/>
      <c r="E326" s="22"/>
      <c r="F326" s="20"/>
      <c r="G326" s="41"/>
      <c r="H326" s="4"/>
    </row>
    <row r="327" spans="1:8">
      <c r="A327" s="28"/>
      <c r="B327" s="21"/>
      <c r="C327" s="22"/>
      <c r="D327" s="20"/>
      <c r="E327" s="22"/>
      <c r="F327" s="20"/>
      <c r="G327" s="46"/>
      <c r="H327" s="4"/>
    </row>
    <row r="328" spans="1:8">
      <c r="A328" s="28"/>
      <c r="B328" s="21"/>
      <c r="C328" s="22"/>
      <c r="D328" s="20"/>
      <c r="E328" s="22"/>
      <c r="F328" s="20"/>
      <c r="G328" s="25"/>
      <c r="H328" s="4"/>
    </row>
    <row r="329" spans="1:8">
      <c r="A329" s="28"/>
      <c r="B329" s="21"/>
      <c r="C329" s="22"/>
      <c r="D329" s="20"/>
      <c r="E329" s="22"/>
      <c r="F329" s="20"/>
      <c r="G329" s="46"/>
      <c r="H329" s="4"/>
    </row>
    <row r="330" spans="1:8">
      <c r="A330" s="28"/>
      <c r="B330" s="21"/>
      <c r="C330" s="22"/>
      <c r="D330" s="20"/>
      <c r="E330" s="22"/>
      <c r="F330" s="20"/>
      <c r="G330" s="25"/>
      <c r="H330" s="4"/>
    </row>
    <row r="331" spans="1:8">
      <c r="A331" s="28"/>
      <c r="B331" s="21"/>
      <c r="C331" s="22"/>
      <c r="D331" s="20"/>
      <c r="E331" s="22"/>
      <c r="F331" s="20"/>
      <c r="G331" s="47"/>
      <c r="H331" s="4"/>
    </row>
    <row r="332" spans="1:8">
      <c r="A332" s="28"/>
      <c r="B332" s="21"/>
      <c r="C332" s="22"/>
      <c r="D332" s="20"/>
      <c r="E332" s="22"/>
      <c r="F332" s="20"/>
      <c r="G332" s="25"/>
      <c r="H332" s="4"/>
    </row>
    <row r="333" spans="1:8">
      <c r="A333" s="28"/>
      <c r="B333" s="21"/>
      <c r="C333" s="22"/>
      <c r="D333" s="20"/>
      <c r="E333" s="22"/>
      <c r="F333" s="20"/>
      <c r="G333" s="47"/>
      <c r="H333" s="4"/>
    </row>
    <row r="334" spans="1:8">
      <c r="A334" s="28"/>
      <c r="B334" s="21"/>
      <c r="C334" s="22"/>
      <c r="D334" s="20"/>
      <c r="E334" s="22"/>
      <c r="F334" s="20"/>
      <c r="G334" s="25"/>
      <c r="H334" s="4"/>
    </row>
    <row r="335" spans="1:8">
      <c r="A335" s="28"/>
      <c r="B335" s="21"/>
      <c r="C335" s="22"/>
      <c r="D335" s="20"/>
      <c r="E335" s="22"/>
      <c r="F335" s="20"/>
      <c r="G335" s="46"/>
      <c r="H335" s="4"/>
    </row>
    <row r="336" spans="1:8">
      <c r="A336" s="28"/>
      <c r="B336" s="21"/>
      <c r="C336" s="22"/>
      <c r="D336" s="20"/>
      <c r="E336" s="22"/>
      <c r="F336" s="20"/>
      <c r="G336" s="25"/>
      <c r="H336" s="4"/>
    </row>
    <row r="337" spans="1:8">
      <c r="A337" s="28"/>
      <c r="B337" s="21"/>
      <c r="C337" s="22"/>
      <c r="D337" s="20"/>
      <c r="E337" s="22"/>
      <c r="F337" s="20"/>
      <c r="G337" s="46"/>
      <c r="H337" s="4"/>
    </row>
    <row r="338" spans="1:8">
      <c r="A338" s="28"/>
      <c r="B338" s="21"/>
      <c r="C338" s="22"/>
      <c r="D338" s="20"/>
      <c r="E338" s="22"/>
      <c r="F338" s="20"/>
      <c r="G338" s="25"/>
      <c r="H338" s="4"/>
    </row>
    <row r="339" spans="1:8">
      <c r="A339" s="28"/>
      <c r="B339" s="21"/>
      <c r="C339" s="22"/>
      <c r="D339" s="20"/>
      <c r="E339" s="22"/>
      <c r="F339" s="20"/>
      <c r="G339" s="46"/>
      <c r="H339" s="4"/>
    </row>
    <row r="340" spans="1:8">
      <c r="A340" s="28"/>
      <c r="B340" s="21"/>
      <c r="C340" s="22"/>
      <c r="D340" s="20"/>
      <c r="E340" s="22"/>
      <c r="F340" s="20"/>
      <c r="G340" s="46"/>
      <c r="H340" s="4"/>
    </row>
    <row r="341" spans="1:8">
      <c r="A341" s="28"/>
      <c r="B341" s="21"/>
      <c r="C341" s="22"/>
      <c r="D341" s="20"/>
      <c r="E341" s="22"/>
      <c r="F341" s="20"/>
      <c r="G341" s="46"/>
      <c r="H341" s="4"/>
    </row>
    <row r="342" spans="1:8">
      <c r="A342" s="28"/>
      <c r="B342" s="21"/>
      <c r="C342" s="22"/>
      <c r="D342" s="20"/>
      <c r="E342" s="22"/>
      <c r="F342" s="20"/>
      <c r="G342" s="46"/>
      <c r="H342" s="4"/>
    </row>
    <row r="343" spans="1:8">
      <c r="A343" s="28"/>
      <c r="B343" s="21"/>
      <c r="C343" s="22"/>
      <c r="D343" s="20"/>
      <c r="E343" s="22"/>
      <c r="F343" s="20"/>
      <c r="G343" s="46"/>
      <c r="H343" s="4"/>
    </row>
    <row r="344" spans="1:8">
      <c r="A344" s="28"/>
      <c r="B344" s="21"/>
      <c r="C344" s="22"/>
      <c r="D344" s="20"/>
      <c r="E344" s="22"/>
      <c r="F344" s="20"/>
      <c r="G344" s="46"/>
      <c r="H344" s="4"/>
    </row>
    <row r="345" spans="1:8">
      <c r="A345" s="28"/>
      <c r="B345" s="21"/>
      <c r="C345" s="22"/>
      <c r="D345" s="20"/>
      <c r="E345" s="22"/>
      <c r="F345" s="20"/>
      <c r="G345" s="46"/>
      <c r="H345" s="4"/>
    </row>
    <row r="346" spans="1:8">
      <c r="A346" s="28"/>
      <c r="B346" s="21"/>
      <c r="C346" s="22"/>
      <c r="D346" s="20"/>
      <c r="E346" s="22"/>
      <c r="F346" s="20"/>
      <c r="G346" s="46"/>
      <c r="H346" s="4"/>
    </row>
    <row r="347" spans="1:8">
      <c r="A347" s="28"/>
      <c r="B347" s="21"/>
      <c r="C347" s="22"/>
      <c r="D347" s="20"/>
      <c r="E347" s="22"/>
      <c r="F347" s="20"/>
      <c r="G347" s="46"/>
      <c r="H347" s="4"/>
    </row>
    <row r="348" spans="1:8">
      <c r="A348" s="28"/>
      <c r="B348" s="21"/>
      <c r="C348" s="22"/>
      <c r="D348" s="20"/>
      <c r="E348" s="22"/>
      <c r="F348" s="20"/>
      <c r="G348" s="46"/>
      <c r="H348" s="4"/>
    </row>
    <row r="349" spans="1:8">
      <c r="A349" s="28"/>
      <c r="B349" s="21"/>
      <c r="C349" s="22"/>
      <c r="D349" s="20"/>
      <c r="E349" s="22"/>
      <c r="F349" s="20"/>
      <c r="G349" s="46"/>
      <c r="H349" s="4"/>
    </row>
    <row r="350" spans="1:8">
      <c r="A350" s="28"/>
      <c r="B350" s="21"/>
      <c r="C350" s="22"/>
      <c r="D350" s="20"/>
      <c r="E350" s="22"/>
      <c r="F350" s="20"/>
      <c r="G350" s="46"/>
      <c r="H350" s="4"/>
    </row>
    <row r="351" spans="1:8">
      <c r="A351" s="28"/>
      <c r="B351" s="21"/>
      <c r="C351" s="22"/>
      <c r="D351" s="20"/>
      <c r="E351" s="22"/>
      <c r="F351" s="20"/>
      <c r="G351" s="46"/>
      <c r="H351" s="4"/>
    </row>
    <row r="352" spans="1:8">
      <c r="A352" s="28"/>
      <c r="B352" s="21"/>
      <c r="C352" s="22"/>
      <c r="D352" s="20"/>
      <c r="E352" s="22"/>
      <c r="F352" s="20"/>
      <c r="G352" s="46"/>
      <c r="H352" s="4"/>
    </row>
    <row r="353" spans="1:8">
      <c r="A353" s="28"/>
      <c r="B353" s="21"/>
      <c r="C353" s="22"/>
      <c r="D353" s="20"/>
      <c r="E353" s="22"/>
      <c r="F353" s="20"/>
      <c r="G353" s="46"/>
      <c r="H353" s="4"/>
    </row>
    <row r="354" spans="1:8">
      <c r="A354" s="28"/>
      <c r="B354" s="21"/>
      <c r="C354" s="22"/>
      <c r="D354" s="20"/>
      <c r="E354" s="22"/>
      <c r="F354" s="20"/>
      <c r="G354" s="46"/>
      <c r="H354" s="4"/>
    </row>
    <row r="355" spans="1:8">
      <c r="A355" s="28"/>
      <c r="B355" s="21"/>
      <c r="C355" s="22"/>
      <c r="D355" s="20"/>
      <c r="E355" s="22"/>
      <c r="F355" s="20"/>
      <c r="G355" s="46"/>
      <c r="H355" s="4"/>
    </row>
    <row r="356" spans="1:8">
      <c r="A356" s="28"/>
      <c r="B356" s="21"/>
      <c r="C356" s="22"/>
      <c r="D356" s="20"/>
      <c r="E356" s="22"/>
      <c r="F356" s="20"/>
      <c r="G356" s="46"/>
      <c r="H356" s="4"/>
    </row>
    <row r="357" spans="1:8">
      <c r="A357" s="28"/>
      <c r="B357" s="21"/>
      <c r="C357" s="22"/>
      <c r="D357" s="20"/>
      <c r="E357" s="22"/>
      <c r="F357" s="20"/>
      <c r="G357" s="46"/>
      <c r="H357" s="4"/>
    </row>
    <row r="358" spans="1:8">
      <c r="A358" s="28"/>
      <c r="B358" s="21"/>
      <c r="C358" s="22"/>
      <c r="D358" s="20"/>
      <c r="E358" s="22"/>
      <c r="F358" s="20"/>
      <c r="G358" s="46"/>
      <c r="H358" s="4"/>
    </row>
    <row r="359" spans="1:8">
      <c r="A359" s="28"/>
      <c r="B359" s="21"/>
      <c r="C359" s="22"/>
      <c r="D359" s="20"/>
      <c r="E359" s="22"/>
      <c r="F359" s="20"/>
      <c r="G359" s="46"/>
      <c r="H359" s="4"/>
    </row>
    <row r="360" spans="1:8">
      <c r="A360" s="28"/>
      <c r="B360" s="21"/>
      <c r="C360" s="22"/>
      <c r="D360" s="20"/>
      <c r="E360" s="22"/>
      <c r="F360" s="20"/>
      <c r="G360" s="46"/>
      <c r="H360" s="4"/>
    </row>
    <row r="361" spans="1:8">
      <c r="A361" s="28"/>
      <c r="B361" s="21"/>
      <c r="C361" s="22"/>
      <c r="D361" s="20"/>
      <c r="E361" s="22"/>
      <c r="F361" s="20"/>
      <c r="G361" s="46"/>
      <c r="H361" s="4"/>
    </row>
    <row r="362" spans="1:8">
      <c r="A362" s="28"/>
      <c r="B362" s="21"/>
      <c r="C362" s="22"/>
      <c r="D362" s="20"/>
      <c r="E362" s="22"/>
      <c r="F362" s="20"/>
      <c r="G362" s="46"/>
      <c r="H362" s="4"/>
    </row>
    <row r="363" spans="1:8">
      <c r="A363" s="28"/>
      <c r="B363" s="21"/>
      <c r="C363" s="22"/>
      <c r="D363" s="20"/>
      <c r="E363" s="22"/>
      <c r="F363" s="20"/>
      <c r="G363" s="46"/>
      <c r="H363" s="4"/>
    </row>
    <row r="364" spans="1:8">
      <c r="A364" s="28"/>
      <c r="B364" s="21"/>
      <c r="C364" s="22"/>
      <c r="D364" s="20"/>
      <c r="E364" s="22"/>
      <c r="F364" s="20"/>
      <c r="G364" s="46"/>
      <c r="H364" s="4"/>
    </row>
    <row r="365" spans="1:8">
      <c r="A365" s="28"/>
      <c r="B365" s="21"/>
      <c r="C365" s="22"/>
      <c r="D365" s="20"/>
      <c r="E365" s="22"/>
      <c r="F365" s="20"/>
      <c r="G365" s="46"/>
      <c r="H365" s="4"/>
    </row>
    <row r="366" spans="1:8">
      <c r="A366" s="28"/>
      <c r="B366" s="21"/>
      <c r="C366" s="22"/>
      <c r="D366" s="20"/>
      <c r="E366" s="22"/>
      <c r="F366" s="20"/>
      <c r="G366" s="46"/>
      <c r="H366" s="4"/>
    </row>
    <row r="367" spans="1:8">
      <c r="A367" s="28"/>
      <c r="B367" s="21"/>
      <c r="C367" s="22"/>
      <c r="D367" s="20"/>
      <c r="E367" s="22"/>
      <c r="F367" s="20"/>
      <c r="G367" s="46"/>
      <c r="H367" s="4"/>
    </row>
    <row r="368" spans="1:8">
      <c r="A368" s="28"/>
      <c r="B368" s="21"/>
      <c r="C368" s="22"/>
      <c r="D368" s="20"/>
      <c r="E368" s="22"/>
      <c r="F368" s="20"/>
      <c r="G368" s="46"/>
      <c r="H368" s="4"/>
    </row>
    <row r="369" spans="1:8">
      <c r="A369" s="28"/>
      <c r="B369" s="21"/>
      <c r="C369" s="22"/>
      <c r="D369" s="20"/>
      <c r="E369" s="22"/>
      <c r="F369" s="20"/>
      <c r="G369" s="46"/>
      <c r="H369" s="4"/>
    </row>
    <row r="370" spans="1:8">
      <c r="A370" s="28"/>
      <c r="B370" s="21"/>
      <c r="C370" s="22"/>
      <c r="D370" s="20"/>
      <c r="E370" s="22"/>
      <c r="F370" s="20"/>
      <c r="G370" s="46"/>
      <c r="H370" s="4"/>
    </row>
    <row r="371" spans="1:8">
      <c r="A371" s="28"/>
      <c r="B371" s="21"/>
      <c r="C371" s="22"/>
      <c r="D371" s="20"/>
      <c r="E371" s="22"/>
      <c r="F371" s="20"/>
      <c r="G371" s="46"/>
      <c r="H371" s="4"/>
    </row>
    <row r="372" spans="1:8">
      <c r="A372" s="28"/>
      <c r="B372" s="21"/>
      <c r="C372" s="22"/>
      <c r="D372" s="20"/>
      <c r="E372" s="22"/>
      <c r="F372" s="20"/>
      <c r="G372" s="46"/>
      <c r="H372" s="4"/>
    </row>
    <row r="373" spans="1:8">
      <c r="A373" s="28"/>
      <c r="B373" s="21"/>
      <c r="C373" s="22"/>
      <c r="D373" s="20"/>
      <c r="E373" s="22"/>
      <c r="F373" s="20"/>
      <c r="G373" s="46"/>
      <c r="H373" s="4"/>
    </row>
    <row r="374" spans="1:8">
      <c r="A374" s="28"/>
      <c r="B374" s="21"/>
      <c r="C374" s="22"/>
      <c r="D374" s="20"/>
      <c r="E374" s="22"/>
      <c r="F374" s="20"/>
      <c r="G374" s="46"/>
      <c r="H374" s="4"/>
    </row>
    <row r="375" spans="1:8">
      <c r="A375" s="28"/>
      <c r="B375" s="21"/>
      <c r="C375" s="22"/>
      <c r="D375" s="20"/>
      <c r="E375" s="22"/>
      <c r="F375" s="20"/>
      <c r="G375" s="46"/>
      <c r="H375" s="4"/>
    </row>
    <row r="376" spans="1:8">
      <c r="A376" s="28"/>
      <c r="B376" s="21"/>
      <c r="C376" s="22"/>
      <c r="D376" s="20"/>
      <c r="E376" s="22"/>
      <c r="F376" s="20"/>
      <c r="G376" s="46"/>
      <c r="H376" s="4"/>
    </row>
    <row r="377" spans="1:8">
      <c r="A377" s="28"/>
      <c r="B377" s="21"/>
      <c r="C377" s="22"/>
      <c r="D377" s="20"/>
      <c r="E377" s="22"/>
      <c r="F377" s="20"/>
      <c r="G377" s="46"/>
      <c r="H377" s="4"/>
    </row>
    <row r="378" spans="1:8">
      <c r="A378" s="28"/>
      <c r="B378" s="21"/>
      <c r="C378" s="22"/>
      <c r="D378" s="20"/>
      <c r="E378" s="22"/>
      <c r="F378" s="20"/>
      <c r="G378" s="46"/>
      <c r="H378" s="4"/>
    </row>
    <row r="379" spans="1:8">
      <c r="A379" s="28"/>
      <c r="B379" s="21"/>
      <c r="C379" s="22"/>
      <c r="D379" s="20"/>
      <c r="E379" s="22"/>
      <c r="F379" s="20"/>
      <c r="G379" s="46"/>
      <c r="H379" s="4"/>
    </row>
    <row r="380" spans="1:8">
      <c r="A380" s="28"/>
      <c r="B380" s="21"/>
      <c r="C380" s="22"/>
      <c r="D380" s="20"/>
      <c r="E380" s="22"/>
      <c r="F380" s="20"/>
      <c r="G380" s="46"/>
      <c r="H380" s="4"/>
    </row>
    <row r="381" spans="1:8">
      <c r="A381" s="28"/>
      <c r="B381" s="21"/>
      <c r="C381" s="22"/>
      <c r="D381" s="20"/>
      <c r="E381" s="22"/>
      <c r="F381" s="20"/>
      <c r="G381" s="46"/>
      <c r="H381" s="4"/>
    </row>
    <row r="382" spans="1:8">
      <c r="A382" s="28"/>
      <c r="B382" s="21"/>
      <c r="C382" s="22"/>
      <c r="D382" s="20"/>
      <c r="E382" s="22"/>
      <c r="F382" s="20"/>
      <c r="G382" s="46"/>
      <c r="H382" s="4"/>
    </row>
    <row r="383" spans="1:8">
      <c r="A383" s="28"/>
      <c r="B383" s="21"/>
      <c r="C383" s="22"/>
      <c r="D383" s="20"/>
      <c r="E383" s="22"/>
      <c r="F383" s="20"/>
      <c r="G383" s="46"/>
      <c r="H383" s="4"/>
    </row>
    <row r="384" spans="1:8">
      <c r="A384" s="28"/>
      <c r="B384" s="21"/>
      <c r="C384" s="22"/>
      <c r="D384" s="20"/>
      <c r="E384" s="22"/>
      <c r="F384" s="20"/>
      <c r="G384" s="46"/>
      <c r="H384" s="4"/>
    </row>
    <row r="385" spans="1:8">
      <c r="A385" s="1712">
        <v>6</v>
      </c>
      <c r="B385" s="1710" t="s">
        <v>7230</v>
      </c>
      <c r="C385" s="22"/>
      <c r="D385" s="20"/>
      <c r="E385" s="22"/>
      <c r="F385" s="20"/>
      <c r="G385" s="41"/>
      <c r="H385" s="4"/>
    </row>
    <row r="386" spans="1:8">
      <c r="A386" s="1712"/>
      <c r="B386" s="1710"/>
      <c r="C386" s="22"/>
      <c r="D386" s="20"/>
      <c r="E386" s="22"/>
      <c r="F386" s="20"/>
      <c r="G386" s="41"/>
      <c r="H386" s="4"/>
    </row>
    <row r="387" spans="1:8">
      <c r="A387" s="28"/>
      <c r="B387" s="21"/>
      <c r="C387" s="22"/>
      <c r="D387" s="20"/>
      <c r="E387" s="22"/>
      <c r="F387" s="20"/>
      <c r="G387" s="41"/>
      <c r="H387" s="4"/>
    </row>
    <row r="388" spans="1:8">
      <c r="A388" s="28"/>
      <c r="B388" s="21"/>
      <c r="C388" s="22"/>
      <c r="D388" s="20"/>
      <c r="E388" s="22"/>
      <c r="F388" s="20"/>
      <c r="G388" s="25"/>
      <c r="H388" s="4"/>
    </row>
    <row r="389" spans="1:8">
      <c r="A389" s="28"/>
      <c r="B389" s="21"/>
      <c r="C389" s="22"/>
      <c r="D389" s="23"/>
      <c r="E389" s="22"/>
      <c r="F389" s="23"/>
      <c r="G389" s="41"/>
      <c r="H389" s="4"/>
    </row>
    <row r="390" spans="1:8">
      <c r="A390" s="28"/>
      <c r="B390" s="21"/>
      <c r="C390" s="22"/>
      <c r="D390" s="20"/>
      <c r="E390" s="22"/>
      <c r="F390" s="20"/>
      <c r="G390" s="25"/>
      <c r="H390" s="4"/>
    </row>
    <row r="391" spans="1:8">
      <c r="A391" s="28"/>
      <c r="B391" s="21"/>
      <c r="C391" s="22"/>
      <c r="D391" s="20"/>
      <c r="E391" s="22"/>
      <c r="F391" s="20"/>
      <c r="G391" s="25"/>
      <c r="H391" s="4"/>
    </row>
    <row r="392" spans="1:8">
      <c r="A392" s="28"/>
      <c r="B392" s="21"/>
      <c r="C392" s="22"/>
      <c r="D392" s="20"/>
      <c r="E392" s="22"/>
      <c r="F392" s="20"/>
      <c r="G392" s="25"/>
      <c r="H392" s="4"/>
    </row>
    <row r="393" spans="1:8">
      <c r="A393" s="28"/>
      <c r="B393" s="21"/>
      <c r="C393" s="22"/>
      <c r="D393" s="20"/>
      <c r="E393" s="22"/>
      <c r="F393" s="20"/>
      <c r="G393" s="25"/>
      <c r="H393" s="4"/>
    </row>
    <row r="394" spans="1:8">
      <c r="A394" s="28"/>
      <c r="B394" s="21"/>
      <c r="C394" s="22"/>
      <c r="D394" s="20"/>
      <c r="E394" s="22"/>
      <c r="F394" s="20"/>
      <c r="G394" s="25"/>
      <c r="H394" s="4"/>
    </row>
    <row r="395" spans="1:8">
      <c r="A395" s="28"/>
      <c r="B395" s="21"/>
      <c r="C395" s="22"/>
      <c r="D395" s="20"/>
      <c r="E395" s="22"/>
      <c r="F395" s="20"/>
      <c r="G395" s="25"/>
      <c r="H395" s="4"/>
    </row>
    <row r="396" spans="1:8">
      <c r="A396" s="28"/>
      <c r="B396" s="21"/>
      <c r="C396" s="22"/>
      <c r="D396" s="20"/>
      <c r="E396" s="22"/>
      <c r="F396" s="20"/>
      <c r="G396" s="46"/>
      <c r="H396" s="4"/>
    </row>
    <row r="397" spans="1:8">
      <c r="A397" s="28"/>
      <c r="B397" s="21"/>
      <c r="C397" s="22"/>
      <c r="D397" s="20"/>
      <c r="E397" s="22"/>
      <c r="F397" s="20"/>
      <c r="G397" s="47"/>
      <c r="H397" s="4"/>
    </row>
    <row r="398" spans="1:8">
      <c r="A398" s="28"/>
      <c r="B398" s="21"/>
      <c r="C398" s="22"/>
      <c r="D398" s="20"/>
      <c r="E398" s="22"/>
      <c r="F398" s="20"/>
      <c r="G398" s="46"/>
      <c r="H398" s="4"/>
    </row>
    <row r="399" spans="1:8">
      <c r="A399" s="28"/>
      <c r="B399" s="21"/>
      <c r="C399" s="22"/>
      <c r="D399" s="20"/>
      <c r="E399" s="22"/>
      <c r="F399" s="20"/>
      <c r="G399" s="47"/>
      <c r="H399" s="4"/>
    </row>
    <row r="400" spans="1:8">
      <c r="A400" s="28"/>
      <c r="B400" s="21"/>
      <c r="C400" s="22"/>
      <c r="D400" s="20"/>
      <c r="E400" s="22"/>
      <c r="F400" s="20"/>
      <c r="G400" s="46"/>
      <c r="H400" s="4"/>
    </row>
    <row r="401" spans="1:8">
      <c r="A401" s="28"/>
      <c r="B401" s="21"/>
      <c r="C401" s="22"/>
      <c r="D401" s="20"/>
      <c r="E401" s="22"/>
      <c r="F401" s="20"/>
      <c r="G401" s="47"/>
      <c r="H401" s="4"/>
    </row>
    <row r="402" spans="1:8">
      <c r="A402" s="28"/>
      <c r="B402" s="21"/>
      <c r="C402" s="22"/>
      <c r="D402" s="20"/>
      <c r="E402" s="22"/>
      <c r="F402" s="20"/>
      <c r="G402" s="46"/>
      <c r="H402" s="4"/>
    </row>
    <row r="403" spans="1:8">
      <c r="A403" s="28"/>
      <c r="B403" s="21"/>
      <c r="C403" s="22"/>
      <c r="D403" s="20"/>
      <c r="E403" s="22"/>
      <c r="F403" s="20"/>
      <c r="G403" s="46"/>
      <c r="H403" s="4"/>
    </row>
    <row r="404" spans="1:8">
      <c r="A404" s="28"/>
      <c r="B404" s="21"/>
      <c r="C404" s="22"/>
      <c r="D404" s="20"/>
      <c r="E404" s="22"/>
      <c r="F404" s="20"/>
      <c r="G404" s="46"/>
      <c r="H404" s="4"/>
    </row>
    <row r="405" spans="1:8">
      <c r="A405" s="28"/>
      <c r="B405" s="21"/>
      <c r="C405" s="22"/>
      <c r="D405" s="20"/>
      <c r="E405" s="22"/>
      <c r="F405" s="20"/>
      <c r="G405" s="46"/>
      <c r="H405" s="4"/>
    </row>
    <row r="406" spans="1:8">
      <c r="A406" s="28"/>
      <c r="B406" s="21"/>
      <c r="C406" s="22"/>
      <c r="D406" s="20"/>
      <c r="E406" s="22"/>
      <c r="F406" s="20"/>
      <c r="G406" s="46"/>
      <c r="H406" s="4"/>
    </row>
    <row r="407" spans="1:8">
      <c r="A407" s="28"/>
      <c r="B407" s="21"/>
      <c r="C407" s="22"/>
      <c r="D407" s="20"/>
      <c r="E407" s="22"/>
      <c r="F407" s="20"/>
      <c r="G407" s="46"/>
      <c r="H407" s="4"/>
    </row>
    <row r="408" spans="1:8">
      <c r="A408" s="28"/>
      <c r="B408" s="21"/>
      <c r="C408" s="22"/>
      <c r="D408" s="20"/>
      <c r="E408" s="22"/>
      <c r="F408" s="20"/>
      <c r="G408" s="46"/>
      <c r="H408" s="4"/>
    </row>
    <row r="409" spans="1:8">
      <c r="A409" s="28"/>
      <c r="B409" s="21"/>
      <c r="C409" s="22"/>
      <c r="D409" s="20"/>
      <c r="E409" s="22"/>
      <c r="F409" s="20"/>
      <c r="G409" s="46"/>
      <c r="H409" s="4"/>
    </row>
    <row r="410" spans="1:8">
      <c r="A410" s="28"/>
      <c r="B410" s="21"/>
      <c r="C410" s="22"/>
      <c r="D410" s="20"/>
      <c r="E410" s="22"/>
      <c r="F410" s="20"/>
      <c r="G410" s="46"/>
      <c r="H410" s="4"/>
    </row>
    <row r="411" spans="1:8">
      <c r="A411" s="28"/>
      <c r="B411" s="21"/>
      <c r="C411" s="22"/>
      <c r="D411" s="20"/>
      <c r="E411" s="22"/>
      <c r="F411" s="20"/>
      <c r="G411" s="46"/>
      <c r="H411" s="4"/>
    </row>
    <row r="412" spans="1:8">
      <c r="A412" s="28"/>
      <c r="B412" s="21"/>
      <c r="C412" s="22"/>
      <c r="D412" s="20"/>
      <c r="E412" s="22"/>
      <c r="F412" s="20"/>
      <c r="G412" s="46"/>
      <c r="H412" s="4"/>
    </row>
    <row r="413" spans="1:8">
      <c r="A413" s="28"/>
      <c r="B413" s="21"/>
      <c r="C413" s="22"/>
      <c r="D413" s="20"/>
      <c r="E413" s="22"/>
      <c r="F413" s="20"/>
      <c r="G413" s="46"/>
      <c r="H413" s="4"/>
    </row>
    <row r="414" spans="1:8">
      <c r="A414" s="28"/>
      <c r="B414" s="21"/>
      <c r="C414" s="22"/>
      <c r="D414" s="20"/>
      <c r="E414" s="22"/>
      <c r="F414" s="20"/>
      <c r="G414" s="46"/>
      <c r="H414" s="4"/>
    </row>
    <row r="415" spans="1:8">
      <c r="A415" s="28"/>
      <c r="B415" s="21"/>
      <c r="C415" s="22"/>
      <c r="D415" s="20"/>
      <c r="E415" s="22"/>
      <c r="F415" s="20"/>
      <c r="G415" s="46"/>
      <c r="H415" s="4"/>
    </row>
    <row r="416" spans="1:8">
      <c r="A416" s="28"/>
      <c r="B416" s="21"/>
      <c r="C416" s="22"/>
      <c r="D416" s="20"/>
      <c r="E416" s="22"/>
      <c r="F416" s="20"/>
      <c r="G416" s="46"/>
      <c r="H416" s="4"/>
    </row>
    <row r="417" spans="1:8">
      <c r="A417" s="28"/>
      <c r="B417" s="21"/>
      <c r="C417" s="22"/>
      <c r="D417" s="20"/>
      <c r="E417" s="22"/>
      <c r="F417" s="20"/>
      <c r="G417" s="46"/>
      <c r="H417" s="4"/>
    </row>
    <row r="418" spans="1:8">
      <c r="A418" s="28"/>
      <c r="B418" s="21"/>
      <c r="C418" s="22"/>
      <c r="D418" s="20"/>
      <c r="E418" s="22"/>
      <c r="F418" s="20"/>
      <c r="G418" s="46"/>
      <c r="H418" s="4"/>
    </row>
    <row r="419" spans="1:8">
      <c r="A419" s="28"/>
      <c r="B419" s="21"/>
      <c r="C419" s="22"/>
      <c r="D419" s="20"/>
      <c r="E419" s="22"/>
      <c r="F419" s="20"/>
      <c r="G419" s="46"/>
      <c r="H419" s="4"/>
    </row>
    <row r="420" spans="1:8">
      <c r="A420" s="28"/>
      <c r="B420" s="21"/>
      <c r="C420" s="22"/>
      <c r="D420" s="20"/>
      <c r="E420" s="22"/>
      <c r="F420" s="20"/>
      <c r="G420" s="46"/>
      <c r="H420" s="4"/>
    </row>
    <row r="421" spans="1:8">
      <c r="A421" s="28"/>
      <c r="B421" s="21"/>
      <c r="C421" s="22"/>
      <c r="D421" s="20"/>
      <c r="E421" s="22"/>
      <c r="F421" s="20"/>
      <c r="G421" s="46"/>
      <c r="H421" s="4"/>
    </row>
    <row r="422" spans="1:8">
      <c r="A422" s="28"/>
      <c r="B422" s="21"/>
      <c r="C422" s="22"/>
      <c r="D422" s="20"/>
      <c r="E422" s="22"/>
      <c r="F422" s="20"/>
      <c r="G422" s="46"/>
      <c r="H422" s="4"/>
    </row>
    <row r="423" spans="1:8">
      <c r="A423" s="28"/>
      <c r="B423" s="21"/>
      <c r="C423" s="22"/>
      <c r="D423" s="20"/>
      <c r="E423" s="22"/>
      <c r="F423" s="20"/>
      <c r="G423" s="46"/>
      <c r="H423" s="4"/>
    </row>
    <row r="424" spans="1:8">
      <c r="A424" s="28"/>
      <c r="B424" s="21"/>
      <c r="C424" s="22"/>
      <c r="D424" s="20"/>
      <c r="E424" s="22"/>
      <c r="F424" s="20"/>
      <c r="G424" s="46"/>
      <c r="H424" s="4"/>
    </row>
    <row r="425" spans="1:8">
      <c r="A425" s="28"/>
      <c r="B425" s="21"/>
      <c r="C425" s="22"/>
      <c r="D425" s="20"/>
      <c r="E425" s="22"/>
      <c r="F425" s="20"/>
      <c r="G425" s="46"/>
      <c r="H425" s="4"/>
    </row>
    <row r="426" spans="1:8">
      <c r="A426" s="28"/>
      <c r="B426" s="21"/>
      <c r="C426" s="22"/>
      <c r="D426" s="20"/>
      <c r="E426" s="22"/>
      <c r="F426" s="20"/>
      <c r="G426" s="46"/>
      <c r="H426" s="4"/>
    </row>
    <row r="427" spans="1:8">
      <c r="A427" s="28"/>
      <c r="B427" s="21"/>
      <c r="C427" s="22"/>
      <c r="D427" s="20"/>
      <c r="E427" s="22"/>
      <c r="F427" s="20"/>
      <c r="G427" s="46"/>
      <c r="H427" s="4"/>
    </row>
    <row r="428" spans="1:8">
      <c r="A428" s="28"/>
      <c r="B428" s="21"/>
      <c r="C428" s="22"/>
      <c r="D428" s="20"/>
      <c r="E428" s="22"/>
      <c r="F428" s="20"/>
      <c r="G428" s="46"/>
      <c r="H428" s="4"/>
    </row>
    <row r="429" spans="1:8">
      <c r="A429" s="28"/>
      <c r="B429" s="21"/>
      <c r="C429" s="22"/>
      <c r="D429" s="20"/>
      <c r="E429" s="22"/>
      <c r="F429" s="20"/>
      <c r="G429" s="46"/>
      <c r="H429" s="4"/>
    </row>
    <row r="430" spans="1:8">
      <c r="A430" s="28"/>
      <c r="B430" s="21"/>
      <c r="C430" s="22"/>
      <c r="D430" s="20"/>
      <c r="E430" s="22"/>
      <c r="F430" s="20"/>
      <c r="G430" s="46"/>
      <c r="H430" s="4"/>
    </row>
    <row r="431" spans="1:8">
      <c r="A431" s="28"/>
      <c r="B431" s="21"/>
      <c r="C431" s="22"/>
      <c r="D431" s="20"/>
      <c r="E431" s="22"/>
      <c r="F431" s="20"/>
      <c r="G431" s="46"/>
      <c r="H431" s="4"/>
    </row>
    <row r="432" spans="1:8">
      <c r="A432" s="28"/>
      <c r="B432" s="21"/>
      <c r="C432" s="22"/>
      <c r="D432" s="20"/>
      <c r="E432" s="22"/>
      <c r="F432" s="20"/>
      <c r="G432" s="46"/>
      <c r="H432" s="4"/>
    </row>
    <row r="433" spans="1:8">
      <c r="A433" s="28"/>
      <c r="B433" s="21"/>
      <c r="C433" s="22"/>
      <c r="D433" s="20"/>
      <c r="E433" s="22"/>
      <c r="F433" s="20"/>
      <c r="G433" s="46"/>
      <c r="H433" s="4"/>
    </row>
    <row r="434" spans="1:8">
      <c r="A434" s="28"/>
      <c r="B434" s="21"/>
      <c r="C434" s="22"/>
      <c r="D434" s="20"/>
      <c r="E434" s="22"/>
      <c r="F434" s="20"/>
      <c r="G434" s="46"/>
      <c r="H434" s="4"/>
    </row>
    <row r="435" spans="1:8">
      <c r="A435" s="28"/>
      <c r="B435" s="21"/>
      <c r="C435" s="22"/>
      <c r="D435" s="20"/>
      <c r="E435" s="22"/>
      <c r="F435" s="20"/>
      <c r="G435" s="46"/>
      <c r="H435" s="4"/>
    </row>
    <row r="436" spans="1:8">
      <c r="A436" s="28"/>
      <c r="B436" s="21"/>
      <c r="C436" s="22"/>
      <c r="D436" s="20"/>
      <c r="E436" s="22"/>
      <c r="F436" s="20"/>
      <c r="G436" s="46"/>
      <c r="H436" s="4"/>
    </row>
    <row r="437" spans="1:8">
      <c r="A437" s="28"/>
      <c r="B437" s="21"/>
      <c r="C437" s="22"/>
      <c r="D437" s="20"/>
      <c r="E437" s="22"/>
      <c r="F437" s="20"/>
      <c r="G437" s="46"/>
      <c r="H437" s="4"/>
    </row>
    <row r="438" spans="1:8">
      <c r="A438" s="28"/>
      <c r="B438" s="21"/>
      <c r="C438" s="22"/>
      <c r="D438" s="20"/>
      <c r="E438" s="22"/>
      <c r="F438" s="20"/>
      <c r="G438" s="46"/>
      <c r="H438" s="4"/>
    </row>
    <row r="439" spans="1:8">
      <c r="A439" s="28"/>
      <c r="B439" s="21"/>
      <c r="C439" s="22"/>
      <c r="D439" s="20"/>
      <c r="E439" s="22"/>
      <c r="F439" s="20"/>
      <c r="G439" s="46"/>
      <c r="H439" s="4"/>
    </row>
    <row r="440" spans="1:8">
      <c r="A440" s="28"/>
      <c r="B440" s="21"/>
      <c r="C440" s="22"/>
      <c r="D440" s="20"/>
      <c r="E440" s="22"/>
      <c r="F440" s="20"/>
      <c r="G440" s="46"/>
      <c r="H440" s="4"/>
    </row>
    <row r="441" spans="1:8">
      <c r="A441" s="28"/>
      <c r="B441" s="21"/>
      <c r="C441" s="22"/>
      <c r="D441" s="20"/>
      <c r="E441" s="22"/>
      <c r="F441" s="20"/>
      <c r="G441" s="46"/>
      <c r="H441" s="4"/>
    </row>
    <row r="442" spans="1:8">
      <c r="A442" s="28"/>
      <c r="B442" s="21"/>
      <c r="C442" s="22"/>
      <c r="D442" s="20"/>
      <c r="E442" s="22"/>
      <c r="F442" s="20"/>
      <c r="G442" s="46"/>
      <c r="H442" s="4"/>
    </row>
    <row r="443" spans="1:8">
      <c r="A443" s="28"/>
      <c r="B443" s="21"/>
      <c r="C443" s="22"/>
      <c r="D443" s="20"/>
      <c r="E443" s="22"/>
      <c r="F443" s="20"/>
      <c r="G443" s="46"/>
      <c r="H443" s="4"/>
    </row>
    <row r="444" spans="1:8">
      <c r="A444" s="28"/>
      <c r="B444" s="21"/>
      <c r="C444" s="22"/>
      <c r="D444" s="20"/>
      <c r="E444" s="22"/>
      <c r="F444" s="20"/>
      <c r="G444" s="46"/>
      <c r="H444" s="4"/>
    </row>
    <row r="445" spans="1:8">
      <c r="A445" s="28"/>
      <c r="B445" s="21"/>
      <c r="C445" s="22"/>
      <c r="D445" s="20"/>
      <c r="E445" s="22"/>
      <c r="F445" s="20"/>
      <c r="G445" s="46"/>
      <c r="H445" s="4"/>
    </row>
    <row r="446" spans="1:8">
      <c r="A446" s="28"/>
      <c r="B446" s="21"/>
      <c r="C446" s="22"/>
      <c r="D446" s="20"/>
      <c r="E446" s="22"/>
      <c r="F446" s="20"/>
      <c r="G446" s="46"/>
      <c r="H446" s="4"/>
    </row>
    <row r="447" spans="1:8">
      <c r="A447" s="28">
        <v>7</v>
      </c>
      <c r="B447" s="21" t="s">
        <v>7231</v>
      </c>
      <c r="C447" s="22"/>
      <c r="D447" s="20"/>
      <c r="E447" s="22"/>
      <c r="F447" s="20"/>
      <c r="G447" s="46"/>
      <c r="H447" s="4"/>
    </row>
    <row r="448" spans="1:8">
      <c r="A448" s="28"/>
      <c r="B448" s="21" t="s">
        <v>7232</v>
      </c>
      <c r="C448" s="22">
        <v>44939</v>
      </c>
      <c r="D448" s="48">
        <v>0.3125</v>
      </c>
      <c r="E448" s="22">
        <v>45113</v>
      </c>
      <c r="F448" s="33"/>
      <c r="G448" s="46" t="s">
        <v>7233</v>
      </c>
      <c r="H448" s="4"/>
    </row>
    <row r="449" spans="1:8">
      <c r="A449" s="28"/>
      <c r="B449" s="21" t="s">
        <v>7234</v>
      </c>
      <c r="C449" s="22">
        <v>45117</v>
      </c>
      <c r="D449" s="33"/>
      <c r="E449" s="22"/>
      <c r="F449" s="33"/>
      <c r="G449" s="46" t="s">
        <v>7235</v>
      </c>
      <c r="H449" s="4"/>
    </row>
    <row r="450" spans="1:8">
      <c r="A450" s="28"/>
      <c r="B450" s="21"/>
      <c r="C450" s="22">
        <v>45119</v>
      </c>
      <c r="D450" s="20"/>
      <c r="E450" s="22"/>
      <c r="F450" s="20"/>
      <c r="G450" s="46" t="s">
        <v>7235</v>
      </c>
      <c r="H450" s="4"/>
    </row>
    <row r="451" spans="1:8">
      <c r="A451" s="28"/>
      <c r="B451" s="21" t="s">
        <v>7236</v>
      </c>
      <c r="C451" s="22">
        <v>44942</v>
      </c>
      <c r="D451" s="33" t="s">
        <v>7153</v>
      </c>
      <c r="E451" s="22">
        <v>45012</v>
      </c>
      <c r="F451" s="33" t="s">
        <v>7153</v>
      </c>
      <c r="G451" s="46" t="s">
        <v>7237</v>
      </c>
      <c r="H451" s="4"/>
    </row>
    <row r="452" spans="1:8">
      <c r="A452" s="28"/>
      <c r="B452" s="21"/>
      <c r="C452" s="22">
        <v>44964</v>
      </c>
      <c r="D452" s="20" t="s">
        <v>7238</v>
      </c>
      <c r="E452" s="22">
        <v>44964</v>
      </c>
      <c r="F452" s="20" t="s">
        <v>7239</v>
      </c>
      <c r="G452" s="46" t="s">
        <v>7240</v>
      </c>
      <c r="H452" s="4"/>
    </row>
    <row r="453" spans="1:8">
      <c r="A453" s="28"/>
      <c r="B453" s="21"/>
      <c r="C453" s="22"/>
      <c r="D453" s="20"/>
      <c r="E453" s="22"/>
      <c r="F453" s="20"/>
      <c r="G453" s="46"/>
      <c r="H453" s="4"/>
    </row>
    <row r="454" spans="1:8">
      <c r="A454" s="28"/>
      <c r="B454" s="21" t="s">
        <v>7241</v>
      </c>
      <c r="C454" s="22">
        <v>45453</v>
      </c>
      <c r="D454" s="20" t="s">
        <v>7242</v>
      </c>
      <c r="E454" s="22">
        <v>45453</v>
      </c>
      <c r="F454" s="20" t="s">
        <v>7243</v>
      </c>
      <c r="G454" s="46" t="s">
        <v>7244</v>
      </c>
      <c r="H454" s="4"/>
    </row>
    <row r="455" spans="1:8">
      <c r="A455" s="28"/>
      <c r="B455" s="21"/>
      <c r="C455" s="22"/>
      <c r="D455" s="20"/>
      <c r="E455" s="22"/>
      <c r="F455" s="20"/>
      <c r="G455" s="46"/>
      <c r="H455" s="4"/>
    </row>
    <row r="456" spans="1:8">
      <c r="A456" s="28"/>
      <c r="B456" s="21"/>
      <c r="C456" s="22"/>
      <c r="D456" s="20"/>
      <c r="E456" s="22"/>
      <c r="F456" s="20"/>
      <c r="G456" s="46"/>
      <c r="H456" s="4"/>
    </row>
    <row r="457" spans="1:8">
      <c r="A457" s="28"/>
      <c r="B457" s="21"/>
      <c r="C457" s="22"/>
      <c r="D457" s="20"/>
      <c r="E457" s="22"/>
      <c r="F457" s="20"/>
      <c r="G457" s="46"/>
      <c r="H457" s="4"/>
    </row>
    <row r="458" spans="1:8">
      <c r="A458" s="28"/>
      <c r="B458" s="21"/>
      <c r="C458" s="22"/>
      <c r="D458" s="20"/>
      <c r="E458" s="22"/>
      <c r="F458" s="20"/>
      <c r="G458" s="46"/>
      <c r="H458" s="4"/>
    </row>
    <row r="459" spans="1:8">
      <c r="A459" s="28"/>
      <c r="B459" s="30"/>
      <c r="C459" s="31"/>
      <c r="D459" s="32"/>
      <c r="E459" s="31"/>
      <c r="F459" s="32"/>
      <c r="G459" s="47"/>
      <c r="H459" s="4"/>
    </row>
    <row r="460" spans="1:8">
      <c r="A460" s="28"/>
      <c r="B460" s="21"/>
      <c r="C460" s="22"/>
      <c r="D460" s="20"/>
      <c r="E460" s="22"/>
      <c r="F460" s="20"/>
      <c r="G460" s="46"/>
      <c r="H460" s="4"/>
    </row>
    <row r="461" spans="1:8">
      <c r="A461" s="28"/>
      <c r="B461" s="21"/>
      <c r="C461" s="22"/>
      <c r="D461" s="20"/>
      <c r="E461" s="22"/>
      <c r="F461" s="20"/>
      <c r="G461" s="46"/>
      <c r="H461" s="4"/>
    </row>
    <row r="462" spans="1:8">
      <c r="A462" s="28"/>
      <c r="B462" s="21"/>
      <c r="C462" s="22"/>
      <c r="D462" s="20"/>
      <c r="E462" s="22"/>
      <c r="F462" s="20"/>
      <c r="G462" s="46"/>
      <c r="H462" s="4"/>
    </row>
    <row r="463" spans="1:8">
      <c r="A463" s="28"/>
      <c r="B463" s="21"/>
      <c r="C463" s="22"/>
      <c r="D463" s="20"/>
      <c r="E463" s="22"/>
      <c r="F463" s="20"/>
      <c r="G463" s="46"/>
      <c r="H463" s="4"/>
    </row>
    <row r="464" spans="1:8">
      <c r="A464" s="28"/>
      <c r="B464" s="21"/>
      <c r="C464" s="22"/>
      <c r="D464" s="20"/>
      <c r="E464" s="22"/>
      <c r="F464" s="20"/>
      <c r="G464" s="46"/>
      <c r="H464" s="4"/>
    </row>
    <row r="465" spans="1:8">
      <c r="A465" s="28"/>
      <c r="B465" s="21"/>
      <c r="C465" s="22"/>
      <c r="D465" s="20"/>
      <c r="E465" s="22"/>
      <c r="F465" s="20"/>
      <c r="G465" s="46"/>
      <c r="H465" s="4"/>
    </row>
    <row r="466" spans="1:8">
      <c r="A466" s="28"/>
      <c r="B466" s="21"/>
      <c r="C466" s="22"/>
      <c r="D466" s="20"/>
      <c r="E466" s="22"/>
      <c r="F466" s="20"/>
      <c r="G466" s="46"/>
      <c r="H466" s="4"/>
    </row>
    <row r="467" spans="1:8">
      <c r="A467" s="28"/>
      <c r="B467" s="21"/>
      <c r="C467" s="22"/>
      <c r="D467" s="20"/>
      <c r="E467" s="22"/>
      <c r="F467" s="20"/>
      <c r="G467" s="46"/>
      <c r="H467" s="4"/>
    </row>
    <row r="468" spans="1:8">
      <c r="A468" s="28"/>
      <c r="B468" s="21"/>
      <c r="C468" s="22"/>
      <c r="D468" s="20"/>
      <c r="E468" s="22"/>
      <c r="F468" s="20"/>
      <c r="G468" s="46"/>
      <c r="H468" s="4"/>
    </row>
    <row r="469" spans="1:8">
      <c r="A469" s="28"/>
      <c r="B469" s="21"/>
      <c r="C469" s="22"/>
      <c r="D469" s="20"/>
      <c r="E469" s="22"/>
      <c r="F469" s="20"/>
      <c r="G469" s="46"/>
      <c r="H469" s="4"/>
    </row>
    <row r="470" spans="1:8">
      <c r="A470" s="28"/>
      <c r="B470" s="21"/>
      <c r="C470" s="22"/>
      <c r="D470" s="20"/>
      <c r="E470" s="22"/>
      <c r="F470" s="20"/>
      <c r="G470" s="46"/>
      <c r="H470" s="4"/>
    </row>
    <row r="471" spans="1:8">
      <c r="A471" s="28"/>
      <c r="B471" s="21"/>
      <c r="C471" s="22"/>
      <c r="D471" s="20"/>
      <c r="E471" s="22"/>
      <c r="F471" s="20"/>
      <c r="G471" s="46"/>
      <c r="H471" s="4"/>
    </row>
    <row r="472" spans="1:8">
      <c r="A472" s="28"/>
      <c r="B472" s="30"/>
      <c r="C472" s="31"/>
      <c r="D472" s="32"/>
      <c r="E472" s="31"/>
      <c r="F472" s="32"/>
      <c r="G472" s="47"/>
      <c r="H472" s="4"/>
    </row>
  </sheetData>
  <autoFilter ref="B1:G472" xr:uid="{00000000-0009-0000-0000-000004000000}">
    <filterColumn colId="2" hiddenButton="1"/>
    <filterColumn colId="3" hiddenButton="1"/>
    <filterColumn colId="4" hiddenButton="1"/>
  </autoFilter>
  <mergeCells count="19">
    <mergeCell ref="B1:G1"/>
    <mergeCell ref="C2:D2"/>
    <mergeCell ref="E2:F2"/>
    <mergeCell ref="A1:A3"/>
    <mergeCell ref="A4:A5"/>
    <mergeCell ref="B2:B3"/>
    <mergeCell ref="B4:B5"/>
    <mergeCell ref="B319:B320"/>
    <mergeCell ref="B385:B386"/>
    <mergeCell ref="A55:A56"/>
    <mergeCell ref="A105:A106"/>
    <mergeCell ref="A191:A192"/>
    <mergeCell ref="A319:A320"/>
    <mergeCell ref="A385:A386"/>
    <mergeCell ref="C55:C57"/>
    <mergeCell ref="D55:D57"/>
    <mergeCell ref="B55:B56"/>
    <mergeCell ref="B105:B106"/>
    <mergeCell ref="B191:B192"/>
  </mergeCells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REKAP POSISI 2024 (2)</vt:lpstr>
      <vt:lpstr>BFTP</vt:lpstr>
      <vt:lpstr>rekap posisi 2021-2023</vt:lpstr>
      <vt:lpstr>RK Granulasi</vt:lpstr>
      <vt:lpstr>Kerusakan Mesin (Trouble)</vt:lpstr>
      <vt:lpstr>'rekap posisi 2021-2023'!Print_Area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DWI CAHYANI</cp:lastModifiedBy>
  <dcterms:created xsi:type="dcterms:W3CDTF">2021-07-12T00:36:00Z</dcterms:created>
  <dcterms:modified xsi:type="dcterms:W3CDTF">2026-05-19T02:33:24Z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1033-10.2.0.5978</vt:lpwstr>
  </property>
  <property fmtid="{D5CDD505-2E9C-101B-9397-08002B2CF9AE}" pid="3" name="KSOReadingLayout">
    <vt:bool>true</vt:bool>
  </property>
</Properties>
</file>